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drawings/drawing7.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comments8.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N:\DIPLO_ORC\USUÁRIOS\03 - HERBERT - ENG\2024\05 - ATUALIZAÇÃO DA PRAÇA 21\"/>
    </mc:Choice>
  </mc:AlternateContent>
  <xr:revisionPtr revIDLastSave="0" documentId="13_ncr:1_{921E814D-8F83-4D1B-BC45-4B1EC1EA1008}" xr6:coauthVersionLast="47" xr6:coauthVersionMax="47" xr10:uidLastSave="{00000000-0000-0000-0000-000000000000}"/>
  <bookViews>
    <workbookView xWindow="-120" yWindow="-120" windowWidth="29040" windowHeight="15720" tabRatio="764" firstSheet="2" activeTab="2" xr2:uid="{00000000-000D-0000-FFFF-FFFF00000000}"/>
  </bookViews>
  <sheets>
    <sheet name="SERVIÇOS" sheetId="27" state="hidden" r:id="rId1"/>
    <sheet name="INSUMOS" sheetId="28" state="hidden" r:id="rId2"/>
    <sheet name="014-22-CAPA" sheetId="4" r:id="rId3"/>
    <sheet name="014.01-22-ORÇAMENTO" sheetId="44" r:id="rId4"/>
    <sheet name="014-22-CCU's" sheetId="15" r:id="rId5"/>
    <sheet name="014-22-CCU's AUX" sheetId="42" r:id="rId6"/>
    <sheet name="014-22-cotação" sheetId="16" r:id="rId7"/>
    <sheet name="Reajustamento INCC" sheetId="41" state="hidden" r:id="rId8"/>
    <sheet name="014-22-CRO" sheetId="21" r:id="rId9"/>
    <sheet name="014-22-ABC-SERVIÇOS" sheetId="26" r:id="rId10"/>
    <sheet name="Encargos" sheetId="30" r:id="rId11"/>
    <sheet name="Reajustamento INCC (2)" sheetId="45" state="hidden" r:id="rId12"/>
    <sheet name="Pequenas Obras SEM" sheetId="46"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SM1" localSheetId="3">#REF!</definedName>
    <definedName name="__SM1" localSheetId="9">#REF!</definedName>
    <definedName name="__SM1" localSheetId="2">#REF!</definedName>
    <definedName name="__SM1" localSheetId="4">#REF!</definedName>
    <definedName name="__SM1" localSheetId="5">#REF!</definedName>
    <definedName name="__SM1" localSheetId="6">#REF!</definedName>
    <definedName name="__SM1" localSheetId="8">#REF!</definedName>
    <definedName name="__SM1" localSheetId="10">#REF!</definedName>
    <definedName name="__SM1" localSheetId="12">#REF!</definedName>
    <definedName name="__SM1" localSheetId="7">#REF!</definedName>
    <definedName name="__SM1" localSheetId="11">#REF!</definedName>
    <definedName name="__SM1">#REF!</definedName>
    <definedName name="__SM10" localSheetId="3">#REF!</definedName>
    <definedName name="__SM10" localSheetId="9">#REF!</definedName>
    <definedName name="__SM10" localSheetId="2">#REF!</definedName>
    <definedName name="__SM10" localSheetId="5">#REF!</definedName>
    <definedName name="__SM10" localSheetId="6">#REF!</definedName>
    <definedName name="__SM10" localSheetId="8">#REF!</definedName>
    <definedName name="__SM10" localSheetId="10">#REF!</definedName>
    <definedName name="__SM10" localSheetId="7">#REF!</definedName>
    <definedName name="__SM10" localSheetId="11">#REF!</definedName>
    <definedName name="__SM10">#REF!</definedName>
    <definedName name="__SM11" localSheetId="3">#REF!</definedName>
    <definedName name="__SM11" localSheetId="9">#REF!</definedName>
    <definedName name="__SM11" localSheetId="2">#REF!</definedName>
    <definedName name="__SM11" localSheetId="5">#REF!</definedName>
    <definedName name="__SM11" localSheetId="6">#REF!</definedName>
    <definedName name="__SM11" localSheetId="8">#REF!</definedName>
    <definedName name="__SM11" localSheetId="10">#REF!</definedName>
    <definedName name="__SM11" localSheetId="7">#REF!</definedName>
    <definedName name="__SM11" localSheetId="11">#REF!</definedName>
    <definedName name="__SM11">#REF!</definedName>
    <definedName name="__SM12" localSheetId="3">#REF!</definedName>
    <definedName name="__SM12" localSheetId="9">#REF!</definedName>
    <definedName name="__SM12" localSheetId="5">#REF!</definedName>
    <definedName name="__SM12" localSheetId="8">#REF!</definedName>
    <definedName name="__SM12" localSheetId="7">#REF!</definedName>
    <definedName name="__SM12">#REF!</definedName>
    <definedName name="__sm13" localSheetId="3">#REF!</definedName>
    <definedName name="__sm13" localSheetId="9">#REF!</definedName>
    <definedName name="__sm13" localSheetId="5">#REF!</definedName>
    <definedName name="__sm13" localSheetId="8">#REF!</definedName>
    <definedName name="__sm13" localSheetId="7">#REF!</definedName>
    <definedName name="__sm13">#REF!</definedName>
    <definedName name="__SM2" localSheetId="3">#REF!</definedName>
    <definedName name="__SM2" localSheetId="9">#REF!</definedName>
    <definedName name="__SM2" localSheetId="5">#REF!</definedName>
    <definedName name="__SM2" localSheetId="8">#REF!</definedName>
    <definedName name="__SM2" localSheetId="7">#REF!</definedName>
    <definedName name="__SM2">#REF!</definedName>
    <definedName name="__SM3" localSheetId="3">#REF!</definedName>
    <definedName name="__SM3" localSheetId="9">#REF!</definedName>
    <definedName name="__SM3" localSheetId="5">#REF!</definedName>
    <definedName name="__SM3" localSheetId="8">#REF!</definedName>
    <definedName name="__SM3" localSheetId="7">#REF!</definedName>
    <definedName name="__SM3">#REF!</definedName>
    <definedName name="__SM4" localSheetId="3">#REF!</definedName>
    <definedName name="__SM4" localSheetId="9">#REF!</definedName>
    <definedName name="__SM4" localSheetId="5">#REF!</definedName>
    <definedName name="__SM4" localSheetId="8">#REF!</definedName>
    <definedName name="__SM4" localSheetId="7">#REF!</definedName>
    <definedName name="__SM4">#REF!</definedName>
    <definedName name="__SM5" localSheetId="3">#REF!</definedName>
    <definedName name="__SM5" localSheetId="9">#REF!</definedName>
    <definedName name="__SM5" localSheetId="5">#REF!</definedName>
    <definedName name="__SM5" localSheetId="8">#REF!</definedName>
    <definedName name="__SM5" localSheetId="7">#REF!</definedName>
    <definedName name="__SM5">#REF!</definedName>
    <definedName name="__SM6" localSheetId="3">#REF!</definedName>
    <definedName name="__SM6" localSheetId="9">#REF!</definedName>
    <definedName name="__SM6" localSheetId="5">#REF!</definedName>
    <definedName name="__SM6" localSheetId="8">#REF!</definedName>
    <definedName name="__SM6" localSheetId="7">#REF!</definedName>
    <definedName name="__SM6">#REF!</definedName>
    <definedName name="__SM7" localSheetId="3">#REF!</definedName>
    <definedName name="__SM7" localSheetId="9">#REF!</definedName>
    <definedName name="__SM7" localSheetId="5">#REF!</definedName>
    <definedName name="__SM7" localSheetId="8">#REF!</definedName>
    <definedName name="__SM7" localSheetId="7">#REF!</definedName>
    <definedName name="__SM7">#REF!</definedName>
    <definedName name="__SM8" localSheetId="3">#REF!</definedName>
    <definedName name="__SM8" localSheetId="9">#REF!</definedName>
    <definedName name="__SM8" localSheetId="5">#REF!</definedName>
    <definedName name="__SM8" localSheetId="8">#REF!</definedName>
    <definedName name="__SM8" localSheetId="7">#REF!</definedName>
    <definedName name="__SM8">#REF!</definedName>
    <definedName name="__SM9" localSheetId="3">#REF!</definedName>
    <definedName name="__SM9" localSheetId="9">#REF!</definedName>
    <definedName name="__SM9" localSheetId="5">#REF!</definedName>
    <definedName name="__SM9" localSheetId="8">#REF!</definedName>
    <definedName name="__SM9" localSheetId="7">#REF!</definedName>
    <definedName name="__SM9">#REF!</definedName>
    <definedName name="_1Excel_BuiltIn_Print_Area_1_1" localSheetId="3">#REF!</definedName>
    <definedName name="_1Excel_BuiltIn_Print_Area_1_1" localSheetId="5">#REF!</definedName>
    <definedName name="_1Excel_BuiltIn_Print_Area_1_1" localSheetId="7">#REF!</definedName>
    <definedName name="_1Excel_BuiltIn_Print_Area_1_1">#REF!</definedName>
    <definedName name="_xlnm._FilterDatabase" localSheetId="3" hidden="1">'014.01-22-ORÇAMENTO'!$B$11:$J$236</definedName>
    <definedName name="_xlnm._FilterDatabase" localSheetId="9" hidden="1">'014-22-ABC-SERVIÇOS'!$A$10:$J$115</definedName>
    <definedName name="_xlnm._FilterDatabase" localSheetId="4" hidden="1">'014-22-CCU''s'!$B$9:$H$450</definedName>
    <definedName name="_xlnm._FilterDatabase" localSheetId="5" hidden="1">'014-22-CCU''s AUX'!$B$9:$H$141</definedName>
    <definedName name="_xlnm._FilterDatabase" localSheetId="6" hidden="1">'014-22-cotação'!$A$9:$I$139</definedName>
    <definedName name="_xlnm._FilterDatabase" localSheetId="1" hidden="1">INSUMOS!$A$7:$F$4837</definedName>
    <definedName name="_xlnm._FilterDatabase" localSheetId="0" hidden="1">SERVIÇOS!$A$5:$E$7693</definedName>
    <definedName name="_SM1" localSheetId="3">#REF!</definedName>
    <definedName name="_SM1" localSheetId="9">#REF!</definedName>
    <definedName name="_SM1" localSheetId="2">#REF!</definedName>
    <definedName name="_SM1" localSheetId="4">#REF!</definedName>
    <definedName name="_SM1" localSheetId="5">#REF!</definedName>
    <definedName name="_SM1" localSheetId="8">#REF!</definedName>
    <definedName name="_SM1" localSheetId="10">#REF!</definedName>
    <definedName name="_SM1" localSheetId="7">#REF!</definedName>
    <definedName name="_SM1" localSheetId="11">#REF!</definedName>
    <definedName name="_SM1">#REF!</definedName>
    <definedName name="_SM10" localSheetId="3">#REF!</definedName>
    <definedName name="_SM10" localSheetId="9">#REF!</definedName>
    <definedName name="_SM10" localSheetId="2">#REF!</definedName>
    <definedName name="_SM10" localSheetId="5">#REF!</definedName>
    <definedName name="_SM10" localSheetId="8">#REF!</definedName>
    <definedName name="_SM10" localSheetId="10">#REF!</definedName>
    <definedName name="_SM10" localSheetId="7">#REF!</definedName>
    <definedName name="_SM10" localSheetId="11">#REF!</definedName>
    <definedName name="_SM10">#REF!</definedName>
    <definedName name="_SM11" localSheetId="3">#REF!</definedName>
    <definedName name="_SM11" localSheetId="9">#REF!</definedName>
    <definedName name="_SM11" localSheetId="5">#REF!</definedName>
    <definedName name="_SM11" localSheetId="6">#REF!</definedName>
    <definedName name="_SM11" localSheetId="8">#REF!</definedName>
    <definedName name="_SM11" localSheetId="7">#REF!</definedName>
    <definedName name="_SM11" localSheetId="11">#REF!</definedName>
    <definedName name="_SM11">#REF!</definedName>
    <definedName name="_SM12" localSheetId="3">#REF!</definedName>
    <definedName name="_SM12" localSheetId="9">#REF!</definedName>
    <definedName name="_SM12" localSheetId="5">#REF!</definedName>
    <definedName name="_SM12" localSheetId="6">#REF!</definedName>
    <definedName name="_SM12" localSheetId="8">#REF!</definedName>
    <definedName name="_SM12" localSheetId="7">#REF!</definedName>
    <definedName name="_SM12" localSheetId="11">#REF!</definedName>
    <definedName name="_SM12">#REF!</definedName>
    <definedName name="_sm13" localSheetId="3">#REF!</definedName>
    <definedName name="_sm13" localSheetId="9">#REF!</definedName>
    <definedName name="_sm13" localSheetId="5">#REF!</definedName>
    <definedName name="_sm13" localSheetId="6">#REF!</definedName>
    <definedName name="_sm13" localSheetId="8">#REF!</definedName>
    <definedName name="_sm13" localSheetId="7">#REF!</definedName>
    <definedName name="_sm13" localSheetId="11">#REF!</definedName>
    <definedName name="_sm13">#REF!</definedName>
    <definedName name="_SM2" localSheetId="3">#REF!</definedName>
    <definedName name="_SM2" localSheetId="9">#REF!</definedName>
    <definedName name="_SM2" localSheetId="5">#REF!</definedName>
    <definedName name="_SM2" localSheetId="8">#REF!</definedName>
    <definedName name="_SM2" localSheetId="7">#REF!</definedName>
    <definedName name="_SM2" localSheetId="11">#REF!</definedName>
    <definedName name="_SM2">#REF!</definedName>
    <definedName name="_SM3" localSheetId="3">#REF!</definedName>
    <definedName name="_SM3" localSheetId="9">#REF!</definedName>
    <definedName name="_SM3" localSheetId="5">#REF!</definedName>
    <definedName name="_SM3" localSheetId="8">#REF!</definedName>
    <definedName name="_SM3" localSheetId="7">#REF!</definedName>
    <definedName name="_SM3" localSheetId="11">#REF!</definedName>
    <definedName name="_SM3">#REF!</definedName>
    <definedName name="_SM35" localSheetId="3">#REF!</definedName>
    <definedName name="_SM35" localSheetId="5">#REF!</definedName>
    <definedName name="_SM35" localSheetId="7">#REF!</definedName>
    <definedName name="_SM35">#REF!</definedName>
    <definedName name="_SM4" localSheetId="3">#REF!</definedName>
    <definedName name="_SM4" localSheetId="9">#REF!</definedName>
    <definedName name="_SM4" localSheetId="5">#REF!</definedName>
    <definedName name="_SM4" localSheetId="8">#REF!</definedName>
    <definedName name="_SM4" localSheetId="7">#REF!</definedName>
    <definedName name="_SM4" localSheetId="11">#REF!</definedName>
    <definedName name="_SM4">#REF!</definedName>
    <definedName name="_SM5" localSheetId="3">#REF!</definedName>
    <definedName name="_SM5" localSheetId="9">#REF!</definedName>
    <definedName name="_SM5" localSheetId="5">#REF!</definedName>
    <definedName name="_SM5" localSheetId="8">#REF!</definedName>
    <definedName name="_SM5" localSheetId="7">#REF!</definedName>
    <definedName name="_SM5" localSheetId="11">#REF!</definedName>
    <definedName name="_SM5">#REF!</definedName>
    <definedName name="_SM6" localSheetId="3">#REF!</definedName>
    <definedName name="_SM6" localSheetId="9">#REF!</definedName>
    <definedName name="_SM6" localSheetId="5">#REF!</definedName>
    <definedName name="_SM6" localSheetId="8">#REF!</definedName>
    <definedName name="_SM6" localSheetId="7">#REF!</definedName>
    <definedName name="_SM6" localSheetId="11">#REF!</definedName>
    <definedName name="_SM6">#REF!</definedName>
    <definedName name="_SM66" localSheetId="3">#REF!</definedName>
    <definedName name="_SM66">#REF!</definedName>
    <definedName name="_SM7" localSheetId="3">#REF!</definedName>
    <definedName name="_SM7" localSheetId="9">#REF!</definedName>
    <definedName name="_SM7" localSheetId="5">#REF!</definedName>
    <definedName name="_SM7" localSheetId="8">#REF!</definedName>
    <definedName name="_SM7" localSheetId="7">#REF!</definedName>
    <definedName name="_SM7" localSheetId="11">#REF!</definedName>
    <definedName name="_SM7">#REF!</definedName>
    <definedName name="_SM8" localSheetId="3">#REF!</definedName>
    <definedName name="_SM8" localSheetId="9">#REF!</definedName>
    <definedName name="_SM8" localSheetId="5">#REF!</definedName>
    <definedName name="_SM8" localSheetId="8">#REF!</definedName>
    <definedName name="_SM8" localSheetId="7">#REF!</definedName>
    <definedName name="_SM8" localSheetId="11">#REF!</definedName>
    <definedName name="_SM8">#REF!</definedName>
    <definedName name="_SM9" localSheetId="3">#REF!</definedName>
    <definedName name="_SM9" localSheetId="9">#REF!</definedName>
    <definedName name="_SM9" localSheetId="5">#REF!</definedName>
    <definedName name="_SM9" localSheetId="8">#REF!</definedName>
    <definedName name="_SM9" localSheetId="7">#REF!</definedName>
    <definedName name="_SM9" localSheetId="11">#REF!</definedName>
    <definedName name="_SM9">#REF!</definedName>
    <definedName name="_sss" localSheetId="3">#REF!</definedName>
    <definedName name="_sss" localSheetId="9">#REF!</definedName>
    <definedName name="_sss" localSheetId="5">#REF!</definedName>
    <definedName name="_sss" localSheetId="8">#REF!</definedName>
    <definedName name="_sss" localSheetId="7">#REF!</definedName>
    <definedName name="_sss">#REF!</definedName>
    <definedName name="aaaa" localSheetId="3">#REF!</definedName>
    <definedName name="aaaa" localSheetId="9">#REF!</definedName>
    <definedName name="aaaa" localSheetId="5">#REF!</definedName>
    <definedName name="aaaa" localSheetId="8">#REF!</definedName>
    <definedName name="aaaa" localSheetId="7">#REF!</definedName>
    <definedName name="aaaa">#REF!</definedName>
    <definedName name="aaaaaaaaaaa" localSheetId="3">#REF!</definedName>
    <definedName name="aaaaaaaaaaa" localSheetId="9">#REF!</definedName>
    <definedName name="aaaaaaaaaaa" localSheetId="5">#REF!</definedName>
    <definedName name="aaaaaaaaaaa" localSheetId="8">#REF!</definedName>
    <definedName name="aaaaaaaaaaa" localSheetId="7">#REF!</definedName>
    <definedName name="aaaaaaaaaaa">#REF!</definedName>
    <definedName name="Administração" localSheetId="3">#REF!</definedName>
    <definedName name="Administração" localSheetId="5">#REF!</definedName>
    <definedName name="Administração" localSheetId="7">#REF!</definedName>
    <definedName name="Administração">#REF!</definedName>
    <definedName name="_xlnm.Print_Area" localSheetId="3">'014.01-22-ORÇAMENTO'!$B$1:$J$240</definedName>
    <definedName name="_xlnm.Print_Area" localSheetId="9">'014-22-ABC-SERVIÇOS'!$A$1:$J$121</definedName>
    <definedName name="_xlnm.Print_Area" localSheetId="2">'014-22-CAPA'!$B$2:$H$38</definedName>
    <definedName name="_xlnm.Print_Area" localSheetId="4">'014-22-CCU''s'!$B$1:$H$453</definedName>
    <definedName name="_xlnm.Print_Area" localSheetId="5">'014-22-CCU''s AUX'!$B$1:$H$145</definedName>
    <definedName name="_xlnm.Print_Area" localSheetId="6">'014-22-cotação'!$A$1:$I$139</definedName>
    <definedName name="_xlnm.Print_Area" localSheetId="8">'014-22-CRO'!$A$1:$G$40</definedName>
    <definedName name="_xlnm.Print_Area" localSheetId="10">Encargos!$A$2:$D$45</definedName>
    <definedName name="_xlnm.Print_Area" localSheetId="12">'Pequenas Obras SEM'!$A$1:$I$39</definedName>
    <definedName name="_xlnm.Print_Area" localSheetId="7">'Reajustamento INCC'!$A$1:$H$52</definedName>
    <definedName name="_xlnm.Print_Area" localSheetId="11">'Reajustamento INCC (2)'!$A$1:$H$200</definedName>
    <definedName name="_xlnm.Database" localSheetId="3">#REF!</definedName>
    <definedName name="_xlnm.Database" localSheetId="9">#REF!</definedName>
    <definedName name="_xlnm.Database" localSheetId="2">#REF!</definedName>
    <definedName name="_xlnm.Database" localSheetId="4">#REF!</definedName>
    <definedName name="_xlnm.Database" localSheetId="5">#REF!</definedName>
    <definedName name="_xlnm.Database" localSheetId="6">#REF!</definedName>
    <definedName name="_xlnm.Database" localSheetId="8">#REF!</definedName>
    <definedName name="_xlnm.Database" localSheetId="10">#REF!</definedName>
    <definedName name="_xlnm.Database" localSheetId="12">#REF!</definedName>
    <definedName name="_xlnm.Database" localSheetId="7">#REF!</definedName>
    <definedName name="_xlnm.Database" localSheetId="11">#REF!</definedName>
    <definedName name="_xlnm.Database">#REF!</definedName>
    <definedName name="BDI_1" localSheetId="3">[1]ORÇAMENTO!#REF!</definedName>
    <definedName name="BDI_1" localSheetId="5">[1]ORÇAMENTO!#REF!</definedName>
    <definedName name="BDI_1" localSheetId="6">[1]ORÇAMENTO!#REF!</definedName>
    <definedName name="BDI_1" localSheetId="12">[1]ORÇAMENTO!#REF!</definedName>
    <definedName name="BDI_1" localSheetId="7">[1]ORÇAMENTO!#REF!</definedName>
    <definedName name="BDI_1" localSheetId="11">[2]ORÇAMENTO!#REF!</definedName>
    <definedName name="BDI_1">[1]ORÇAMENTO!#REF!</definedName>
    <definedName name="BDI_10" localSheetId="3">#REF!</definedName>
    <definedName name="BDI_10" localSheetId="5">#REF!</definedName>
    <definedName name="BDI_10" localSheetId="6">#REF!</definedName>
    <definedName name="BDI_10" localSheetId="10">#REF!</definedName>
    <definedName name="BDI_10" localSheetId="12">#REF!</definedName>
    <definedName name="BDI_10" localSheetId="7">#REF!</definedName>
    <definedName name="BDI_10" localSheetId="11">#REF!</definedName>
    <definedName name="BDI_10">#REF!</definedName>
    <definedName name="BDI_11" localSheetId="3">#REF!</definedName>
    <definedName name="BDI_11" localSheetId="5">#REF!</definedName>
    <definedName name="BDI_11" localSheetId="6">#REF!</definedName>
    <definedName name="BDI_11" localSheetId="7">#REF!</definedName>
    <definedName name="BDI_11" localSheetId="11">#REF!</definedName>
    <definedName name="BDI_11">#REF!</definedName>
    <definedName name="BDI_2" localSheetId="3">#REF!</definedName>
    <definedName name="BDI_2" localSheetId="5">#REF!</definedName>
    <definedName name="BDI_2" localSheetId="6">#REF!</definedName>
    <definedName name="BDI_2" localSheetId="7">#REF!</definedName>
    <definedName name="BDI_2" localSheetId="11">#REF!</definedName>
    <definedName name="BDI_2">#REF!</definedName>
    <definedName name="BDI_3" localSheetId="3">#REF!</definedName>
    <definedName name="BDI_3" localSheetId="5">#REF!</definedName>
    <definedName name="BDI_3" localSheetId="7">#REF!</definedName>
    <definedName name="BDI_3">#REF!</definedName>
    <definedName name="BDI_4" localSheetId="3">#REF!</definedName>
    <definedName name="BDI_4" localSheetId="5">#REF!</definedName>
    <definedName name="BDI_4" localSheetId="7">#REF!</definedName>
    <definedName name="BDI_4">#REF!</definedName>
    <definedName name="BDI_5" localSheetId="3">#REF!</definedName>
    <definedName name="BDI_5" localSheetId="5">#REF!</definedName>
    <definedName name="BDI_5" localSheetId="7">#REF!</definedName>
    <definedName name="BDI_5">#REF!</definedName>
    <definedName name="BDI_6" localSheetId="3">#REF!</definedName>
    <definedName name="BDI_6" localSheetId="5">#REF!</definedName>
    <definedName name="BDI_6" localSheetId="7">#REF!</definedName>
    <definedName name="BDI_6">#REF!</definedName>
    <definedName name="BDI_7" localSheetId="3">#REF!</definedName>
    <definedName name="BDI_7" localSheetId="5">#REF!</definedName>
    <definedName name="BDI_7" localSheetId="7">#REF!</definedName>
    <definedName name="BDI_7">#REF!</definedName>
    <definedName name="BDI_8" localSheetId="3">#REF!</definedName>
    <definedName name="BDI_8" localSheetId="5">#REF!</definedName>
    <definedName name="BDI_8" localSheetId="7">#REF!</definedName>
    <definedName name="BDI_8">#REF!</definedName>
    <definedName name="BDI_9" localSheetId="3">#REF!</definedName>
    <definedName name="BDI_9" localSheetId="5">#REF!</definedName>
    <definedName name="BDI_9" localSheetId="7">#REF!</definedName>
    <definedName name="BDI_9">#REF!</definedName>
    <definedName name="Betune" localSheetId="3">#REF!</definedName>
    <definedName name="Betune" localSheetId="9">#REF!</definedName>
    <definedName name="Betune" localSheetId="2">#REF!</definedName>
    <definedName name="Betune" localSheetId="5">#REF!</definedName>
    <definedName name="Betune" localSheetId="8">#REF!</definedName>
    <definedName name="Betune" localSheetId="10">#REF!</definedName>
    <definedName name="Betune" localSheetId="7">#REF!</definedName>
    <definedName name="Betune">#REF!</definedName>
    <definedName name="COLETA" localSheetId="11">'[3]111-17-COTAÇÃO'!$A$9:$D$1215</definedName>
    <definedName name="COLETA">'[4]111-17-COTAÇÃO'!$A$9:$D$1215</definedName>
    <definedName name="comp2" localSheetId="3">[5]PLANILHA!#REF!</definedName>
    <definedName name="comp2" localSheetId="9">[5]PLANILHA!#REF!</definedName>
    <definedName name="comp2" localSheetId="2">[5]PLANILHA!#REF!</definedName>
    <definedName name="comp2" localSheetId="5">[5]PLANILHA!#REF!</definedName>
    <definedName name="comp2" localSheetId="10">[5]PLANILHA!#REF!</definedName>
    <definedName name="comp2" localSheetId="12">[5]PLANILHA!#REF!</definedName>
    <definedName name="comp2" localSheetId="7">[5]PLANILHA!#REF!</definedName>
    <definedName name="comp2" localSheetId="11">[5]PLANILHA!#REF!</definedName>
    <definedName name="comp2">[5]PLANILHA!#REF!</definedName>
    <definedName name="compinst." localSheetId="3">[6]PLANILHA!#REF!</definedName>
    <definedName name="compinst." localSheetId="9">[6]PLANILHA!#REF!</definedName>
    <definedName name="compinst." localSheetId="2">[6]PLANILHA!#REF!</definedName>
    <definedName name="compinst." localSheetId="5">[6]PLANILHA!#REF!</definedName>
    <definedName name="compinst." localSheetId="10">[6]PLANILHA!#REF!</definedName>
    <definedName name="compinst." localSheetId="12">[6]PLANILHA!#REF!</definedName>
    <definedName name="compinst." localSheetId="7">[6]PLANILHA!#REF!</definedName>
    <definedName name="compinst." localSheetId="11">[6]PLANILHA!#REF!</definedName>
    <definedName name="compinst.">[6]PLANILHA!#REF!</definedName>
    <definedName name="_xlnm.Criteria" localSheetId="3">#REF!</definedName>
    <definedName name="_xlnm.Criteria" localSheetId="5">#REF!</definedName>
    <definedName name="_xlnm.Criteria" localSheetId="12">#REF!</definedName>
    <definedName name="_xlnm.Criteria" localSheetId="7">#REF!</definedName>
    <definedName name="_xlnm.Criteria" localSheetId="11">#REF!</definedName>
    <definedName name="_xlnm.Criteria">#REF!</definedName>
    <definedName name="crogr" localSheetId="3">[7]PLANILHA!#REF!</definedName>
    <definedName name="crogr" localSheetId="9">[7]PLANILHA!#REF!</definedName>
    <definedName name="crogr" localSheetId="2">[7]PLANILHA!#REF!</definedName>
    <definedName name="crogr" localSheetId="5">[7]PLANILHA!#REF!</definedName>
    <definedName name="crogr" localSheetId="10">[7]PLANILHA!#REF!</definedName>
    <definedName name="crogr" localSheetId="12">[7]PLANILHA!#REF!</definedName>
    <definedName name="crogr" localSheetId="7">[7]PLANILHA!#REF!</definedName>
    <definedName name="crogr" localSheetId="11">[7]PLANILHA!#REF!</definedName>
    <definedName name="crogr">[7]PLANILHA!#REF!</definedName>
    <definedName name="ddddddd" localSheetId="3">#REF!</definedName>
    <definedName name="ddddddd" localSheetId="9">#REF!</definedName>
    <definedName name="ddddddd" localSheetId="2">#REF!</definedName>
    <definedName name="ddddddd" localSheetId="4">#REF!</definedName>
    <definedName name="ddddddd" localSheetId="5">#REF!</definedName>
    <definedName name="ddddddd" localSheetId="6">#REF!</definedName>
    <definedName name="ddddddd" localSheetId="8">#REF!</definedName>
    <definedName name="ddddddd" localSheetId="10">#REF!</definedName>
    <definedName name="ddddddd" localSheetId="12">#REF!</definedName>
    <definedName name="ddddddd" localSheetId="7">#REF!</definedName>
    <definedName name="ddddddd" localSheetId="11">#REF!</definedName>
    <definedName name="ddddddd">#REF!</definedName>
    <definedName name="dk">'[8]unit arq'!$L$5</definedName>
    <definedName name="Excel_BuiltIn__FilterDatabase_2_1">NA()</definedName>
    <definedName name="Excel_BuiltIn_Print_Area_1" localSheetId="3">#REF!</definedName>
    <definedName name="Excel_BuiltIn_Print_Area_1" localSheetId="5">#REF!</definedName>
    <definedName name="Excel_BuiltIn_Print_Area_1" localSheetId="12">#REF!</definedName>
    <definedName name="Excel_BuiltIn_Print_Area_1" localSheetId="7">#REF!</definedName>
    <definedName name="Excel_BuiltIn_Print_Area_1" localSheetId="11">#REF!</definedName>
    <definedName name="Excel_BuiltIn_Print_Area_1">#REF!</definedName>
    <definedName name="Excel_BuiltIn_Print_Area_1_1" localSheetId="3">#REF!</definedName>
    <definedName name="Excel_BuiltIn_Print_Area_1_1" localSheetId="5">#REF!</definedName>
    <definedName name="Excel_BuiltIn_Print_Area_1_1" localSheetId="7">#REF!</definedName>
    <definedName name="Excel_BuiltIn_Print_Area_1_1" localSheetId="11">#REF!</definedName>
    <definedName name="Excel_BuiltIn_Print_Area_1_1">#REF!</definedName>
    <definedName name="Excel_BuiltIn_Print_Area_1_1_1_1">NA()</definedName>
    <definedName name="Excel_BuiltIn_Print_Area_1_1_1_1_1" localSheetId="3">#REF!</definedName>
    <definedName name="Excel_BuiltIn_Print_Area_1_1_1_1_1" localSheetId="5">#REF!</definedName>
    <definedName name="Excel_BuiltIn_Print_Area_1_1_1_1_1" localSheetId="12">#REF!</definedName>
    <definedName name="Excel_BuiltIn_Print_Area_1_1_1_1_1" localSheetId="7">#REF!</definedName>
    <definedName name="Excel_BuiltIn_Print_Area_1_1_1_1_1" localSheetId="11">#REF!</definedName>
    <definedName name="Excel_BuiltIn_Print_Area_1_1_1_1_1">#REF!</definedName>
    <definedName name="Excel_BuiltIn_Print_Area_1_1_1_1_1_1" localSheetId="3">#REF!</definedName>
    <definedName name="Excel_BuiltIn_Print_Area_1_1_1_1_1_1" localSheetId="5">#REF!</definedName>
    <definedName name="Excel_BuiltIn_Print_Area_1_1_1_1_1_1" localSheetId="7">#REF!</definedName>
    <definedName name="Excel_BuiltIn_Print_Area_1_1_1_1_1_1" localSheetId="11">#REF!</definedName>
    <definedName name="Excel_BuiltIn_Print_Area_1_1_1_1_1_1">#REF!</definedName>
    <definedName name="Excel_BuiltIn_Print_Area_1_1_1_1_1_1_1" localSheetId="3">#REF!</definedName>
    <definedName name="Excel_BuiltIn_Print_Area_1_1_1_1_1_1_1" localSheetId="5">#REF!</definedName>
    <definedName name="Excel_BuiltIn_Print_Area_1_1_1_1_1_1_1" localSheetId="7">#REF!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3">#REF!</definedName>
    <definedName name="Excel_BuiltIn_Print_Titles_1" localSheetId="5">#REF!</definedName>
    <definedName name="Excel_BuiltIn_Print_Titles_1" localSheetId="12">#REF!</definedName>
    <definedName name="Excel_BuiltIn_Print_Titles_1" localSheetId="7">#REF!</definedName>
    <definedName name="Excel_BuiltIn_Print_Titles_1" localSheetId="11">#REF!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3">[1]ORÇAMENTO!#REF!</definedName>
    <definedName name="FATOR_K1" localSheetId="5">[1]ORÇAMENTO!#REF!</definedName>
    <definedName name="FATOR_K1" localSheetId="6">[1]ORÇAMENTO!#REF!</definedName>
    <definedName name="FATOR_K1" localSheetId="12">[1]ORÇAMENTO!#REF!</definedName>
    <definedName name="FATOR_K1" localSheetId="7">[1]ORÇAMENTO!#REF!</definedName>
    <definedName name="FATOR_K1" localSheetId="11">[2]ORÇAMENTO!#REF!</definedName>
    <definedName name="FATOR_K1">[1]ORÇAMENTO!#REF!</definedName>
    <definedName name="FATOR_K10" localSheetId="3">#REF!</definedName>
    <definedName name="FATOR_K10" localSheetId="5">#REF!</definedName>
    <definedName name="FATOR_K10" localSheetId="6">#REF!</definedName>
    <definedName name="FATOR_K10" localSheetId="10">#REF!</definedName>
    <definedName name="FATOR_K10" localSheetId="12">#REF!</definedName>
    <definedName name="FATOR_K10" localSheetId="7">#REF!</definedName>
    <definedName name="FATOR_K10" localSheetId="11">#REF!</definedName>
    <definedName name="FATOR_K10">#REF!</definedName>
    <definedName name="FATOR_K11" localSheetId="3">#REF!</definedName>
    <definedName name="FATOR_K11" localSheetId="5">#REF!</definedName>
    <definedName name="FATOR_K11" localSheetId="6">#REF!</definedName>
    <definedName name="FATOR_K11" localSheetId="7">#REF!</definedName>
    <definedName name="FATOR_K11" localSheetId="11">#REF!</definedName>
    <definedName name="FATOR_K11">#REF!</definedName>
    <definedName name="FATOR_K2" localSheetId="3">#REF!</definedName>
    <definedName name="FATOR_K2" localSheetId="5">#REF!</definedName>
    <definedName name="FATOR_K2" localSheetId="6">#REF!</definedName>
    <definedName name="FATOR_K2" localSheetId="7">#REF!</definedName>
    <definedName name="FATOR_K2" localSheetId="11">#REF!</definedName>
    <definedName name="FATOR_K2">#REF!</definedName>
    <definedName name="FATOR_K3" localSheetId="3">#REF!</definedName>
    <definedName name="FATOR_K3" localSheetId="5">#REF!</definedName>
    <definedName name="FATOR_K3" localSheetId="7">#REF!</definedName>
    <definedName name="FATOR_K3">#REF!</definedName>
    <definedName name="FATOR_K4" localSheetId="3">#REF!</definedName>
    <definedName name="FATOR_K4" localSheetId="5">#REF!</definedName>
    <definedName name="FATOR_K4" localSheetId="7">#REF!</definedName>
    <definedName name="FATOR_K4">#REF!</definedName>
    <definedName name="FATOR_K5" localSheetId="3">#REF!</definedName>
    <definedName name="FATOR_K5" localSheetId="5">#REF!</definedName>
    <definedName name="FATOR_K5" localSheetId="7">#REF!</definedName>
    <definedName name="FATOR_K5">#REF!</definedName>
    <definedName name="FATOR_K6" localSheetId="3">#REF!</definedName>
    <definedName name="FATOR_K6" localSheetId="5">#REF!</definedName>
    <definedName name="FATOR_K6" localSheetId="7">#REF!</definedName>
    <definedName name="FATOR_K6">#REF!</definedName>
    <definedName name="FATOR_K7" localSheetId="3">#REF!</definedName>
    <definedName name="FATOR_K7" localSheetId="5">#REF!</definedName>
    <definedName name="FATOR_K7" localSheetId="7">#REF!</definedName>
    <definedName name="FATOR_K7">#REF!</definedName>
    <definedName name="FATOR_K8" localSheetId="3">#REF!</definedName>
    <definedName name="FATOR_K8" localSheetId="5">#REF!</definedName>
    <definedName name="FATOR_K8" localSheetId="7">#REF!</definedName>
    <definedName name="FATOR_K8">#REF!</definedName>
    <definedName name="FATOR_K9" localSheetId="3">#REF!</definedName>
    <definedName name="FATOR_K9" localSheetId="5">#REF!</definedName>
    <definedName name="FATOR_K9" localSheetId="7">#REF!</definedName>
    <definedName name="FATOR_K9">#REF!</definedName>
    <definedName name="g" localSheetId="3">#REF!</definedName>
    <definedName name="g" localSheetId="5">#REF!</definedName>
    <definedName name="g" localSheetId="7">#REF!</definedName>
    <definedName name="g">#REF!</definedName>
    <definedName name="INSUMO_TAG" localSheetId="7">[9]INSUMO!$B$2:$B$475</definedName>
    <definedName name="INSUMO_TAG" localSheetId="11">[10]INSUMO!$B$2:$B$475</definedName>
    <definedName name="INSUMO_TAG">[11]INSUMO!$B$2:$B$475</definedName>
    <definedName name="k">[8]Eletrica!$L$5</definedName>
    <definedName name="kle">'[8]unit arq'!$L$4</definedName>
    <definedName name="kmo">[8]Eletrica!$L$6</definedName>
    <definedName name="l.sociais" localSheetId="3">[7]PLANILHA!#REF!</definedName>
    <definedName name="l.sociais" localSheetId="9">[7]PLANILHA!#REF!</definedName>
    <definedName name="l.sociais" localSheetId="2">[7]PLANILHA!#REF!</definedName>
    <definedName name="l.sociais" localSheetId="4">[7]PLANILHA!#REF!</definedName>
    <definedName name="l.sociais" localSheetId="5">[7]PLANILHA!#REF!</definedName>
    <definedName name="l.sociais" localSheetId="10">[7]PLANILHA!#REF!</definedName>
    <definedName name="l.sociais" localSheetId="12">[7]PLANILHA!#REF!</definedName>
    <definedName name="l.sociais" localSheetId="7">[7]PLANILHA!#REF!</definedName>
    <definedName name="l.sociais" localSheetId="11">[7]PLANILHA!#REF!</definedName>
    <definedName name="l.sociais">[7]PLANILHA!#REF!</definedName>
    <definedName name="m" localSheetId="3">#REF!</definedName>
    <definedName name="m" localSheetId="5">#REF!</definedName>
    <definedName name="m" localSheetId="12">#REF!</definedName>
    <definedName name="m" localSheetId="7">#REF!</definedName>
    <definedName name="m" localSheetId="11">#REF!</definedName>
    <definedName name="m">#REF!</definedName>
    <definedName name="M.O." localSheetId="3">#REF!</definedName>
    <definedName name="M.O." localSheetId="5">#REF!</definedName>
    <definedName name="M.O." localSheetId="7">#REF!</definedName>
    <definedName name="M.O." localSheetId="11">#REF!</definedName>
    <definedName name="M.O.">#REF!</definedName>
    <definedName name="nao" localSheetId="3">#REF!</definedName>
    <definedName name="nao" localSheetId="9">#REF!</definedName>
    <definedName name="nao" localSheetId="2">#REF!</definedName>
    <definedName name="nao" localSheetId="4">#REF!</definedName>
    <definedName name="nao" localSheetId="5">#REF!</definedName>
    <definedName name="nao" localSheetId="6">#REF!</definedName>
    <definedName name="nao" localSheetId="8">#REF!</definedName>
    <definedName name="nao" localSheetId="10">#REF!</definedName>
    <definedName name="nao" localSheetId="7">#REF!</definedName>
    <definedName name="nao" localSheetId="11">#REF!</definedName>
    <definedName name="nao">#REF!</definedName>
    <definedName name="popspkasdjhlasdbhasfknb" localSheetId="3">#REF!</definedName>
    <definedName name="popspkasdjhlasdbhasfknb" localSheetId="9">#REF!</definedName>
    <definedName name="popspkasdjhlasdbhasfknb" localSheetId="2">#REF!</definedName>
    <definedName name="popspkasdjhlasdbhasfknb" localSheetId="5">#REF!</definedName>
    <definedName name="popspkasdjhlasdbhasfknb" localSheetId="6">#REF!</definedName>
    <definedName name="popspkasdjhlasdbhasfknb" localSheetId="8">#REF!</definedName>
    <definedName name="popspkasdjhlasdbhasfknb" localSheetId="10">#REF!</definedName>
    <definedName name="popspkasdjhlasdbhasfknb" localSheetId="7">#REF!</definedName>
    <definedName name="popspkasdjhlasdbhasfknb">#REF!</definedName>
    <definedName name="RESUMO2" localSheetId="3">#REF!</definedName>
    <definedName name="RESUMO2" localSheetId="5">#REF!</definedName>
    <definedName name="RESUMO2" localSheetId="7">#REF!</definedName>
    <definedName name="RESUMO2" localSheetId="11">#REF!</definedName>
    <definedName name="RESUMO2">#REF!</definedName>
    <definedName name="ssss" localSheetId="3">#REF!</definedName>
    <definedName name="ssss" localSheetId="9">#REF!</definedName>
    <definedName name="ssss" localSheetId="2">#REF!</definedName>
    <definedName name="ssss" localSheetId="5">#REF!</definedName>
    <definedName name="ssss" localSheetId="6">#REF!</definedName>
    <definedName name="ssss" localSheetId="8">#REF!</definedName>
    <definedName name="ssss" localSheetId="10">#REF!</definedName>
    <definedName name="ssss" localSheetId="7">#REF!</definedName>
    <definedName name="ssss">#REF!</definedName>
    <definedName name="TESTA" localSheetId="3">#REF!</definedName>
    <definedName name="TESTA" localSheetId="5">#REF!</definedName>
    <definedName name="TESTA" localSheetId="7">#REF!</definedName>
    <definedName name="TESTA">#REF!</definedName>
    <definedName name="_xlnm.Print_Titles" localSheetId="3">'014.01-22-ORÇAMENTO'!$1:$11</definedName>
    <definedName name="_xlnm.Print_Titles" localSheetId="9">'014-22-ABC-SERVIÇOS'!$1:$10</definedName>
    <definedName name="_xlnm.Print_Titles" localSheetId="4">'014-22-CCU''s'!$1:$9</definedName>
    <definedName name="_xlnm.Print_Titles" localSheetId="5">'014-22-CCU''s AUX'!$1:$9</definedName>
    <definedName name="_xlnm.Print_Titles" localSheetId="6">'014-22-cotação'!$1:$9</definedName>
    <definedName name="_xlnm.Print_Titles" localSheetId="8">'014-22-CRO'!$2:$11</definedName>
    <definedName name="Total_ReaterroComAreia">[12]Planilha!$DH$1:$DH$65536</definedName>
    <definedName name="Total_ReaterroMecanicoComControleGrauCompactacao">[12]Planilha!$DG$1:$DG$65536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6" i="16" l="1"/>
  <c r="N5" i="16"/>
  <c r="C91" i="16"/>
  <c r="A119" i="26"/>
  <c r="A39" i="21"/>
  <c r="B144" i="42"/>
  <c r="B452" i="15"/>
  <c r="B238" i="44"/>
  <c r="B239" i="44"/>
  <c r="G22" i="44" l="1"/>
  <c r="G112" i="26"/>
  <c r="G47" i="26"/>
  <c r="G36" i="26"/>
  <c r="G84" i="26"/>
  <c r="G99" i="26"/>
  <c r="G71" i="26"/>
  <c r="G39" i="26"/>
  <c r="G86" i="26"/>
  <c r="G34" i="26"/>
  <c r="G31" i="26"/>
  <c r="G23" i="26"/>
  <c r="G55" i="26"/>
  <c r="G92" i="26"/>
  <c r="G58" i="26"/>
  <c r="G73" i="26"/>
  <c r="G107" i="26"/>
  <c r="G111" i="26"/>
  <c r="G54" i="26"/>
  <c r="G88" i="26"/>
  <c r="G113" i="26"/>
  <c r="G95" i="26"/>
  <c r="G96" i="26"/>
  <c r="G56" i="26"/>
  <c r="G93" i="26"/>
  <c r="G18" i="26"/>
  <c r="G17" i="26"/>
  <c r="G38" i="26"/>
  <c r="G103" i="26"/>
  <c r="G29" i="26"/>
  <c r="G59" i="26"/>
  <c r="G98" i="26"/>
  <c r="G89" i="26"/>
  <c r="G70" i="26"/>
  <c r="G83" i="26"/>
  <c r="G63" i="26"/>
  <c r="G19" i="26"/>
  <c r="G101" i="26"/>
  <c r="G44" i="26"/>
  <c r="G49" i="26"/>
  <c r="G50" i="26"/>
  <c r="G94" i="26"/>
  <c r="G104" i="26"/>
  <c r="G67" i="26"/>
  <c r="G72" i="26"/>
  <c r="G48" i="26"/>
  <c r="G102" i="26"/>
  <c r="G24" i="26"/>
  <c r="G33" i="26"/>
  <c r="G41" i="26"/>
  <c r="G20" i="26"/>
  <c r="G91" i="26"/>
  <c r="G109" i="26"/>
  <c r="G100" i="26"/>
  <c r="G97" i="26"/>
  <c r="G61" i="26"/>
  <c r="G28" i="26"/>
  <c r="G27" i="26"/>
  <c r="G87" i="26"/>
  <c r="G74" i="26"/>
  <c r="G110" i="26"/>
  <c r="G78" i="26"/>
  <c r="G105" i="26"/>
  <c r="G82" i="26"/>
  <c r="G25" i="26"/>
  <c r="G16" i="26"/>
  <c r="G21" i="26"/>
  <c r="G14" i="26"/>
  <c r="G15" i="26"/>
  <c r="G13" i="26"/>
  <c r="G12" i="26"/>
  <c r="G81" i="26"/>
  <c r="G35" i="26"/>
  <c r="G79" i="26"/>
  <c r="G76" i="26"/>
  <c r="G30" i="26"/>
  <c r="G37" i="26"/>
  <c r="G51" i="26"/>
  <c r="G57" i="26"/>
  <c r="G66" i="26"/>
  <c r="G77" i="26"/>
  <c r="G43" i="26"/>
  <c r="G52" i="26"/>
  <c r="G40" i="26"/>
  <c r="G64" i="26"/>
  <c r="G68" i="26"/>
  <c r="G45" i="26"/>
  <c r="G65" i="26"/>
  <c r="G69" i="26"/>
  <c r="G62" i="26"/>
  <c r="G90" i="26"/>
  <c r="G46" i="26"/>
  <c r="G80" i="26"/>
  <c r="G114" i="26"/>
  <c r="G85" i="26"/>
  <c r="G22" i="26"/>
  <c r="G53" i="26"/>
  <c r="G32" i="26"/>
  <c r="G75" i="26"/>
  <c r="G11" i="26"/>
  <c r="G42" i="26"/>
  <c r="G106" i="26"/>
  <c r="G108" i="26"/>
  <c r="G26" i="26"/>
  <c r="G60" i="26"/>
  <c r="F109" i="16" l="1"/>
  <c r="F101" i="16"/>
  <c r="F93" i="16"/>
  <c r="F85" i="16"/>
  <c r="F77" i="16"/>
  <c r="G232" i="44"/>
  <c r="G231" i="44"/>
  <c r="G220" i="44"/>
  <c r="G216" i="44"/>
  <c r="G206" i="44"/>
  <c r="G205" i="44"/>
  <c r="G204" i="44"/>
  <c r="G203" i="44"/>
  <c r="G202" i="44"/>
  <c r="G199" i="44"/>
  <c r="G198" i="44"/>
  <c r="G196" i="44"/>
  <c r="G193" i="44"/>
  <c r="G186" i="44"/>
  <c r="G182" i="44"/>
  <c r="G181" i="44"/>
  <c r="G180" i="44"/>
  <c r="G174" i="44"/>
  <c r="G149" i="44"/>
  <c r="G142" i="44"/>
  <c r="G135" i="44"/>
  <c r="G134" i="44"/>
  <c r="G133" i="44"/>
  <c r="G129" i="44"/>
  <c r="G128" i="44"/>
  <c r="G127" i="44"/>
  <c r="G126" i="44"/>
  <c r="G118" i="44"/>
  <c r="G111" i="44"/>
  <c r="G108" i="44"/>
  <c r="G105" i="44"/>
  <c r="G95" i="44"/>
  <c r="G94" i="44"/>
  <c r="G93" i="44"/>
  <c r="G86" i="44"/>
  <c r="G85" i="44"/>
  <c r="G84" i="44"/>
  <c r="G81" i="44"/>
  <c r="G78" i="44"/>
  <c r="G77" i="44"/>
  <c r="G76" i="44"/>
  <c r="G75" i="44"/>
  <c r="G67" i="44"/>
  <c r="G66" i="44"/>
  <c r="G65" i="44"/>
  <c r="G61" i="44"/>
  <c r="G58" i="44"/>
  <c r="G57" i="44"/>
  <c r="G56" i="44"/>
  <c r="G45" i="44"/>
  <c r="G42" i="44"/>
  <c r="G41" i="44"/>
  <c r="G36" i="44"/>
  <c r="G23" i="44"/>
  <c r="E232" i="44"/>
  <c r="D232" i="44"/>
  <c r="E231" i="44"/>
  <c r="D231" i="44"/>
  <c r="E227" i="44"/>
  <c r="D227" i="44"/>
  <c r="E220" i="44"/>
  <c r="D220" i="44"/>
  <c r="E216" i="44"/>
  <c r="D216" i="44"/>
  <c r="E215" i="44"/>
  <c r="D215" i="44"/>
  <c r="E214" i="44"/>
  <c r="D214" i="44"/>
  <c r="E206" i="44"/>
  <c r="D206" i="44"/>
  <c r="E205" i="44"/>
  <c r="D205" i="44"/>
  <c r="E204" i="44"/>
  <c r="D204" i="44"/>
  <c r="E203" i="44"/>
  <c r="D203" i="44"/>
  <c r="E202" i="44"/>
  <c r="D202" i="44"/>
  <c r="E199" i="44"/>
  <c r="D199" i="44"/>
  <c r="E198" i="44"/>
  <c r="D198" i="44"/>
  <c r="E197" i="44"/>
  <c r="D197" i="44"/>
  <c r="E196" i="44"/>
  <c r="D196" i="44"/>
  <c r="E193" i="44"/>
  <c r="D193" i="44"/>
  <c r="E186" i="44"/>
  <c r="D186" i="44"/>
  <c r="E185" i="44"/>
  <c r="D185" i="44"/>
  <c r="E184" i="44"/>
  <c r="D184" i="44"/>
  <c r="E183" i="44"/>
  <c r="D183" i="44"/>
  <c r="E182" i="44"/>
  <c r="D182" i="44"/>
  <c r="E181" i="44"/>
  <c r="D181" i="44"/>
  <c r="E180" i="44"/>
  <c r="D180" i="44"/>
  <c r="E179" i="44"/>
  <c r="D179" i="44"/>
  <c r="E178" i="44"/>
  <c r="D178" i="44"/>
  <c r="E175" i="44"/>
  <c r="D175" i="44"/>
  <c r="E174" i="44"/>
  <c r="D174" i="44"/>
  <c r="E173" i="44"/>
  <c r="D173" i="44"/>
  <c r="E172" i="44"/>
  <c r="D172" i="44"/>
  <c r="E171" i="44"/>
  <c r="D171" i="44"/>
  <c r="E170" i="44"/>
  <c r="D170" i="44"/>
  <c r="E169" i="44"/>
  <c r="D169" i="44"/>
  <c r="E168" i="44"/>
  <c r="D168" i="44"/>
  <c r="E167" i="44"/>
  <c r="D167" i="44"/>
  <c r="E166" i="44"/>
  <c r="D166" i="44"/>
  <c r="E165" i="44"/>
  <c r="D165" i="44"/>
  <c r="E164" i="44"/>
  <c r="D164" i="44"/>
  <c r="E163" i="44"/>
  <c r="D163" i="44"/>
  <c r="E162" i="44"/>
  <c r="D162" i="44"/>
  <c r="E161" i="44"/>
  <c r="D161" i="44"/>
  <c r="E160" i="44"/>
  <c r="D160" i="44"/>
  <c r="E157" i="44"/>
  <c r="D157" i="44"/>
  <c r="E156" i="44"/>
  <c r="D156" i="44"/>
  <c r="E155" i="44"/>
  <c r="D155" i="44"/>
  <c r="E154" i="44"/>
  <c r="D154" i="44"/>
  <c r="E149" i="44"/>
  <c r="D149" i="44"/>
  <c r="E145" i="44"/>
  <c r="D145" i="44"/>
  <c r="E142" i="44"/>
  <c r="D142" i="44"/>
  <c r="E141" i="44"/>
  <c r="D141" i="44"/>
  <c r="E140" i="44"/>
  <c r="D140" i="44"/>
  <c r="E139" i="44"/>
  <c r="D139" i="44"/>
  <c r="E138" i="44"/>
  <c r="D138" i="44"/>
  <c r="E137" i="44"/>
  <c r="D137" i="44"/>
  <c r="E136" i="44"/>
  <c r="D136" i="44"/>
  <c r="E135" i="44"/>
  <c r="D135" i="44"/>
  <c r="E134" i="44"/>
  <c r="D134" i="44"/>
  <c r="E133" i="44"/>
  <c r="D133" i="44"/>
  <c r="E130" i="44"/>
  <c r="D130" i="44"/>
  <c r="E129" i="44"/>
  <c r="D129" i="44"/>
  <c r="E128" i="44"/>
  <c r="D128" i="44"/>
  <c r="E127" i="44"/>
  <c r="D127" i="44"/>
  <c r="E126" i="44"/>
  <c r="D126" i="44"/>
  <c r="E118" i="44"/>
  <c r="D118" i="44"/>
  <c r="E114" i="44"/>
  <c r="D114" i="44"/>
  <c r="E111" i="44"/>
  <c r="D111" i="44"/>
  <c r="E108" i="44"/>
  <c r="D108" i="44"/>
  <c r="E105" i="44"/>
  <c r="D105" i="44"/>
  <c r="E101" i="44"/>
  <c r="D101" i="44"/>
  <c r="E100" i="44"/>
  <c r="D100" i="44"/>
  <c r="E99" i="44"/>
  <c r="D99" i="44"/>
  <c r="E98" i="44"/>
  <c r="D98" i="44"/>
  <c r="E95" i="44"/>
  <c r="D95" i="44"/>
  <c r="E94" i="44"/>
  <c r="D94" i="44"/>
  <c r="E93" i="44"/>
  <c r="D93" i="44"/>
  <c r="E86" i="44"/>
  <c r="D86" i="44"/>
  <c r="E85" i="44"/>
  <c r="D85" i="44"/>
  <c r="E84" i="44"/>
  <c r="D84" i="44"/>
  <c r="E81" i="44"/>
  <c r="D81" i="44"/>
  <c r="E78" i="44"/>
  <c r="D78" i="44"/>
  <c r="E77" i="44"/>
  <c r="D77" i="44"/>
  <c r="E76" i="44"/>
  <c r="D76" i="44"/>
  <c r="E75" i="44"/>
  <c r="D75" i="44"/>
  <c r="E71" i="44"/>
  <c r="D71" i="44"/>
  <c r="E67" i="44"/>
  <c r="D67" i="44"/>
  <c r="E66" i="44"/>
  <c r="D66" i="44"/>
  <c r="E65" i="44"/>
  <c r="D65" i="44"/>
  <c r="E62" i="44"/>
  <c r="D62" i="44"/>
  <c r="E61" i="44"/>
  <c r="D61" i="44"/>
  <c r="E58" i="44"/>
  <c r="D58" i="44"/>
  <c r="E57" i="44"/>
  <c r="D57" i="44"/>
  <c r="E56" i="44"/>
  <c r="D56" i="44"/>
  <c r="E53" i="44"/>
  <c r="D53" i="44"/>
  <c r="E52" i="44"/>
  <c r="D52" i="44"/>
  <c r="E51" i="44"/>
  <c r="D51" i="44"/>
  <c r="E48" i="44"/>
  <c r="D48" i="44"/>
  <c r="E45" i="44"/>
  <c r="D45" i="44"/>
  <c r="E42" i="44"/>
  <c r="D42" i="44"/>
  <c r="E41" i="44"/>
  <c r="D41" i="44"/>
  <c r="E36" i="44"/>
  <c r="D36" i="44"/>
  <c r="E35" i="44"/>
  <c r="D35" i="44"/>
  <c r="E32" i="44"/>
  <c r="D32" i="44"/>
  <c r="E31" i="44"/>
  <c r="D31" i="44"/>
  <c r="E30" i="44"/>
  <c r="D30" i="44"/>
  <c r="E27" i="44"/>
  <c r="D27" i="44"/>
  <c r="E26" i="44"/>
  <c r="D26" i="44"/>
  <c r="E25" i="44"/>
  <c r="D25" i="44"/>
  <c r="E24" i="44"/>
  <c r="D24" i="44"/>
  <c r="E23" i="44"/>
  <c r="D23" i="44"/>
  <c r="E22" i="44"/>
  <c r="D22" i="44"/>
  <c r="E129" i="42"/>
  <c r="D129" i="42"/>
  <c r="C129" i="42"/>
  <c r="E121" i="42"/>
  <c r="D121" i="42"/>
  <c r="C121" i="42"/>
  <c r="E120" i="42"/>
  <c r="D120" i="42"/>
  <c r="C120" i="42"/>
  <c r="G140" i="42"/>
  <c r="G139" i="42"/>
  <c r="G138" i="42"/>
  <c r="G137" i="42"/>
  <c r="G136" i="42"/>
  <c r="G135" i="42"/>
  <c r="G134" i="42"/>
  <c r="G133" i="42"/>
  <c r="G125" i="42"/>
  <c r="G115" i="42"/>
  <c r="G114" i="42"/>
  <c r="G113" i="42"/>
  <c r="G109" i="42"/>
  <c r="G108" i="42"/>
  <c r="G104" i="42"/>
  <c r="G103" i="42"/>
  <c r="G99" i="42"/>
  <c r="G98" i="42"/>
  <c r="G94" i="42"/>
  <c r="G93" i="42"/>
  <c r="G92" i="42"/>
  <c r="G91" i="42"/>
  <c r="G90" i="42"/>
  <c r="G89" i="42"/>
  <c r="G88" i="42"/>
  <c r="G87" i="42"/>
  <c r="G86" i="42"/>
  <c r="G82" i="42"/>
  <c r="G81" i="42"/>
  <c r="G80" i="42"/>
  <c r="G79" i="42"/>
  <c r="G75" i="42"/>
  <c r="G74" i="42"/>
  <c r="G73" i="42"/>
  <c r="G72" i="42"/>
  <c r="G71" i="42"/>
  <c r="G70" i="42"/>
  <c r="G69" i="42"/>
  <c r="G68" i="42"/>
  <c r="G67" i="42"/>
  <c r="G63" i="42"/>
  <c r="G62" i="42"/>
  <c r="G61" i="42"/>
  <c r="G60" i="42"/>
  <c r="G59" i="42"/>
  <c r="G58" i="42"/>
  <c r="G57" i="42"/>
  <c r="G56" i="42"/>
  <c r="G52" i="42"/>
  <c r="G51" i="42"/>
  <c r="G50" i="42"/>
  <c r="G49" i="42"/>
  <c r="G48" i="42"/>
  <c r="G47" i="42"/>
  <c r="G46" i="42"/>
  <c r="G45" i="42"/>
  <c r="G41" i="42"/>
  <c r="G40" i="42"/>
  <c r="G39" i="42"/>
  <c r="G38" i="42"/>
  <c r="G37" i="42"/>
  <c r="G36" i="42"/>
  <c r="G35" i="42"/>
  <c r="G34" i="42"/>
  <c r="G30" i="42"/>
  <c r="G29" i="42"/>
  <c r="G28" i="42"/>
  <c r="G27" i="42"/>
  <c r="G26" i="42"/>
  <c r="G25" i="42"/>
  <c r="G24" i="42"/>
  <c r="G23" i="42"/>
  <c r="G19" i="42"/>
  <c r="G18" i="42"/>
  <c r="G17" i="42"/>
  <c r="G16" i="42"/>
  <c r="G15" i="42"/>
  <c r="G14" i="42"/>
  <c r="G13" i="42"/>
  <c r="E140" i="42"/>
  <c r="D140" i="42"/>
  <c r="C140" i="42"/>
  <c r="E139" i="42"/>
  <c r="D139" i="42"/>
  <c r="C139" i="42"/>
  <c r="E138" i="42"/>
  <c r="D138" i="42"/>
  <c r="C138" i="42"/>
  <c r="E137" i="42"/>
  <c r="D137" i="42"/>
  <c r="C137" i="42"/>
  <c r="E136" i="42"/>
  <c r="D136" i="42"/>
  <c r="C136" i="42"/>
  <c r="E135" i="42"/>
  <c r="D135" i="42"/>
  <c r="C135" i="42"/>
  <c r="E134" i="42"/>
  <c r="D134" i="42"/>
  <c r="C134" i="42"/>
  <c r="E133" i="42"/>
  <c r="D133" i="42"/>
  <c r="C133" i="42"/>
  <c r="E125" i="42"/>
  <c r="D125" i="42"/>
  <c r="C125" i="42"/>
  <c r="E115" i="42"/>
  <c r="D115" i="42"/>
  <c r="C115" i="42"/>
  <c r="E114" i="42"/>
  <c r="D114" i="42"/>
  <c r="C114" i="42"/>
  <c r="E113" i="42"/>
  <c r="D113" i="42"/>
  <c r="C113" i="42"/>
  <c r="E109" i="42"/>
  <c r="D109" i="42"/>
  <c r="C109" i="42"/>
  <c r="E108" i="42"/>
  <c r="D108" i="42"/>
  <c r="C108" i="42"/>
  <c r="E104" i="42"/>
  <c r="D104" i="42"/>
  <c r="C104" i="42"/>
  <c r="E103" i="42"/>
  <c r="D103" i="42"/>
  <c r="C103" i="42"/>
  <c r="E99" i="42"/>
  <c r="D99" i="42"/>
  <c r="C99" i="42"/>
  <c r="E98" i="42"/>
  <c r="D98" i="42"/>
  <c r="C98" i="42"/>
  <c r="E94" i="42"/>
  <c r="D94" i="42"/>
  <c r="C94" i="42"/>
  <c r="E93" i="42"/>
  <c r="D93" i="42"/>
  <c r="C93" i="42"/>
  <c r="E92" i="42"/>
  <c r="D92" i="42"/>
  <c r="C92" i="42"/>
  <c r="E91" i="42"/>
  <c r="D91" i="42"/>
  <c r="C91" i="42"/>
  <c r="E90" i="42"/>
  <c r="D90" i="42"/>
  <c r="C90" i="42"/>
  <c r="E89" i="42"/>
  <c r="D89" i="42"/>
  <c r="C89" i="42"/>
  <c r="E88" i="42"/>
  <c r="D88" i="42"/>
  <c r="C88" i="42"/>
  <c r="E87" i="42"/>
  <c r="D87" i="42"/>
  <c r="C87" i="42"/>
  <c r="E86" i="42"/>
  <c r="D86" i="42"/>
  <c r="C86" i="42"/>
  <c r="E82" i="42"/>
  <c r="D82" i="42"/>
  <c r="C82" i="42"/>
  <c r="E81" i="42"/>
  <c r="D81" i="42"/>
  <c r="C81" i="42"/>
  <c r="E80" i="42"/>
  <c r="D80" i="42"/>
  <c r="C80" i="42"/>
  <c r="E79" i="42"/>
  <c r="D79" i="42"/>
  <c r="C79" i="42"/>
  <c r="E75" i="42"/>
  <c r="D75" i="42"/>
  <c r="C75" i="42"/>
  <c r="E74" i="42"/>
  <c r="D74" i="42"/>
  <c r="C74" i="42"/>
  <c r="E73" i="42"/>
  <c r="D73" i="42"/>
  <c r="C73" i="42"/>
  <c r="E72" i="42"/>
  <c r="D72" i="42"/>
  <c r="C72" i="42"/>
  <c r="E71" i="42"/>
  <c r="D71" i="42"/>
  <c r="C71" i="42"/>
  <c r="E70" i="42"/>
  <c r="D70" i="42"/>
  <c r="C70" i="42"/>
  <c r="E69" i="42"/>
  <c r="D69" i="42"/>
  <c r="C69" i="42"/>
  <c r="E68" i="42"/>
  <c r="D68" i="42"/>
  <c r="C68" i="42"/>
  <c r="E67" i="42"/>
  <c r="D67" i="42"/>
  <c r="C67" i="42"/>
  <c r="E63" i="42"/>
  <c r="D63" i="42"/>
  <c r="C63" i="42"/>
  <c r="E62" i="42"/>
  <c r="D62" i="42"/>
  <c r="C62" i="42"/>
  <c r="E61" i="42"/>
  <c r="D61" i="42"/>
  <c r="C61" i="42"/>
  <c r="E60" i="42"/>
  <c r="D60" i="42"/>
  <c r="C60" i="42"/>
  <c r="E59" i="42"/>
  <c r="D59" i="42"/>
  <c r="C59" i="42"/>
  <c r="E58" i="42"/>
  <c r="D58" i="42"/>
  <c r="C58" i="42"/>
  <c r="E57" i="42"/>
  <c r="D57" i="42"/>
  <c r="C57" i="42"/>
  <c r="E56" i="42"/>
  <c r="D56" i="42"/>
  <c r="C56" i="42"/>
  <c r="E52" i="42"/>
  <c r="D52" i="42"/>
  <c r="C52" i="42"/>
  <c r="E51" i="42"/>
  <c r="D51" i="42"/>
  <c r="C51" i="42"/>
  <c r="E50" i="42"/>
  <c r="D50" i="42"/>
  <c r="C50" i="42"/>
  <c r="E49" i="42"/>
  <c r="D49" i="42"/>
  <c r="C49" i="42"/>
  <c r="E48" i="42"/>
  <c r="D48" i="42"/>
  <c r="C48" i="42"/>
  <c r="E47" i="42"/>
  <c r="D47" i="42"/>
  <c r="C47" i="42"/>
  <c r="E46" i="42"/>
  <c r="D46" i="42"/>
  <c r="C46" i="42"/>
  <c r="E45" i="42"/>
  <c r="D45" i="42"/>
  <c r="C45" i="42"/>
  <c r="E41" i="42"/>
  <c r="D41" i="42"/>
  <c r="C41" i="42"/>
  <c r="E40" i="42"/>
  <c r="D40" i="42"/>
  <c r="C40" i="42"/>
  <c r="E39" i="42"/>
  <c r="D39" i="42"/>
  <c r="C39" i="42"/>
  <c r="E38" i="42"/>
  <c r="D38" i="42"/>
  <c r="C38" i="42"/>
  <c r="E37" i="42"/>
  <c r="D37" i="42"/>
  <c r="C37" i="42"/>
  <c r="E36" i="42"/>
  <c r="D36" i="42"/>
  <c r="C36" i="42"/>
  <c r="E35" i="42"/>
  <c r="D35" i="42"/>
  <c r="C35" i="42"/>
  <c r="E34" i="42"/>
  <c r="D34" i="42"/>
  <c r="C34" i="42"/>
  <c r="E30" i="42"/>
  <c r="D30" i="42"/>
  <c r="C30" i="42"/>
  <c r="E29" i="42"/>
  <c r="D29" i="42"/>
  <c r="C29" i="42"/>
  <c r="E28" i="42"/>
  <c r="D28" i="42"/>
  <c r="C28" i="42"/>
  <c r="E27" i="42"/>
  <c r="D27" i="42"/>
  <c r="C27" i="42"/>
  <c r="E26" i="42"/>
  <c r="D26" i="42"/>
  <c r="C26" i="42"/>
  <c r="E25" i="42"/>
  <c r="D25" i="42"/>
  <c r="C25" i="42"/>
  <c r="E24" i="42"/>
  <c r="D24" i="42"/>
  <c r="C24" i="42"/>
  <c r="E23" i="42"/>
  <c r="D23" i="42"/>
  <c r="C23" i="42"/>
  <c r="E19" i="42"/>
  <c r="D19" i="42"/>
  <c r="C19" i="42"/>
  <c r="E18" i="42"/>
  <c r="D18" i="42"/>
  <c r="C18" i="42"/>
  <c r="E17" i="42"/>
  <c r="D17" i="42"/>
  <c r="C17" i="42"/>
  <c r="E16" i="42"/>
  <c r="D16" i="42"/>
  <c r="C16" i="42"/>
  <c r="E15" i="42"/>
  <c r="D15" i="42"/>
  <c r="C15" i="42"/>
  <c r="E14" i="42"/>
  <c r="D14" i="42"/>
  <c r="C14" i="42"/>
  <c r="E13" i="42"/>
  <c r="D13" i="42"/>
  <c r="C13" i="42"/>
  <c r="G12" i="42"/>
  <c r="E12" i="42"/>
  <c r="D12" i="42"/>
  <c r="C12" i="42"/>
  <c r="G448" i="15"/>
  <c r="G447" i="15"/>
  <c r="G446" i="15"/>
  <c r="G441" i="15"/>
  <c r="G437" i="15"/>
  <c r="G436" i="15"/>
  <c r="G435" i="15"/>
  <c r="G434" i="15"/>
  <c r="G429" i="15"/>
  <c r="G428" i="15"/>
  <c r="G427" i="15"/>
  <c r="G422" i="15"/>
  <c r="G421" i="15"/>
  <c r="G420" i="15"/>
  <c r="G416" i="15"/>
  <c r="G415" i="15"/>
  <c r="G414" i="15"/>
  <c r="G410" i="15"/>
  <c r="G409" i="15"/>
  <c r="G407" i="15"/>
  <c r="G402" i="15"/>
  <c r="G397" i="15"/>
  <c r="G393" i="15"/>
  <c r="G389" i="15"/>
  <c r="G388" i="15"/>
  <c r="G387" i="15"/>
  <c r="G383" i="15"/>
  <c r="G382" i="15"/>
  <c r="G377" i="15"/>
  <c r="G376" i="15"/>
  <c r="G375" i="15"/>
  <c r="G371" i="15"/>
  <c r="G370" i="15"/>
  <c r="G369" i="15"/>
  <c r="G365" i="15"/>
  <c r="G364" i="15"/>
  <c r="G363" i="15"/>
  <c r="G359" i="15"/>
  <c r="G358" i="15"/>
  <c r="G357" i="15"/>
  <c r="G353" i="15"/>
  <c r="G352" i="15"/>
  <c r="G351" i="15"/>
  <c r="G347" i="15"/>
  <c r="G346" i="15"/>
  <c r="G345" i="15"/>
  <c r="G341" i="15"/>
  <c r="G340" i="15"/>
  <c r="G339" i="15"/>
  <c r="G335" i="15"/>
  <c r="G334" i="15"/>
  <c r="G329" i="15"/>
  <c r="G328" i="15"/>
  <c r="G323" i="15"/>
  <c r="G322" i="15"/>
  <c r="G317" i="15"/>
  <c r="G316" i="15"/>
  <c r="G311" i="15"/>
  <c r="G310" i="15"/>
  <c r="G309" i="15"/>
  <c r="G305" i="15"/>
  <c r="G303" i="15"/>
  <c r="G302" i="15"/>
  <c r="G301" i="15"/>
  <c r="G300" i="15"/>
  <c r="G298" i="15"/>
  <c r="G297" i="15"/>
  <c r="G296" i="15"/>
  <c r="G294" i="15"/>
  <c r="G293" i="15"/>
  <c r="G277" i="15"/>
  <c r="G276" i="15"/>
  <c r="G275" i="15"/>
  <c r="G274" i="15"/>
  <c r="G273" i="15"/>
  <c r="G269" i="15"/>
  <c r="G268" i="15"/>
  <c r="G267" i="15"/>
  <c r="G266" i="15"/>
  <c r="G265" i="15"/>
  <c r="G261" i="15"/>
  <c r="G260" i="15"/>
  <c r="G259" i="15"/>
  <c r="G257" i="15"/>
  <c r="G256" i="15"/>
  <c r="G255" i="15"/>
  <c r="G254" i="15"/>
  <c r="G250" i="15"/>
  <c r="G249" i="15"/>
  <c r="G248" i="15"/>
  <c r="G246" i="15"/>
  <c r="G245" i="15"/>
  <c r="G244" i="15"/>
  <c r="G243" i="15"/>
  <c r="G239" i="15"/>
  <c r="G238" i="15"/>
  <c r="G237" i="15"/>
  <c r="G235" i="15"/>
  <c r="G234" i="15"/>
  <c r="G233" i="15"/>
  <c r="G232" i="15"/>
  <c r="G228" i="15"/>
  <c r="G227" i="15"/>
  <c r="G226" i="15"/>
  <c r="G224" i="15"/>
  <c r="G223" i="15"/>
  <c r="G222" i="15"/>
  <c r="G221" i="15"/>
  <c r="G217" i="15"/>
  <c r="G216" i="15"/>
  <c r="G215" i="15"/>
  <c r="G213" i="15"/>
  <c r="G212" i="15"/>
  <c r="G211" i="15"/>
  <c r="G210" i="15"/>
  <c r="G206" i="15"/>
  <c r="G205" i="15"/>
  <c r="G204" i="15"/>
  <c r="G203" i="15"/>
  <c r="G202" i="15"/>
  <c r="G201" i="15"/>
  <c r="G200" i="15"/>
  <c r="G199" i="15"/>
  <c r="G195" i="15"/>
  <c r="G194" i="15"/>
  <c r="G193" i="15"/>
  <c r="G192" i="15"/>
  <c r="G191" i="15"/>
  <c r="G187" i="15"/>
  <c r="G186" i="15"/>
  <c r="G185" i="15"/>
  <c r="G181" i="15"/>
  <c r="G180" i="15"/>
  <c r="G179" i="15"/>
  <c r="G178" i="15"/>
  <c r="G174" i="15"/>
  <c r="G173" i="15"/>
  <c r="G169" i="15"/>
  <c r="G168" i="15"/>
  <c r="G167" i="15"/>
  <c r="G163" i="15"/>
  <c r="G162" i="15"/>
  <c r="G161" i="15"/>
  <c r="G157" i="15"/>
  <c r="G156" i="15"/>
  <c r="G155" i="15"/>
  <c r="G154" i="15"/>
  <c r="G150" i="15"/>
  <c r="G149" i="15"/>
  <c r="G148" i="15"/>
  <c r="G147" i="15"/>
  <c r="G146" i="15"/>
  <c r="G145" i="15"/>
  <c r="G144" i="15"/>
  <c r="G143" i="15"/>
  <c r="G139" i="15"/>
  <c r="G138" i="15"/>
  <c r="G137" i="15"/>
  <c r="G136" i="15"/>
  <c r="G135" i="15"/>
  <c r="G134" i="15"/>
  <c r="G133" i="15"/>
  <c r="G132" i="15"/>
  <c r="G131" i="15"/>
  <c r="G130" i="15"/>
  <c r="G129" i="15"/>
  <c r="G128" i="15"/>
  <c r="G127" i="15"/>
  <c r="G126" i="15"/>
  <c r="G125" i="15"/>
  <c r="G124" i="15"/>
  <c r="G123" i="15"/>
  <c r="G122" i="15"/>
  <c r="G121" i="15"/>
  <c r="G120" i="15"/>
  <c r="G119" i="15"/>
  <c r="G118" i="15"/>
  <c r="G117" i="15"/>
  <c r="G116" i="15"/>
  <c r="G115" i="15"/>
  <c r="G114" i="15"/>
  <c r="G113" i="15"/>
  <c r="G112" i="15"/>
  <c r="G111" i="15"/>
  <c r="G110" i="15"/>
  <c r="G109" i="15"/>
  <c r="G108" i="15"/>
  <c r="G107" i="15"/>
  <c r="G106" i="15"/>
  <c r="G105" i="15"/>
  <c r="G104" i="15"/>
  <c r="G103" i="15"/>
  <c r="G102" i="15"/>
  <c r="G101" i="15"/>
  <c r="G100" i="15"/>
  <c r="G99" i="15"/>
  <c r="G98" i="15"/>
  <c r="G97" i="15"/>
  <c r="G93" i="15"/>
  <c r="G92" i="15"/>
  <c r="G91" i="15"/>
  <c r="G90" i="15"/>
  <c r="G89" i="15"/>
  <c r="G88" i="15"/>
  <c r="G87" i="15"/>
  <c r="G86" i="15"/>
  <c r="G85" i="15"/>
  <c r="G84" i="15"/>
  <c r="G83" i="15"/>
  <c r="G82" i="15"/>
  <c r="G81" i="15"/>
  <c r="G80" i="15"/>
  <c r="G79" i="15"/>
  <c r="G78" i="15"/>
  <c r="G77" i="15"/>
  <c r="G76" i="15"/>
  <c r="G75" i="15"/>
  <c r="G74" i="15"/>
  <c r="G73" i="15"/>
  <c r="G72" i="15"/>
  <c r="G71" i="15"/>
  <c r="G70" i="15"/>
  <c r="G66" i="15"/>
  <c r="G65" i="15"/>
  <c r="G64" i="15"/>
  <c r="G60" i="15"/>
  <c r="G56" i="15"/>
  <c r="G52" i="15"/>
  <c r="G51" i="15"/>
  <c r="G50" i="15"/>
  <c r="G49" i="15"/>
  <c r="G45" i="15"/>
  <c r="G44" i="15"/>
  <c r="G43" i="15"/>
  <c r="G42" i="15"/>
  <c r="G38" i="15"/>
  <c r="G37" i="15"/>
  <c r="G36" i="15"/>
  <c r="G35" i="15"/>
  <c r="G34" i="15"/>
  <c r="G33" i="15"/>
  <c r="G30" i="15"/>
  <c r="G29" i="15"/>
  <c r="G25" i="15"/>
  <c r="G24" i="15"/>
  <c r="G20" i="15"/>
  <c r="G19" i="15"/>
  <c r="G18" i="15"/>
  <c r="G17" i="15"/>
  <c r="G16" i="15"/>
  <c r="E449" i="15"/>
  <c r="D449" i="15"/>
  <c r="C449" i="15"/>
  <c r="E448" i="15"/>
  <c r="D448" i="15"/>
  <c r="C448" i="15"/>
  <c r="E447" i="15"/>
  <c r="D447" i="15"/>
  <c r="C447" i="15"/>
  <c r="E446" i="15"/>
  <c r="D446" i="15"/>
  <c r="C446" i="15"/>
  <c r="E441" i="15"/>
  <c r="D441" i="15"/>
  <c r="C441" i="15"/>
  <c r="E437" i="15"/>
  <c r="D437" i="15"/>
  <c r="C437" i="15"/>
  <c r="E436" i="15"/>
  <c r="D436" i="15"/>
  <c r="C436" i="15"/>
  <c r="E435" i="15"/>
  <c r="D435" i="15"/>
  <c r="C435" i="15"/>
  <c r="E434" i="15"/>
  <c r="D434" i="15"/>
  <c r="C434" i="15"/>
  <c r="E429" i="15"/>
  <c r="D429" i="15"/>
  <c r="C429" i="15"/>
  <c r="E428" i="15"/>
  <c r="D428" i="15"/>
  <c r="C428" i="15"/>
  <c r="E427" i="15"/>
  <c r="D427" i="15"/>
  <c r="C427" i="15"/>
  <c r="E422" i="15"/>
  <c r="D422" i="15"/>
  <c r="C422" i="15"/>
  <c r="E421" i="15"/>
  <c r="D421" i="15"/>
  <c r="C421" i="15"/>
  <c r="E420" i="15"/>
  <c r="D420" i="15"/>
  <c r="C420" i="15"/>
  <c r="E416" i="15"/>
  <c r="D416" i="15"/>
  <c r="C416" i="15"/>
  <c r="E415" i="15"/>
  <c r="D415" i="15"/>
  <c r="C415" i="15"/>
  <c r="E414" i="15"/>
  <c r="D414" i="15"/>
  <c r="C414" i="15"/>
  <c r="E410" i="15"/>
  <c r="D410" i="15"/>
  <c r="C410" i="15"/>
  <c r="E409" i="15"/>
  <c r="D409" i="15"/>
  <c r="C409" i="15"/>
  <c r="E408" i="15"/>
  <c r="D408" i="15"/>
  <c r="C408" i="15"/>
  <c r="E407" i="15"/>
  <c r="D407" i="15"/>
  <c r="C407" i="15"/>
  <c r="E403" i="15"/>
  <c r="D403" i="15"/>
  <c r="C403" i="15"/>
  <c r="E402" i="15"/>
  <c r="D402" i="15"/>
  <c r="C402" i="15"/>
  <c r="E398" i="15"/>
  <c r="D398" i="15"/>
  <c r="C398" i="15"/>
  <c r="E397" i="15"/>
  <c r="D397" i="15"/>
  <c r="C397" i="15"/>
  <c r="E393" i="15"/>
  <c r="D393" i="15"/>
  <c r="C393" i="15"/>
  <c r="E389" i="15"/>
  <c r="D389" i="15"/>
  <c r="C389" i="15"/>
  <c r="E388" i="15"/>
  <c r="D388" i="15"/>
  <c r="C388" i="15"/>
  <c r="E387" i="15"/>
  <c r="D387" i="15"/>
  <c r="C387" i="15"/>
  <c r="E383" i="15"/>
  <c r="D383" i="15"/>
  <c r="C383" i="15"/>
  <c r="E382" i="15"/>
  <c r="D382" i="15"/>
  <c r="C382" i="15"/>
  <c r="E381" i="15"/>
  <c r="D381" i="15"/>
  <c r="C381" i="15"/>
  <c r="E377" i="15"/>
  <c r="D377" i="15"/>
  <c r="C377" i="15"/>
  <c r="E376" i="15"/>
  <c r="D376" i="15"/>
  <c r="C376" i="15"/>
  <c r="E375" i="15"/>
  <c r="D375" i="15"/>
  <c r="C375" i="15"/>
  <c r="E371" i="15"/>
  <c r="D371" i="15"/>
  <c r="C371" i="15"/>
  <c r="E370" i="15"/>
  <c r="D370" i="15"/>
  <c r="C370" i="15"/>
  <c r="E369" i="15"/>
  <c r="D369" i="15"/>
  <c r="C369" i="15"/>
  <c r="E365" i="15"/>
  <c r="D365" i="15"/>
  <c r="C365" i="15"/>
  <c r="E364" i="15"/>
  <c r="D364" i="15"/>
  <c r="C364" i="15"/>
  <c r="E363" i="15"/>
  <c r="D363" i="15"/>
  <c r="C363" i="15"/>
  <c r="E359" i="15"/>
  <c r="D359" i="15"/>
  <c r="C359" i="15"/>
  <c r="E358" i="15"/>
  <c r="D358" i="15"/>
  <c r="C358" i="15"/>
  <c r="E357" i="15"/>
  <c r="D357" i="15"/>
  <c r="C357" i="15"/>
  <c r="E353" i="15"/>
  <c r="D353" i="15"/>
  <c r="C353" i="15"/>
  <c r="E352" i="15"/>
  <c r="D352" i="15"/>
  <c r="C352" i="15"/>
  <c r="E351" i="15"/>
  <c r="D351" i="15"/>
  <c r="C351" i="15"/>
  <c r="E347" i="15"/>
  <c r="D347" i="15"/>
  <c r="C347" i="15"/>
  <c r="E346" i="15"/>
  <c r="D346" i="15"/>
  <c r="C346" i="15"/>
  <c r="E345" i="15"/>
  <c r="D345" i="15"/>
  <c r="C345" i="15"/>
  <c r="E341" i="15"/>
  <c r="D341" i="15"/>
  <c r="C341" i="15"/>
  <c r="E340" i="15"/>
  <c r="D340" i="15"/>
  <c r="C340" i="15"/>
  <c r="E339" i="15"/>
  <c r="D339" i="15"/>
  <c r="C339" i="15"/>
  <c r="E335" i="15"/>
  <c r="D335" i="15"/>
  <c r="C335" i="15"/>
  <c r="E334" i="15"/>
  <c r="D334" i="15"/>
  <c r="C334" i="15"/>
  <c r="E333" i="15"/>
  <c r="D333" i="15"/>
  <c r="C333" i="15"/>
  <c r="E329" i="15"/>
  <c r="D329" i="15"/>
  <c r="C329" i="15"/>
  <c r="E328" i="15"/>
  <c r="D328" i="15"/>
  <c r="C328" i="15"/>
  <c r="E327" i="15"/>
  <c r="D327" i="15"/>
  <c r="C327" i="15"/>
  <c r="E323" i="15"/>
  <c r="D323" i="15"/>
  <c r="C323" i="15"/>
  <c r="E322" i="15"/>
  <c r="D322" i="15"/>
  <c r="C322" i="15"/>
  <c r="E321" i="15"/>
  <c r="D321" i="15"/>
  <c r="C321" i="15"/>
  <c r="E317" i="15"/>
  <c r="D317" i="15"/>
  <c r="C317" i="15"/>
  <c r="E316" i="15"/>
  <c r="D316" i="15"/>
  <c r="C316" i="15"/>
  <c r="E315" i="15"/>
  <c r="D315" i="15"/>
  <c r="C315" i="15"/>
  <c r="E311" i="15"/>
  <c r="D311" i="15"/>
  <c r="C311" i="15"/>
  <c r="E310" i="15"/>
  <c r="D310" i="15"/>
  <c r="C310" i="15"/>
  <c r="E309" i="15"/>
  <c r="D309" i="15"/>
  <c r="C309" i="15"/>
  <c r="E305" i="15"/>
  <c r="D305" i="15"/>
  <c r="C305" i="15"/>
  <c r="E304" i="15"/>
  <c r="D304" i="15"/>
  <c r="C304" i="15"/>
  <c r="E303" i="15"/>
  <c r="D303" i="15"/>
  <c r="C303" i="15"/>
  <c r="E302" i="15"/>
  <c r="D302" i="15"/>
  <c r="C302" i="15"/>
  <c r="E301" i="15"/>
  <c r="D301" i="15"/>
  <c r="C301" i="15"/>
  <c r="E300" i="15"/>
  <c r="D300" i="15"/>
  <c r="C300" i="15"/>
  <c r="E299" i="15"/>
  <c r="D299" i="15"/>
  <c r="C299" i="15"/>
  <c r="E298" i="15"/>
  <c r="D298" i="15"/>
  <c r="C298" i="15"/>
  <c r="E297" i="15"/>
  <c r="D297" i="15"/>
  <c r="C297" i="15"/>
  <c r="E296" i="15"/>
  <c r="D296" i="15"/>
  <c r="C296" i="15"/>
  <c r="E295" i="15"/>
  <c r="D295" i="15"/>
  <c r="C295" i="15"/>
  <c r="E294" i="15"/>
  <c r="D294" i="15"/>
  <c r="C294" i="15"/>
  <c r="E293" i="15"/>
  <c r="D293" i="15"/>
  <c r="C293" i="15"/>
  <c r="E289" i="15"/>
  <c r="D289" i="15"/>
  <c r="C289" i="15"/>
  <c r="E288" i="15"/>
  <c r="D288" i="15"/>
  <c r="C288" i="15"/>
  <c r="E287" i="15"/>
  <c r="D287" i="15"/>
  <c r="C287" i="15"/>
  <c r="E283" i="15"/>
  <c r="D283" i="15"/>
  <c r="C283" i="15"/>
  <c r="E282" i="15"/>
  <c r="D282" i="15"/>
  <c r="C282" i="15"/>
  <c r="E281" i="15"/>
  <c r="D281" i="15"/>
  <c r="C281" i="15"/>
  <c r="E277" i="15"/>
  <c r="D277" i="15"/>
  <c r="C277" i="15"/>
  <c r="E276" i="15"/>
  <c r="D276" i="15"/>
  <c r="C276" i="15"/>
  <c r="E275" i="15"/>
  <c r="D275" i="15"/>
  <c r="C275" i="15"/>
  <c r="E274" i="15"/>
  <c r="D274" i="15"/>
  <c r="C274" i="15"/>
  <c r="E273" i="15"/>
  <c r="D273" i="15"/>
  <c r="C273" i="15"/>
  <c r="E269" i="15"/>
  <c r="D269" i="15"/>
  <c r="C269" i="15"/>
  <c r="E268" i="15"/>
  <c r="D268" i="15"/>
  <c r="C268" i="15"/>
  <c r="E267" i="15"/>
  <c r="D267" i="15"/>
  <c r="C267" i="15"/>
  <c r="E266" i="15"/>
  <c r="D266" i="15"/>
  <c r="C266" i="15"/>
  <c r="E265" i="15"/>
  <c r="D265" i="15"/>
  <c r="C265" i="15"/>
  <c r="E261" i="15"/>
  <c r="D261" i="15"/>
  <c r="C261" i="15"/>
  <c r="E260" i="15"/>
  <c r="D260" i="15"/>
  <c r="C260" i="15"/>
  <c r="E259" i="15"/>
  <c r="D259" i="15"/>
  <c r="C259" i="15"/>
  <c r="E258" i="15"/>
  <c r="D258" i="15"/>
  <c r="C258" i="15"/>
  <c r="E257" i="15"/>
  <c r="D257" i="15"/>
  <c r="C257" i="15"/>
  <c r="E256" i="15"/>
  <c r="D256" i="15"/>
  <c r="C256" i="15"/>
  <c r="E255" i="15"/>
  <c r="D255" i="15"/>
  <c r="C255" i="15"/>
  <c r="E254" i="15"/>
  <c r="D254" i="15"/>
  <c r="C254" i="15"/>
  <c r="E250" i="15"/>
  <c r="D250" i="15"/>
  <c r="C250" i="15"/>
  <c r="E249" i="15"/>
  <c r="D249" i="15"/>
  <c r="C249" i="15"/>
  <c r="E248" i="15"/>
  <c r="D248" i="15"/>
  <c r="C248" i="15"/>
  <c r="E247" i="15"/>
  <c r="D247" i="15"/>
  <c r="C247" i="15"/>
  <c r="E246" i="15"/>
  <c r="D246" i="15"/>
  <c r="C246" i="15"/>
  <c r="E245" i="15"/>
  <c r="D245" i="15"/>
  <c r="C245" i="15"/>
  <c r="E244" i="15"/>
  <c r="D244" i="15"/>
  <c r="C244" i="15"/>
  <c r="E243" i="15"/>
  <c r="D243" i="15"/>
  <c r="C243" i="15"/>
  <c r="E239" i="15"/>
  <c r="D239" i="15"/>
  <c r="C239" i="15"/>
  <c r="E238" i="15"/>
  <c r="D238" i="15"/>
  <c r="C238" i="15"/>
  <c r="E237" i="15"/>
  <c r="D237" i="15"/>
  <c r="C237" i="15"/>
  <c r="E236" i="15"/>
  <c r="D236" i="15"/>
  <c r="C236" i="15"/>
  <c r="E235" i="15"/>
  <c r="D235" i="15"/>
  <c r="C235" i="15"/>
  <c r="E234" i="15"/>
  <c r="D234" i="15"/>
  <c r="C234" i="15"/>
  <c r="E233" i="15"/>
  <c r="D233" i="15"/>
  <c r="C233" i="15"/>
  <c r="E232" i="15"/>
  <c r="D232" i="15"/>
  <c r="C232" i="15"/>
  <c r="E228" i="15"/>
  <c r="D228" i="15"/>
  <c r="C228" i="15"/>
  <c r="E227" i="15"/>
  <c r="D227" i="15"/>
  <c r="C227" i="15"/>
  <c r="E226" i="15"/>
  <c r="D226" i="15"/>
  <c r="C226" i="15"/>
  <c r="E225" i="15"/>
  <c r="D225" i="15"/>
  <c r="C225" i="15"/>
  <c r="E224" i="15"/>
  <c r="D224" i="15"/>
  <c r="C224" i="15"/>
  <c r="E223" i="15"/>
  <c r="D223" i="15"/>
  <c r="C223" i="15"/>
  <c r="E222" i="15"/>
  <c r="D222" i="15"/>
  <c r="C222" i="15"/>
  <c r="E221" i="15"/>
  <c r="D221" i="15"/>
  <c r="C221" i="15"/>
  <c r="E217" i="15"/>
  <c r="D217" i="15"/>
  <c r="C217" i="15"/>
  <c r="E216" i="15"/>
  <c r="D216" i="15"/>
  <c r="C216" i="15"/>
  <c r="E215" i="15"/>
  <c r="D215" i="15"/>
  <c r="C215" i="15"/>
  <c r="E214" i="15"/>
  <c r="D214" i="15"/>
  <c r="C214" i="15"/>
  <c r="E213" i="15"/>
  <c r="D213" i="15"/>
  <c r="C213" i="15"/>
  <c r="E212" i="15"/>
  <c r="D212" i="15"/>
  <c r="C212" i="15"/>
  <c r="E211" i="15"/>
  <c r="D211" i="15"/>
  <c r="C211" i="15"/>
  <c r="E210" i="15"/>
  <c r="D210" i="15"/>
  <c r="C210" i="15"/>
  <c r="E206" i="15"/>
  <c r="D206" i="15"/>
  <c r="C206" i="15"/>
  <c r="E205" i="15"/>
  <c r="D205" i="15"/>
  <c r="C205" i="15"/>
  <c r="E204" i="15"/>
  <c r="D204" i="15"/>
  <c r="C204" i="15"/>
  <c r="E203" i="15"/>
  <c r="D203" i="15"/>
  <c r="C203" i="15"/>
  <c r="E202" i="15"/>
  <c r="D202" i="15"/>
  <c r="C202" i="15"/>
  <c r="E201" i="15"/>
  <c r="D201" i="15"/>
  <c r="C201" i="15"/>
  <c r="E200" i="15"/>
  <c r="D200" i="15"/>
  <c r="C200" i="15"/>
  <c r="E199" i="15"/>
  <c r="D199" i="15"/>
  <c r="C199" i="15"/>
  <c r="E195" i="15"/>
  <c r="D195" i="15"/>
  <c r="C195" i="15"/>
  <c r="E194" i="15"/>
  <c r="D194" i="15"/>
  <c r="C194" i="15"/>
  <c r="E193" i="15"/>
  <c r="D193" i="15"/>
  <c r="C193" i="15"/>
  <c r="E192" i="15"/>
  <c r="D192" i="15"/>
  <c r="C192" i="15"/>
  <c r="E191" i="15"/>
  <c r="D191" i="15"/>
  <c r="C191" i="15"/>
  <c r="E187" i="15"/>
  <c r="D187" i="15"/>
  <c r="C187" i="15"/>
  <c r="E186" i="15"/>
  <c r="D186" i="15"/>
  <c r="C186" i="15"/>
  <c r="E185" i="15"/>
  <c r="D185" i="15"/>
  <c r="C185" i="15"/>
  <c r="E181" i="15"/>
  <c r="D181" i="15"/>
  <c r="C181" i="15"/>
  <c r="E180" i="15"/>
  <c r="D180" i="15"/>
  <c r="C180" i="15"/>
  <c r="E179" i="15"/>
  <c r="D179" i="15"/>
  <c r="C179" i="15"/>
  <c r="E178" i="15"/>
  <c r="D178" i="15"/>
  <c r="C178" i="15"/>
  <c r="E174" i="15"/>
  <c r="D174" i="15"/>
  <c r="C174" i="15"/>
  <c r="E173" i="15"/>
  <c r="D173" i="15"/>
  <c r="C173" i="15"/>
  <c r="E169" i="15"/>
  <c r="D169" i="15"/>
  <c r="C169" i="15"/>
  <c r="E168" i="15"/>
  <c r="D168" i="15"/>
  <c r="C168" i="15"/>
  <c r="E167" i="15"/>
  <c r="D167" i="15"/>
  <c r="C167" i="15"/>
  <c r="E163" i="15"/>
  <c r="D163" i="15"/>
  <c r="C163" i="15"/>
  <c r="E162" i="15"/>
  <c r="D162" i="15"/>
  <c r="C162" i="15"/>
  <c r="E161" i="15"/>
  <c r="D161" i="15"/>
  <c r="C161" i="15"/>
  <c r="E157" i="15"/>
  <c r="D157" i="15"/>
  <c r="C157" i="15"/>
  <c r="E156" i="15"/>
  <c r="D156" i="15"/>
  <c r="C156" i="15"/>
  <c r="E155" i="15"/>
  <c r="D155" i="15"/>
  <c r="C155" i="15"/>
  <c r="E154" i="15"/>
  <c r="D154" i="15"/>
  <c r="C154" i="15"/>
  <c r="E150" i="15"/>
  <c r="D150" i="15"/>
  <c r="C150" i="15"/>
  <c r="E149" i="15"/>
  <c r="D149" i="15"/>
  <c r="C149" i="15"/>
  <c r="E148" i="15"/>
  <c r="D148" i="15"/>
  <c r="C148" i="15"/>
  <c r="E147" i="15"/>
  <c r="D147" i="15"/>
  <c r="C147" i="15"/>
  <c r="E146" i="15"/>
  <c r="D146" i="15"/>
  <c r="C146" i="15"/>
  <c r="E145" i="15"/>
  <c r="D145" i="15"/>
  <c r="C145" i="15"/>
  <c r="E144" i="15"/>
  <c r="D144" i="15"/>
  <c r="C144" i="15"/>
  <c r="E143" i="15"/>
  <c r="D143" i="15"/>
  <c r="C143" i="15"/>
  <c r="E139" i="15"/>
  <c r="D139" i="15"/>
  <c r="C139" i="15"/>
  <c r="E138" i="15"/>
  <c r="D138" i="15"/>
  <c r="C138" i="15"/>
  <c r="E137" i="15"/>
  <c r="D137" i="15"/>
  <c r="C137" i="15"/>
  <c r="E136" i="15"/>
  <c r="D136" i="15"/>
  <c r="C136" i="15"/>
  <c r="E135" i="15"/>
  <c r="D135" i="15"/>
  <c r="C135" i="15"/>
  <c r="E134" i="15"/>
  <c r="D134" i="15"/>
  <c r="C134" i="15"/>
  <c r="E133" i="15"/>
  <c r="D133" i="15"/>
  <c r="C133" i="15"/>
  <c r="E132" i="15"/>
  <c r="D132" i="15"/>
  <c r="C132" i="15"/>
  <c r="E131" i="15"/>
  <c r="D131" i="15"/>
  <c r="C131" i="15"/>
  <c r="E130" i="15"/>
  <c r="D130" i="15"/>
  <c r="C130" i="15"/>
  <c r="E129" i="15"/>
  <c r="D129" i="15"/>
  <c r="C129" i="15"/>
  <c r="E128" i="15"/>
  <c r="D128" i="15"/>
  <c r="C128" i="15"/>
  <c r="E127" i="15"/>
  <c r="D127" i="15"/>
  <c r="C127" i="15"/>
  <c r="E126" i="15"/>
  <c r="D126" i="15"/>
  <c r="C126" i="15"/>
  <c r="E125" i="15"/>
  <c r="D125" i="15"/>
  <c r="C125" i="15"/>
  <c r="E124" i="15"/>
  <c r="D124" i="15"/>
  <c r="C124" i="15"/>
  <c r="E123" i="15"/>
  <c r="D123" i="15"/>
  <c r="C123" i="15"/>
  <c r="E122" i="15"/>
  <c r="D122" i="15"/>
  <c r="C122" i="15"/>
  <c r="E121" i="15"/>
  <c r="D121" i="15"/>
  <c r="C121" i="15"/>
  <c r="E120" i="15"/>
  <c r="D120" i="15"/>
  <c r="C120" i="15"/>
  <c r="E119" i="15"/>
  <c r="D119" i="15"/>
  <c r="C119" i="15"/>
  <c r="E118" i="15"/>
  <c r="D118" i="15"/>
  <c r="C118" i="15"/>
  <c r="E117" i="15"/>
  <c r="D117" i="15"/>
  <c r="C117" i="15"/>
  <c r="E116" i="15"/>
  <c r="D116" i="15"/>
  <c r="C116" i="15"/>
  <c r="E115" i="15"/>
  <c r="D115" i="15"/>
  <c r="C115" i="15"/>
  <c r="E114" i="15"/>
  <c r="D114" i="15"/>
  <c r="C114" i="15"/>
  <c r="E113" i="15"/>
  <c r="D113" i="15"/>
  <c r="C113" i="15"/>
  <c r="E112" i="15"/>
  <c r="D112" i="15"/>
  <c r="C112" i="15"/>
  <c r="E111" i="15"/>
  <c r="D111" i="15"/>
  <c r="C111" i="15"/>
  <c r="E110" i="15"/>
  <c r="D110" i="15"/>
  <c r="C110" i="15"/>
  <c r="E109" i="15"/>
  <c r="D109" i="15"/>
  <c r="C109" i="15"/>
  <c r="E108" i="15"/>
  <c r="D108" i="15"/>
  <c r="C108" i="15"/>
  <c r="E107" i="15"/>
  <c r="D107" i="15"/>
  <c r="C107" i="15"/>
  <c r="E106" i="15"/>
  <c r="D106" i="15"/>
  <c r="C106" i="15"/>
  <c r="E105" i="15"/>
  <c r="D105" i="15"/>
  <c r="C105" i="15"/>
  <c r="E104" i="15"/>
  <c r="D104" i="15"/>
  <c r="C104" i="15"/>
  <c r="E103" i="15"/>
  <c r="D103" i="15"/>
  <c r="C103" i="15"/>
  <c r="E102" i="15"/>
  <c r="D102" i="15"/>
  <c r="C102" i="15"/>
  <c r="E101" i="15"/>
  <c r="D101" i="15"/>
  <c r="C101" i="15"/>
  <c r="E100" i="15"/>
  <c r="D100" i="15"/>
  <c r="C100" i="15"/>
  <c r="E99" i="15"/>
  <c r="D99" i="15"/>
  <c r="C99" i="15"/>
  <c r="E98" i="15"/>
  <c r="D98" i="15"/>
  <c r="C98" i="15"/>
  <c r="E97" i="15"/>
  <c r="D97" i="15"/>
  <c r="C97" i="15"/>
  <c r="E93" i="15"/>
  <c r="D93" i="15"/>
  <c r="C93" i="15"/>
  <c r="E92" i="15"/>
  <c r="D92" i="15"/>
  <c r="C92" i="15"/>
  <c r="E91" i="15"/>
  <c r="D91" i="15"/>
  <c r="C91" i="15"/>
  <c r="E90" i="15"/>
  <c r="D90" i="15"/>
  <c r="C90" i="15"/>
  <c r="E89" i="15"/>
  <c r="D89" i="15"/>
  <c r="C89" i="15"/>
  <c r="E88" i="15"/>
  <c r="D88" i="15"/>
  <c r="C88" i="15"/>
  <c r="E87" i="15"/>
  <c r="D87" i="15"/>
  <c r="C87" i="15"/>
  <c r="E86" i="15"/>
  <c r="D86" i="15"/>
  <c r="C86" i="15"/>
  <c r="E85" i="15"/>
  <c r="D85" i="15"/>
  <c r="C85" i="15"/>
  <c r="E84" i="15"/>
  <c r="D84" i="15"/>
  <c r="C84" i="15"/>
  <c r="E83" i="15"/>
  <c r="D83" i="15"/>
  <c r="C83" i="15"/>
  <c r="E82" i="15"/>
  <c r="D82" i="15"/>
  <c r="C82" i="15"/>
  <c r="E81" i="15"/>
  <c r="D81" i="15"/>
  <c r="C81" i="15"/>
  <c r="E80" i="15"/>
  <c r="D80" i="15"/>
  <c r="C80" i="15"/>
  <c r="E79" i="15"/>
  <c r="D79" i="15"/>
  <c r="C79" i="15"/>
  <c r="E78" i="15"/>
  <c r="D78" i="15"/>
  <c r="C78" i="15"/>
  <c r="E77" i="15"/>
  <c r="D77" i="15"/>
  <c r="C77" i="15"/>
  <c r="E76" i="15"/>
  <c r="D76" i="15"/>
  <c r="C76" i="15"/>
  <c r="E75" i="15"/>
  <c r="D75" i="15"/>
  <c r="C75" i="15"/>
  <c r="E74" i="15"/>
  <c r="D74" i="15"/>
  <c r="C74" i="15"/>
  <c r="E73" i="15"/>
  <c r="D73" i="15"/>
  <c r="C73" i="15"/>
  <c r="E72" i="15"/>
  <c r="D72" i="15"/>
  <c r="C72" i="15"/>
  <c r="E71" i="15"/>
  <c r="D71" i="15"/>
  <c r="C71" i="15"/>
  <c r="E70" i="15"/>
  <c r="D70" i="15"/>
  <c r="C70" i="15"/>
  <c r="E66" i="15"/>
  <c r="D66" i="15"/>
  <c r="C66" i="15"/>
  <c r="E65" i="15"/>
  <c r="D65" i="15"/>
  <c r="C65" i="15"/>
  <c r="E64" i="15"/>
  <c r="D64" i="15"/>
  <c r="C64" i="15"/>
  <c r="E60" i="15"/>
  <c r="D60" i="15"/>
  <c r="C60" i="15"/>
  <c r="E56" i="15"/>
  <c r="D56" i="15"/>
  <c r="C56" i="15"/>
  <c r="E52" i="15"/>
  <c r="D52" i="15"/>
  <c r="C52" i="15"/>
  <c r="E51" i="15"/>
  <c r="D51" i="15"/>
  <c r="C51" i="15"/>
  <c r="E50" i="15"/>
  <c r="D50" i="15"/>
  <c r="C50" i="15"/>
  <c r="E49" i="15"/>
  <c r="D49" i="15"/>
  <c r="C49" i="15"/>
  <c r="E45" i="15"/>
  <c r="D45" i="15"/>
  <c r="C45" i="15"/>
  <c r="E44" i="15"/>
  <c r="D44" i="15"/>
  <c r="C44" i="15"/>
  <c r="E43" i="15"/>
  <c r="D43" i="15"/>
  <c r="C43" i="15"/>
  <c r="E42" i="15"/>
  <c r="D42" i="15"/>
  <c r="C42" i="15"/>
  <c r="E38" i="15"/>
  <c r="D38" i="15"/>
  <c r="C38" i="15"/>
  <c r="E37" i="15"/>
  <c r="D37" i="15"/>
  <c r="C37" i="15"/>
  <c r="E36" i="15"/>
  <c r="D36" i="15"/>
  <c r="C36" i="15"/>
  <c r="E35" i="15"/>
  <c r="D35" i="15"/>
  <c r="C35" i="15"/>
  <c r="E34" i="15"/>
  <c r="D34" i="15"/>
  <c r="C34" i="15"/>
  <c r="E33" i="15"/>
  <c r="D33" i="15"/>
  <c r="C33" i="15"/>
  <c r="E30" i="15"/>
  <c r="D30" i="15"/>
  <c r="C30" i="15"/>
  <c r="E29" i="15"/>
  <c r="D29" i="15"/>
  <c r="C29" i="15"/>
  <c r="E25" i="15"/>
  <c r="D25" i="15"/>
  <c r="C25" i="15"/>
  <c r="E24" i="15"/>
  <c r="D24" i="15"/>
  <c r="C24" i="15"/>
  <c r="E20" i="15"/>
  <c r="D20" i="15"/>
  <c r="C20" i="15"/>
  <c r="E19" i="15"/>
  <c r="D19" i="15"/>
  <c r="C19" i="15"/>
  <c r="E18" i="15"/>
  <c r="D18" i="15"/>
  <c r="C18" i="15"/>
  <c r="E17" i="15"/>
  <c r="D17" i="15"/>
  <c r="C17" i="15"/>
  <c r="E16" i="15"/>
  <c r="D16" i="15"/>
  <c r="C16" i="15"/>
  <c r="G12" i="15"/>
  <c r="E12" i="15"/>
  <c r="D12" i="15"/>
  <c r="C12" i="15"/>
  <c r="F7" i="21" l="1"/>
  <c r="B145" i="42" l="1"/>
  <c r="B49" i="46" l="1"/>
  <c r="B48" i="46"/>
  <c r="B47" i="46"/>
  <c r="B46" i="46"/>
  <c r="B45" i="46"/>
  <c r="H21" i="46"/>
  <c r="H18" i="46"/>
  <c r="H12" i="46"/>
  <c r="H22" i="46" l="1"/>
  <c r="W141" i="42" l="1"/>
  <c r="W140" i="42"/>
  <c r="H140" i="42"/>
  <c r="W139" i="42"/>
  <c r="H139" i="42"/>
  <c r="W138" i="42"/>
  <c r="H138" i="42"/>
  <c r="W137" i="42"/>
  <c r="F137" i="42"/>
  <c r="W136" i="42"/>
  <c r="H136" i="42"/>
  <c r="W135" i="42"/>
  <c r="H135" i="42"/>
  <c r="W134" i="42"/>
  <c r="H134" i="42"/>
  <c r="W133" i="42"/>
  <c r="H133" i="42"/>
  <c r="W132" i="42"/>
  <c r="W131" i="42"/>
  <c r="F129" i="42"/>
  <c r="B129" i="42"/>
  <c r="F125" i="42"/>
  <c r="H125" i="42" s="1"/>
  <c r="H124" i="42" s="1"/>
  <c r="G120" i="42" s="1"/>
  <c r="B121" i="42"/>
  <c r="B120" i="42"/>
  <c r="H448" i="15"/>
  <c r="H447" i="15"/>
  <c r="H446" i="15"/>
  <c r="H120" i="42" l="1"/>
  <c r="H137" i="42"/>
  <c r="H132" i="42" s="1"/>
  <c r="G129" i="42" l="1"/>
  <c r="H129" i="42" s="1"/>
  <c r="H128" i="42" s="1"/>
  <c r="G121" i="42" s="1"/>
  <c r="H121" i="42" s="1"/>
  <c r="H119" i="42" s="1"/>
  <c r="G449" i="15" s="1"/>
  <c r="H449" i="15" s="1"/>
  <c r="H445" i="15" s="1"/>
  <c r="G227" i="44" s="1"/>
  <c r="B453" i="15"/>
  <c r="H157" i="15" l="1"/>
  <c r="H156" i="15"/>
  <c r="H155" i="15"/>
  <c r="H154" i="15"/>
  <c r="H150" i="15"/>
  <c r="H149" i="15"/>
  <c r="H148" i="15"/>
  <c r="H147" i="15"/>
  <c r="H146" i="15"/>
  <c r="H145" i="15"/>
  <c r="H144" i="15"/>
  <c r="H143" i="15"/>
  <c r="H99" i="15"/>
  <c r="H100" i="15"/>
  <c r="H101" i="15"/>
  <c r="H102" i="15"/>
  <c r="H103" i="15"/>
  <c r="H104" i="15"/>
  <c r="H105" i="15"/>
  <c r="H106" i="15"/>
  <c r="H108" i="15"/>
  <c r="H109" i="15"/>
  <c r="H110" i="15"/>
  <c r="H111" i="15"/>
  <c r="H112" i="15"/>
  <c r="H113" i="15"/>
  <c r="H114" i="15"/>
  <c r="H115" i="15"/>
  <c r="H116" i="15"/>
  <c r="H118" i="15"/>
  <c r="H119" i="15"/>
  <c r="H120" i="15"/>
  <c r="H121" i="15"/>
  <c r="H122" i="15"/>
  <c r="H123" i="15"/>
  <c r="H124" i="15"/>
  <c r="H125" i="15"/>
  <c r="H126" i="15"/>
  <c r="H127" i="15"/>
  <c r="H128" i="15"/>
  <c r="H129" i="15"/>
  <c r="H130" i="15"/>
  <c r="H131" i="15"/>
  <c r="H132" i="15"/>
  <c r="H133" i="15"/>
  <c r="H134" i="15"/>
  <c r="H135" i="15"/>
  <c r="H136" i="15"/>
  <c r="H137" i="15"/>
  <c r="H138" i="15"/>
  <c r="H139" i="15"/>
  <c r="H107" i="15"/>
  <c r="H117" i="15"/>
  <c r="H98" i="15"/>
  <c r="H97" i="15"/>
  <c r="H74" i="15"/>
  <c r="H75" i="15"/>
  <c r="H76" i="15"/>
  <c r="H77" i="15"/>
  <c r="H78" i="15"/>
  <c r="H79" i="15"/>
  <c r="H80" i="15"/>
  <c r="H81" i="15"/>
  <c r="H82" i="15"/>
  <c r="H83" i="15"/>
  <c r="H84" i="15"/>
  <c r="H85" i="15"/>
  <c r="H86" i="15"/>
  <c r="H87" i="15"/>
  <c r="H88" i="15"/>
  <c r="H89" i="15"/>
  <c r="H90" i="15"/>
  <c r="H91" i="15"/>
  <c r="H93" i="15"/>
  <c r="H72" i="15"/>
  <c r="H70" i="15"/>
  <c r="H96" i="15" l="1"/>
  <c r="G25" i="44" s="1"/>
  <c r="H142" i="15"/>
  <c r="G32" i="44" s="1"/>
  <c r="H153" i="15"/>
  <c r="G71" i="44" s="1"/>
  <c r="H92" i="15"/>
  <c r="H73" i="15"/>
  <c r="H71" i="15"/>
  <c r="H69" i="15" l="1"/>
  <c r="G24" i="44" s="1"/>
  <c r="G45" i="16" l="1"/>
  <c r="F45" i="16"/>
  <c r="E45" i="16"/>
  <c r="G37" i="16"/>
  <c r="F37" i="16"/>
  <c r="E37" i="16"/>
  <c r="G29" i="16"/>
  <c r="E29" i="16"/>
  <c r="F29" i="16"/>
  <c r="G21" i="16"/>
  <c r="F21" i="16"/>
  <c r="E21" i="16"/>
  <c r="G13" i="16"/>
  <c r="F13" i="16"/>
  <c r="E13" i="16"/>
  <c r="G198" i="45" l="1"/>
  <c r="G195" i="45"/>
  <c r="G190" i="45"/>
  <c r="G183" i="45"/>
  <c r="E183" i="45"/>
  <c r="G182" i="45"/>
  <c r="E182" i="45"/>
  <c r="G181" i="45"/>
  <c r="E181" i="45"/>
  <c r="G180" i="45"/>
  <c r="E180" i="45"/>
  <c r="G179" i="45"/>
  <c r="E179" i="45"/>
  <c r="G178" i="45"/>
  <c r="E178" i="45"/>
  <c r="G177" i="45"/>
  <c r="E177" i="45"/>
  <c r="G176" i="45"/>
  <c r="E176" i="45"/>
  <c r="G175" i="45"/>
  <c r="E175" i="45"/>
  <c r="G174" i="45"/>
  <c r="E174" i="45"/>
  <c r="G173" i="45"/>
  <c r="E173" i="45"/>
  <c r="G172" i="45"/>
  <c r="E172" i="45"/>
  <c r="G171" i="45"/>
  <c r="E171" i="45"/>
  <c r="G170" i="45"/>
  <c r="E170" i="45"/>
  <c r="G169" i="45"/>
  <c r="E169" i="45"/>
  <c r="G168" i="45"/>
  <c r="E168" i="45"/>
  <c r="G167" i="45"/>
  <c r="E167" i="45"/>
  <c r="G166" i="45"/>
  <c r="E166" i="45"/>
  <c r="G165" i="45"/>
  <c r="E165" i="45"/>
  <c r="G164" i="45"/>
  <c r="E164" i="45"/>
  <c r="G163" i="45"/>
  <c r="G187" i="45" s="1"/>
  <c r="H188" i="45" s="1"/>
  <c r="E163" i="45"/>
  <c r="G162" i="45"/>
  <c r="E162" i="45"/>
  <c r="G161" i="45"/>
  <c r="E161" i="45"/>
  <c r="G160" i="45"/>
  <c r="E160" i="45"/>
  <c r="G159" i="45"/>
  <c r="E159" i="45"/>
  <c r="G158" i="45"/>
  <c r="E158" i="45"/>
  <c r="G157" i="45"/>
  <c r="E157" i="45"/>
  <c r="G156" i="45"/>
  <c r="E156" i="45"/>
  <c r="G155" i="45"/>
  <c r="E155" i="45"/>
  <c r="D155" i="45"/>
  <c r="G154" i="45"/>
  <c r="E154" i="45"/>
  <c r="D154" i="45"/>
  <c r="G153" i="45"/>
  <c r="E153" i="45"/>
  <c r="D153" i="45"/>
  <c r="G152" i="45"/>
  <c r="E152" i="45"/>
  <c r="D152" i="45"/>
  <c r="G151" i="45"/>
  <c r="E151" i="45"/>
  <c r="D151" i="45"/>
  <c r="G150" i="45"/>
  <c r="E150" i="45"/>
  <c r="D150" i="45"/>
  <c r="G149" i="45"/>
  <c r="E149" i="45"/>
  <c r="D149" i="45"/>
  <c r="G148" i="45"/>
  <c r="E148" i="45"/>
  <c r="D148" i="45"/>
  <c r="G147" i="45"/>
  <c r="E147" i="45"/>
  <c r="D147" i="45"/>
  <c r="G146" i="45"/>
  <c r="E146" i="45"/>
  <c r="D146" i="45"/>
  <c r="G145" i="45"/>
  <c r="E145" i="45"/>
  <c r="D145" i="45"/>
  <c r="G144" i="45"/>
  <c r="E144" i="45"/>
  <c r="D144" i="45"/>
  <c r="G143" i="45"/>
  <c r="E143" i="45"/>
  <c r="D143" i="45"/>
  <c r="G142" i="45"/>
  <c r="E142" i="45"/>
  <c r="D142" i="45"/>
  <c r="G141" i="45"/>
  <c r="E141" i="45"/>
  <c r="D141" i="45"/>
  <c r="G140" i="45"/>
  <c r="E140" i="45"/>
  <c r="D140" i="45"/>
  <c r="G139" i="45"/>
  <c r="E139" i="45"/>
  <c r="D139" i="45"/>
  <c r="G138" i="45"/>
  <c r="E138" i="45"/>
  <c r="D138" i="45"/>
  <c r="G137" i="45"/>
  <c r="E137" i="45"/>
  <c r="D137" i="45"/>
  <c r="G136" i="45"/>
  <c r="E136" i="45"/>
  <c r="D136" i="45"/>
  <c r="G135" i="45"/>
  <c r="E135" i="45"/>
  <c r="D135" i="45"/>
  <c r="G134" i="45"/>
  <c r="E134" i="45"/>
  <c r="D134" i="45"/>
  <c r="G133" i="45"/>
  <c r="E133" i="45"/>
  <c r="D133" i="45"/>
  <c r="G132" i="45"/>
  <c r="E132" i="45"/>
  <c r="D132" i="45"/>
  <c r="G131" i="45"/>
  <c r="E131" i="45"/>
  <c r="D131" i="45"/>
  <c r="G130" i="45"/>
  <c r="E130" i="45"/>
  <c r="D130" i="45"/>
  <c r="G129" i="45"/>
  <c r="E129" i="45"/>
  <c r="D129" i="45"/>
  <c r="G128" i="45"/>
  <c r="E128" i="45"/>
  <c r="D128" i="45"/>
  <c r="G127" i="45"/>
  <c r="E127" i="45"/>
  <c r="D127" i="45"/>
  <c r="G126" i="45"/>
  <c r="E126" i="45"/>
  <c r="D126" i="45"/>
  <c r="G125" i="45"/>
  <c r="E125" i="45"/>
  <c r="D125" i="45"/>
  <c r="G124" i="45"/>
  <c r="E124" i="45"/>
  <c r="D124" i="45"/>
  <c r="G123" i="45"/>
  <c r="E123" i="45"/>
  <c r="D123" i="45"/>
  <c r="G122" i="45"/>
  <c r="E122" i="45"/>
  <c r="D122" i="45"/>
  <c r="G121" i="45"/>
  <c r="E121" i="45"/>
  <c r="D121" i="45"/>
  <c r="G120" i="45"/>
  <c r="E120" i="45"/>
  <c r="D120" i="45"/>
  <c r="G119" i="45"/>
  <c r="E119" i="45"/>
  <c r="D119" i="45"/>
  <c r="G118" i="45"/>
  <c r="E118" i="45"/>
  <c r="D118" i="45"/>
  <c r="G117" i="45"/>
  <c r="E117" i="45"/>
  <c r="D117" i="45"/>
  <c r="G116" i="45"/>
  <c r="E116" i="45"/>
  <c r="D116" i="45"/>
  <c r="G115" i="45"/>
  <c r="E115" i="45"/>
  <c r="D115" i="45"/>
  <c r="G114" i="45"/>
  <c r="E114" i="45"/>
  <c r="D114" i="45"/>
  <c r="G113" i="45"/>
  <c r="E113" i="45"/>
  <c r="D113" i="45"/>
  <c r="G112" i="45"/>
  <c r="E112" i="45"/>
  <c r="D112" i="45"/>
  <c r="G111" i="45"/>
  <c r="E111" i="45"/>
  <c r="D111" i="45"/>
  <c r="G110" i="45"/>
  <c r="E110" i="45"/>
  <c r="D110" i="45"/>
  <c r="G109" i="45"/>
  <c r="E109" i="45"/>
  <c r="D109" i="45"/>
  <c r="G108" i="45"/>
  <c r="E108" i="45"/>
  <c r="D108" i="45"/>
  <c r="G107" i="45"/>
  <c r="E107" i="45"/>
  <c r="D107" i="45"/>
  <c r="G106" i="45"/>
  <c r="E106" i="45"/>
  <c r="D106" i="45"/>
  <c r="G105" i="45"/>
  <c r="E105" i="45"/>
  <c r="D105" i="45"/>
  <c r="G104" i="45"/>
  <c r="E104" i="45"/>
  <c r="D104" i="45"/>
  <c r="G103" i="45"/>
  <c r="E103" i="45"/>
  <c r="D103" i="45"/>
  <c r="G102" i="45"/>
  <c r="E102" i="45"/>
  <c r="D102" i="45"/>
  <c r="G101" i="45"/>
  <c r="E101" i="45"/>
  <c r="D101" i="45"/>
  <c r="G100" i="45"/>
  <c r="E100" i="45"/>
  <c r="D100" i="45"/>
  <c r="G99" i="45"/>
  <c r="E99" i="45"/>
  <c r="D99" i="45"/>
  <c r="G98" i="45"/>
  <c r="E98" i="45"/>
  <c r="D98" i="45"/>
  <c r="G97" i="45"/>
  <c r="E97" i="45"/>
  <c r="D97" i="45"/>
  <c r="G96" i="45"/>
  <c r="E96" i="45"/>
  <c r="D96" i="45"/>
  <c r="G95" i="45"/>
  <c r="E95" i="45"/>
  <c r="D95" i="45"/>
  <c r="G94" i="45"/>
  <c r="E94" i="45"/>
  <c r="D94" i="45"/>
  <c r="G93" i="45"/>
  <c r="E93" i="45"/>
  <c r="D93" i="45"/>
  <c r="G92" i="45"/>
  <c r="E92" i="45"/>
  <c r="D92" i="45"/>
  <c r="G91" i="45"/>
  <c r="E91" i="45"/>
  <c r="D91" i="45"/>
  <c r="G90" i="45"/>
  <c r="E90" i="45"/>
  <c r="D90" i="45"/>
  <c r="G89" i="45"/>
  <c r="E89" i="45"/>
  <c r="D89" i="45"/>
  <c r="G88" i="45"/>
  <c r="E88" i="45"/>
  <c r="D88" i="45"/>
  <c r="G87" i="45"/>
  <c r="E87" i="45"/>
  <c r="D87" i="45"/>
  <c r="G86" i="45"/>
  <c r="E86" i="45"/>
  <c r="D86" i="45"/>
  <c r="G85" i="45"/>
  <c r="E85" i="45"/>
  <c r="D85" i="45"/>
  <c r="G84" i="45"/>
  <c r="E84" i="45"/>
  <c r="D84" i="45"/>
  <c r="G83" i="45"/>
  <c r="E83" i="45"/>
  <c r="D83" i="45"/>
  <c r="G82" i="45"/>
  <c r="E82" i="45"/>
  <c r="D82" i="45"/>
  <c r="G81" i="45"/>
  <c r="E81" i="45"/>
  <c r="D81" i="45"/>
  <c r="G80" i="45"/>
  <c r="E80" i="45"/>
  <c r="D80" i="45"/>
  <c r="G79" i="45"/>
  <c r="E79" i="45"/>
  <c r="D79" i="45"/>
  <c r="G78" i="45"/>
  <c r="E78" i="45"/>
  <c r="D78" i="45"/>
  <c r="G77" i="45"/>
  <c r="E77" i="45"/>
  <c r="D77" i="45"/>
  <c r="G76" i="45"/>
  <c r="E76" i="45"/>
  <c r="D76" i="45"/>
  <c r="G75" i="45"/>
  <c r="E75" i="45"/>
  <c r="D75" i="45"/>
  <c r="G74" i="45"/>
  <c r="E74" i="45"/>
  <c r="D74" i="45"/>
  <c r="G73" i="45"/>
  <c r="E73" i="45"/>
  <c r="D73" i="45"/>
  <c r="G72" i="45"/>
  <c r="E72" i="45"/>
  <c r="D72" i="45"/>
  <c r="G71" i="45"/>
  <c r="E71" i="45"/>
  <c r="D71" i="45"/>
  <c r="G70" i="45"/>
  <c r="E70" i="45"/>
  <c r="D70" i="45"/>
  <c r="G69" i="45"/>
  <c r="E69" i="45"/>
  <c r="D69" i="45"/>
  <c r="G68" i="45"/>
  <c r="E68" i="45"/>
  <c r="D68" i="45"/>
  <c r="G67" i="45"/>
  <c r="E67" i="45"/>
  <c r="D67" i="45"/>
  <c r="G66" i="45"/>
  <c r="E66" i="45"/>
  <c r="D66" i="45"/>
  <c r="G65" i="45"/>
  <c r="F65" i="45"/>
  <c r="E65" i="45"/>
  <c r="D65" i="45"/>
  <c r="G64" i="45"/>
  <c r="E64" i="45"/>
  <c r="D64" i="45"/>
  <c r="G63" i="45"/>
  <c r="E63" i="45"/>
  <c r="D63" i="45"/>
  <c r="G62" i="45"/>
  <c r="E62" i="45"/>
  <c r="D62" i="45"/>
  <c r="G61" i="45"/>
  <c r="E61" i="45"/>
  <c r="D61" i="45"/>
  <c r="G60" i="45"/>
  <c r="E60" i="45"/>
  <c r="D60" i="45"/>
  <c r="G59" i="45"/>
  <c r="E59" i="45"/>
  <c r="D59" i="45"/>
  <c r="G58" i="45"/>
  <c r="E58" i="45"/>
  <c r="D58" i="45"/>
  <c r="G57" i="45"/>
  <c r="E57" i="45"/>
  <c r="D57" i="45"/>
  <c r="G56" i="45"/>
  <c r="E56" i="45"/>
  <c r="D56" i="45"/>
  <c r="G55" i="45"/>
  <c r="E55" i="45"/>
  <c r="D55" i="45"/>
  <c r="G54" i="45"/>
  <c r="E54" i="45"/>
  <c r="D54" i="45"/>
  <c r="G53" i="45"/>
  <c r="E53" i="45"/>
  <c r="D53" i="45"/>
  <c r="G52" i="45"/>
  <c r="E52" i="45"/>
  <c r="D52" i="45"/>
  <c r="G51" i="45"/>
  <c r="E51" i="45"/>
  <c r="D51" i="45"/>
  <c r="G50" i="45"/>
  <c r="E50" i="45"/>
  <c r="D50" i="45"/>
  <c r="G49" i="45"/>
  <c r="E49" i="45"/>
  <c r="D49" i="45"/>
  <c r="G48" i="45"/>
  <c r="E48" i="45"/>
  <c r="D48" i="45"/>
  <c r="G47" i="45"/>
  <c r="E47" i="45"/>
  <c r="D47" i="45"/>
  <c r="G46" i="45"/>
  <c r="E46" i="45"/>
  <c r="D46" i="45"/>
  <c r="G45" i="45"/>
  <c r="E45" i="45"/>
  <c r="D45" i="45"/>
  <c r="G44" i="45"/>
  <c r="E44" i="45"/>
  <c r="D44" i="45"/>
  <c r="G43" i="45"/>
  <c r="E43" i="45"/>
  <c r="D43" i="45"/>
  <c r="G42" i="45"/>
  <c r="E42" i="45"/>
  <c r="D42" i="45"/>
  <c r="G41" i="45"/>
  <c r="E41" i="45"/>
  <c r="D41" i="45"/>
  <c r="G40" i="45"/>
  <c r="E40" i="45"/>
  <c r="D40" i="45"/>
  <c r="G39" i="45"/>
  <c r="E39" i="45"/>
  <c r="D39" i="45"/>
  <c r="G38" i="45"/>
  <c r="E38" i="45"/>
  <c r="D38" i="45"/>
  <c r="G37" i="45"/>
  <c r="E37" i="45"/>
  <c r="D37" i="45"/>
  <c r="G36" i="45"/>
  <c r="E36" i="45"/>
  <c r="D36" i="45"/>
  <c r="G35" i="45"/>
  <c r="E35" i="45"/>
  <c r="D35" i="45"/>
  <c r="G34" i="45"/>
  <c r="E34" i="45"/>
  <c r="D34" i="45"/>
  <c r="G33" i="45"/>
  <c r="E33" i="45"/>
  <c r="D33" i="45"/>
  <c r="G32" i="45"/>
  <c r="E32" i="45"/>
  <c r="D32" i="45"/>
  <c r="G31" i="45"/>
  <c r="E31" i="45"/>
  <c r="D31" i="45"/>
  <c r="G30" i="45"/>
  <c r="E30" i="45"/>
  <c r="D30" i="45"/>
  <c r="G29" i="45"/>
  <c r="E29" i="45"/>
  <c r="D29" i="45"/>
  <c r="G28" i="45"/>
  <c r="E28" i="45"/>
  <c r="D28" i="45"/>
  <c r="G27" i="45"/>
  <c r="E27" i="45"/>
  <c r="D27" i="45"/>
  <c r="G26" i="45"/>
  <c r="E26" i="45"/>
  <c r="D26" i="45"/>
  <c r="G25" i="45"/>
  <c r="E25" i="45"/>
  <c r="D25" i="45"/>
  <c r="G24" i="45"/>
  <c r="E24" i="45"/>
  <c r="D24" i="45"/>
  <c r="G23" i="45"/>
  <c r="E23" i="45"/>
  <c r="D23" i="45"/>
  <c r="G22" i="45"/>
  <c r="E22" i="45"/>
  <c r="D22" i="45"/>
  <c r="G21" i="45"/>
  <c r="E21" i="45"/>
  <c r="D21" i="45"/>
  <c r="G20" i="45"/>
  <c r="E20" i="45"/>
  <c r="D20" i="45"/>
  <c r="G19" i="45"/>
  <c r="E19" i="45"/>
  <c r="D19" i="45"/>
  <c r="G18" i="45"/>
  <c r="E18" i="45"/>
  <c r="D18" i="45"/>
  <c r="G17" i="45"/>
  <c r="E17" i="45"/>
  <c r="D17" i="45"/>
  <c r="G16" i="45"/>
  <c r="E16" i="45"/>
  <c r="D16" i="45"/>
  <c r="G15" i="45"/>
  <c r="E15" i="45"/>
  <c r="D15" i="45"/>
  <c r="G14" i="45"/>
  <c r="E14" i="45"/>
  <c r="D14" i="45"/>
  <c r="G13" i="45"/>
  <c r="E13" i="45"/>
  <c r="D13" i="45"/>
  <c r="G12" i="45"/>
  <c r="E12" i="45"/>
  <c r="D12" i="45"/>
  <c r="G11" i="45"/>
  <c r="E11" i="45"/>
  <c r="D11" i="45"/>
  <c r="G10" i="45"/>
  <c r="E10" i="45"/>
  <c r="D10" i="45"/>
  <c r="G9" i="45"/>
  <c r="E9" i="45"/>
  <c r="D9" i="45"/>
  <c r="G8" i="45"/>
  <c r="E8" i="45"/>
  <c r="D8" i="45"/>
  <c r="G7" i="45"/>
  <c r="E7" i="45"/>
  <c r="D7" i="45"/>
  <c r="F30" i="15" l="1"/>
  <c r="F31" i="44"/>
  <c r="F436" i="15"/>
  <c r="H436" i="15" s="1"/>
  <c r="F435" i="15"/>
  <c r="F437" i="15"/>
  <c r="F434" i="15"/>
  <c r="H8" i="15"/>
  <c r="F8" i="21" s="1"/>
  <c r="H7" i="15"/>
  <c r="H8" i="42"/>
  <c r="H7" i="42"/>
  <c r="I7" i="16"/>
  <c r="H435" i="15" l="1"/>
  <c r="F216" i="44"/>
  <c r="J563" i="28" l="1"/>
  <c r="F76" i="44"/>
  <c r="F62" i="44"/>
  <c r="F25" i="15"/>
  <c r="F24" i="15"/>
  <c r="F36" i="44"/>
  <c r="F61" i="44" s="1"/>
  <c r="F65" i="44" s="1"/>
  <c r="F220" i="44"/>
  <c r="F232" i="44"/>
  <c r="F231" i="44"/>
  <c r="F302" i="15"/>
  <c r="F301" i="15"/>
  <c r="F300" i="15"/>
  <c r="H60" i="15"/>
  <c r="H59" i="15" s="1"/>
  <c r="G53" i="44" s="1"/>
  <c r="H56" i="15"/>
  <c r="H52" i="15"/>
  <c r="H51" i="15"/>
  <c r="H50" i="15"/>
  <c r="H49" i="15"/>
  <c r="H45" i="15"/>
  <c r="H44" i="15"/>
  <c r="H43" i="15"/>
  <c r="H42" i="15"/>
  <c r="H12" i="15"/>
  <c r="L59" i="44"/>
  <c r="H58" i="44"/>
  <c r="H57" i="44"/>
  <c r="H56" i="44"/>
  <c r="L55" i="44"/>
  <c r="L54" i="44"/>
  <c r="H53" i="44"/>
  <c r="H52" i="44"/>
  <c r="H51" i="44"/>
  <c r="L50" i="44"/>
  <c r="L49" i="44"/>
  <c r="H48" i="44"/>
  <c r="L47" i="44"/>
  <c r="L46" i="44"/>
  <c r="H45" i="44"/>
  <c r="L44" i="44"/>
  <c r="L43" i="44"/>
  <c r="H42" i="44"/>
  <c r="H41" i="44"/>
  <c r="L40" i="44"/>
  <c r="L39" i="44"/>
  <c r="H41" i="15" l="1"/>
  <c r="G48" i="44" s="1"/>
  <c r="P73" i="44"/>
  <c r="H55" i="15"/>
  <c r="H48" i="15"/>
  <c r="I56" i="44"/>
  <c r="J56" i="44" s="1"/>
  <c r="I45" i="44"/>
  <c r="L45" i="44" s="1"/>
  <c r="I42" i="44"/>
  <c r="L42" i="44" s="1"/>
  <c r="I58" i="44"/>
  <c r="J58" i="44" s="1"/>
  <c r="I41" i="44"/>
  <c r="L41" i="44" s="1"/>
  <c r="I57" i="44"/>
  <c r="L57" i="44" s="1"/>
  <c r="H11" i="15"/>
  <c r="G26" i="44" s="1"/>
  <c r="G51" i="44" l="1"/>
  <c r="I51" i="44" s="1"/>
  <c r="G52" i="44"/>
  <c r="I52" i="44" s="1"/>
  <c r="F66" i="44"/>
  <c r="F67" i="44"/>
  <c r="R67" i="44" s="1"/>
  <c r="L58" i="44"/>
  <c r="J45" i="44"/>
  <c r="L56" i="44"/>
  <c r="J41" i="44"/>
  <c r="J57" i="44"/>
  <c r="J42" i="44"/>
  <c r="J52" i="44" l="1"/>
  <c r="L52" i="44"/>
  <c r="J51" i="44"/>
  <c r="L51" i="44"/>
  <c r="O149" i="44"/>
  <c r="F206" i="44"/>
  <c r="F197" i="44"/>
  <c r="H196" i="44"/>
  <c r="H184" i="44"/>
  <c r="F408" i="15"/>
  <c r="F407" i="15"/>
  <c r="H410" i="15"/>
  <c r="H409" i="15"/>
  <c r="F185" i="44"/>
  <c r="H185" i="44"/>
  <c r="H415" i="15"/>
  <c r="H414" i="15"/>
  <c r="H179" i="44"/>
  <c r="F402" i="15"/>
  <c r="F403" i="15" s="1"/>
  <c r="F397" i="15"/>
  <c r="F398" i="15" s="1"/>
  <c r="H114" i="42"/>
  <c r="H113" i="42"/>
  <c r="F115" i="42"/>
  <c r="H178" i="44"/>
  <c r="H181" i="44"/>
  <c r="I196" i="44" l="1"/>
  <c r="L196" i="44" s="1"/>
  <c r="H407" i="15"/>
  <c r="H416" i="15"/>
  <c r="H413" i="15" s="1"/>
  <c r="I181" i="44"/>
  <c r="L181" i="44" s="1"/>
  <c r="H115" i="42"/>
  <c r="H112" i="42" s="1"/>
  <c r="H402" i="15"/>
  <c r="H389" i="15"/>
  <c r="H388" i="15"/>
  <c r="H387" i="15"/>
  <c r="H383" i="15"/>
  <c r="H382" i="15"/>
  <c r="H377" i="15"/>
  <c r="H376" i="15"/>
  <c r="H375" i="15"/>
  <c r="H371" i="15"/>
  <c r="H370" i="15"/>
  <c r="H369" i="15"/>
  <c r="H365" i="15"/>
  <c r="H364" i="15"/>
  <c r="H363" i="15"/>
  <c r="H359" i="15"/>
  <c r="H358" i="15"/>
  <c r="H357" i="15"/>
  <c r="H353" i="15"/>
  <c r="H352" i="15"/>
  <c r="H351" i="15"/>
  <c r="H347" i="15"/>
  <c r="H346" i="15"/>
  <c r="H345" i="15"/>
  <c r="H341" i="15"/>
  <c r="H340" i="15"/>
  <c r="H339" i="15"/>
  <c r="H335" i="15"/>
  <c r="H334" i="15"/>
  <c r="H329" i="15"/>
  <c r="H328" i="15"/>
  <c r="H323" i="15"/>
  <c r="H322" i="15"/>
  <c r="H317" i="15"/>
  <c r="H316" i="15"/>
  <c r="H310" i="15"/>
  <c r="H309" i="15"/>
  <c r="F422" i="15"/>
  <c r="H421" i="15"/>
  <c r="H420" i="15"/>
  <c r="H175" i="44"/>
  <c r="H174" i="44"/>
  <c r="H173" i="44"/>
  <c r="H172" i="44"/>
  <c r="H171" i="44"/>
  <c r="H170" i="44"/>
  <c r="H169" i="44"/>
  <c r="H168" i="44"/>
  <c r="H167" i="44"/>
  <c r="H166" i="44"/>
  <c r="H165" i="44"/>
  <c r="H164" i="44"/>
  <c r="H163" i="44"/>
  <c r="H162" i="44"/>
  <c r="H161" i="44"/>
  <c r="H160" i="44"/>
  <c r="L177" i="44"/>
  <c r="M177" i="44" s="1"/>
  <c r="L176" i="44"/>
  <c r="M176" i="44" s="1"/>
  <c r="H157" i="44"/>
  <c r="L153" i="44"/>
  <c r="M153" i="44" s="1"/>
  <c r="L152" i="44"/>
  <c r="M152" i="44" s="1"/>
  <c r="F305" i="15"/>
  <c r="F304" i="15"/>
  <c r="H109" i="42"/>
  <c r="H108" i="42"/>
  <c r="F303" i="15"/>
  <c r="H301" i="15"/>
  <c r="H104" i="42"/>
  <c r="H103" i="42"/>
  <c r="F294" i="15"/>
  <c r="F295" i="15"/>
  <c r="H99" i="42"/>
  <c r="H98" i="42"/>
  <c r="F293" i="15"/>
  <c r="F296" i="15" s="1"/>
  <c r="F297" i="15" s="1"/>
  <c r="F288" i="15"/>
  <c r="F89" i="42"/>
  <c r="F87" i="42" s="1"/>
  <c r="F86" i="42"/>
  <c r="F91" i="42" s="1"/>
  <c r="F92" i="42" s="1"/>
  <c r="F93" i="42"/>
  <c r="F94" i="42"/>
  <c r="H94" i="42" s="1"/>
  <c r="F74" i="42"/>
  <c r="F70" i="42"/>
  <c r="F69" i="42" s="1"/>
  <c r="F67" i="42"/>
  <c r="F72" i="42" s="1"/>
  <c r="F73" i="42" s="1"/>
  <c r="F282" i="15"/>
  <c r="F75" i="42"/>
  <c r="F266" i="15"/>
  <c r="F142" i="44"/>
  <c r="F134" i="44"/>
  <c r="F63" i="42"/>
  <c r="H62" i="42"/>
  <c r="H61" i="42"/>
  <c r="H60" i="42"/>
  <c r="H59" i="42"/>
  <c r="H58" i="42"/>
  <c r="H57" i="42"/>
  <c r="H56" i="42"/>
  <c r="H261" i="15"/>
  <c r="H260" i="15"/>
  <c r="H259" i="15"/>
  <c r="H257" i="15"/>
  <c r="H256" i="15"/>
  <c r="H255" i="15"/>
  <c r="H254" i="15"/>
  <c r="F52" i="42"/>
  <c r="H51" i="42"/>
  <c r="H50" i="42"/>
  <c r="H49" i="42"/>
  <c r="H48" i="42"/>
  <c r="H47" i="42"/>
  <c r="H46" i="42"/>
  <c r="H45" i="42"/>
  <c r="H250" i="15"/>
  <c r="H249" i="15"/>
  <c r="H248" i="15"/>
  <c r="H246" i="15"/>
  <c r="H245" i="15"/>
  <c r="H244" i="15"/>
  <c r="H243" i="15"/>
  <c r="F41" i="42"/>
  <c r="H40" i="42"/>
  <c r="H39" i="42"/>
  <c r="H38" i="42"/>
  <c r="H37" i="42"/>
  <c r="H36" i="42"/>
  <c r="H35" i="42"/>
  <c r="H34" i="42"/>
  <c r="H239" i="15"/>
  <c r="H238" i="15"/>
  <c r="H237" i="15"/>
  <c r="H235" i="15"/>
  <c r="H234" i="15"/>
  <c r="H233" i="15"/>
  <c r="H232" i="15"/>
  <c r="F30" i="42"/>
  <c r="H29" i="42"/>
  <c r="H28" i="42"/>
  <c r="H27" i="42"/>
  <c r="H26" i="42"/>
  <c r="H25" i="42"/>
  <c r="H24" i="42"/>
  <c r="H23" i="42"/>
  <c r="H228" i="15"/>
  <c r="H227" i="15"/>
  <c r="H226" i="15"/>
  <c r="H224" i="15"/>
  <c r="H223" i="15"/>
  <c r="H222" i="15"/>
  <c r="H221" i="15"/>
  <c r="F19" i="42"/>
  <c r="H140" i="44"/>
  <c r="H139" i="44"/>
  <c r="H142" i="44"/>
  <c r="H141" i="44"/>
  <c r="H138" i="44"/>
  <c r="F135" i="44"/>
  <c r="H135" i="44"/>
  <c r="H217" i="15"/>
  <c r="H216" i="15"/>
  <c r="H215" i="15"/>
  <c r="H213" i="15"/>
  <c r="H212" i="15"/>
  <c r="H211" i="15"/>
  <c r="H210" i="15"/>
  <c r="F129" i="44"/>
  <c r="F194" i="15"/>
  <c r="F193" i="15"/>
  <c r="F192" i="15"/>
  <c r="F191" i="15"/>
  <c r="H195" i="15"/>
  <c r="J241" i="15"/>
  <c r="H134" i="44"/>
  <c r="H126" i="44"/>
  <c r="F77" i="44"/>
  <c r="R78" i="44" s="1"/>
  <c r="F85" i="44"/>
  <c r="F86" i="44" s="1"/>
  <c r="H169" i="15"/>
  <c r="H168" i="15"/>
  <c r="H167" i="15"/>
  <c r="K99" i="44"/>
  <c r="H99" i="44"/>
  <c r="F163" i="15"/>
  <c r="F162" i="15"/>
  <c r="F161" i="15"/>
  <c r="F100" i="44"/>
  <c r="H101" i="44"/>
  <c r="H180" i="15"/>
  <c r="H100" i="44"/>
  <c r="L119" i="44"/>
  <c r="C8" i="15"/>
  <c r="G184" i="44" l="1"/>
  <c r="I184" i="44" s="1"/>
  <c r="G398" i="15"/>
  <c r="G408" i="15"/>
  <c r="H408" i="15" s="1"/>
  <c r="H406" i="15" s="1"/>
  <c r="G183" i="44" s="1"/>
  <c r="G403" i="15"/>
  <c r="H403" i="15" s="1"/>
  <c r="H401" i="15" s="1"/>
  <c r="G179" i="44" s="1"/>
  <c r="H191" i="15"/>
  <c r="C43" i="16"/>
  <c r="H63" i="42" s="1"/>
  <c r="H55" i="42" s="1"/>
  <c r="G258" i="15" s="1"/>
  <c r="J196" i="44"/>
  <c r="M196" i="44" s="1"/>
  <c r="C35" i="16"/>
  <c r="H52" i="42" s="1"/>
  <c r="H44" i="42" s="1"/>
  <c r="G247" i="15" s="1"/>
  <c r="J181" i="44"/>
  <c r="M181" i="44" s="1"/>
  <c r="F90" i="42"/>
  <c r="H90" i="42" s="1"/>
  <c r="H356" i="15"/>
  <c r="H362" i="15"/>
  <c r="H386" i="15"/>
  <c r="H374" i="15"/>
  <c r="H368" i="15"/>
  <c r="H350" i="15"/>
  <c r="H344" i="15"/>
  <c r="H338" i="15"/>
  <c r="H107" i="42"/>
  <c r="G304" i="15" s="1"/>
  <c r="H311" i="15"/>
  <c r="H308" i="15" s="1"/>
  <c r="I174" i="44"/>
  <c r="J174" i="44" s="1"/>
  <c r="H422" i="15"/>
  <c r="H419" i="15" s="1"/>
  <c r="H305" i="15"/>
  <c r="H303" i="15"/>
  <c r="C67" i="16"/>
  <c r="J69" i="16"/>
  <c r="K69" i="16" s="1"/>
  <c r="H297" i="15"/>
  <c r="H92" i="42"/>
  <c r="H102" i="42"/>
  <c r="G299" i="15" s="1"/>
  <c r="H298" i="15"/>
  <c r="H294" i="15"/>
  <c r="H97" i="42"/>
  <c r="G295" i="15" s="1"/>
  <c r="H86" i="42"/>
  <c r="H93" i="42"/>
  <c r="H87" i="42"/>
  <c r="H296" i="15"/>
  <c r="F88" i="42"/>
  <c r="H88" i="42" s="1"/>
  <c r="H89" i="42"/>
  <c r="H91" i="42"/>
  <c r="F68" i="42"/>
  <c r="F71" i="42"/>
  <c r="H75" i="42"/>
  <c r="J29" i="16"/>
  <c r="L29" i="16" s="1"/>
  <c r="I135" i="44"/>
  <c r="L135" i="44" s="1"/>
  <c r="I126" i="44"/>
  <c r="L126" i="44" s="1"/>
  <c r="I134" i="44"/>
  <c r="J134" i="44" s="1"/>
  <c r="J45" i="16"/>
  <c r="K45" i="16" s="1"/>
  <c r="J37" i="16"/>
  <c r="L37" i="16" s="1"/>
  <c r="C27" i="16"/>
  <c r="H41" i="42" s="1"/>
  <c r="H33" i="42" s="1"/>
  <c r="G236" i="15" s="1"/>
  <c r="J21" i="16"/>
  <c r="K21" i="16" s="1"/>
  <c r="C19" i="16"/>
  <c r="H30" i="42" s="1"/>
  <c r="H193" i="15"/>
  <c r="H192" i="15"/>
  <c r="H166" i="15"/>
  <c r="H232" i="44"/>
  <c r="H231" i="44"/>
  <c r="H227" i="44"/>
  <c r="H220" i="44"/>
  <c r="H216" i="44"/>
  <c r="H215" i="44"/>
  <c r="H214" i="44"/>
  <c r="L235" i="44"/>
  <c r="L234" i="44"/>
  <c r="L233" i="44"/>
  <c r="L230" i="44"/>
  <c r="L229" i="44"/>
  <c r="L228" i="44"/>
  <c r="L226" i="44"/>
  <c r="L225" i="44"/>
  <c r="L224" i="44"/>
  <c r="L223" i="44"/>
  <c r="L222" i="44"/>
  <c r="L221" i="44"/>
  <c r="L219" i="44"/>
  <c r="L218" i="44"/>
  <c r="L217" i="44"/>
  <c r="L213" i="44"/>
  <c r="L212" i="44"/>
  <c r="L211" i="44"/>
  <c r="L210" i="44"/>
  <c r="L18" i="44"/>
  <c r="L17" i="44"/>
  <c r="L16" i="44"/>
  <c r="H15" i="44"/>
  <c r="I15" i="44" s="1"/>
  <c r="L14" i="44"/>
  <c r="L13" i="44"/>
  <c r="H46" i="26"/>
  <c r="H114" i="26"/>
  <c r="H112" i="26"/>
  <c r="H24" i="26"/>
  <c r="H95" i="26"/>
  <c r="H34" i="26"/>
  <c r="H12" i="26"/>
  <c r="H38" i="26"/>
  <c r="J184" i="44" l="1"/>
  <c r="L184" i="44"/>
  <c r="G171" i="44"/>
  <c r="I171" i="44" s="1"/>
  <c r="G160" i="44"/>
  <c r="I160" i="44" s="1"/>
  <c r="G99" i="44"/>
  <c r="I99" i="44" s="1"/>
  <c r="G165" i="44"/>
  <c r="I165" i="44" s="1"/>
  <c r="G166" i="44"/>
  <c r="I166" i="44" s="1"/>
  <c r="G167" i="44"/>
  <c r="I167" i="44" s="1"/>
  <c r="G170" i="44"/>
  <c r="I170" i="44" s="1"/>
  <c r="G169" i="44"/>
  <c r="I169" i="44" s="1"/>
  <c r="G173" i="44"/>
  <c r="I173" i="44" s="1"/>
  <c r="G168" i="44"/>
  <c r="I168" i="44" s="1"/>
  <c r="G185" i="44"/>
  <c r="I185" i="44" s="1"/>
  <c r="H85" i="42"/>
  <c r="H22" i="42"/>
  <c r="G225" i="15" s="1"/>
  <c r="H302" i="15"/>
  <c r="H299" i="15"/>
  <c r="K29" i="16"/>
  <c r="L174" i="44"/>
  <c r="M174" i="44" s="1"/>
  <c r="L69" i="16"/>
  <c r="H295" i="15"/>
  <c r="J135" i="44"/>
  <c r="M135" i="44" s="1"/>
  <c r="L134" i="44"/>
  <c r="M134" i="44" s="1"/>
  <c r="J126" i="44"/>
  <c r="M126" i="44" s="1"/>
  <c r="L45" i="16"/>
  <c r="K37" i="16"/>
  <c r="L21" i="16"/>
  <c r="I232" i="44"/>
  <c r="L232" i="44" s="1"/>
  <c r="I231" i="44"/>
  <c r="L231" i="44" s="1"/>
  <c r="J15" i="44"/>
  <c r="L15" i="44"/>
  <c r="H110" i="26"/>
  <c r="H35" i="26"/>
  <c r="H41" i="26"/>
  <c r="H56" i="26"/>
  <c r="H27" i="26"/>
  <c r="H20" i="26"/>
  <c r="H98" i="26"/>
  <c r="H61" i="26"/>
  <c r="H62" i="26"/>
  <c r="H87" i="26"/>
  <c r="H111" i="26"/>
  <c r="H65" i="26"/>
  <c r="H50" i="26"/>
  <c r="H32" i="26"/>
  <c r="H108" i="26"/>
  <c r="H90" i="26"/>
  <c r="H109" i="26"/>
  <c r="H57" i="26"/>
  <c r="H69" i="26"/>
  <c r="M184" i="44" l="1"/>
  <c r="L168" i="44"/>
  <c r="J168" i="44"/>
  <c r="L170" i="44"/>
  <c r="J170" i="44"/>
  <c r="L167" i="44"/>
  <c r="J167" i="44"/>
  <c r="J169" i="44"/>
  <c r="L169" i="44"/>
  <c r="J99" i="44"/>
  <c r="L99" i="44"/>
  <c r="M99" i="44" s="1"/>
  <c r="J173" i="44"/>
  <c r="L173" i="44"/>
  <c r="J166" i="44"/>
  <c r="L166" i="44"/>
  <c r="L165" i="44"/>
  <c r="J165" i="44"/>
  <c r="L160" i="44"/>
  <c r="J160" i="44"/>
  <c r="L171" i="44"/>
  <c r="J171" i="44"/>
  <c r="J185" i="44"/>
  <c r="L185" i="44"/>
  <c r="M185" i="44" s="1"/>
  <c r="G283" i="15"/>
  <c r="G289" i="15"/>
  <c r="H289" i="15" s="1"/>
  <c r="J17" i="44"/>
  <c r="C12" i="21" s="1"/>
  <c r="J231" i="44"/>
  <c r="J232" i="44"/>
  <c r="M166" i="44" l="1"/>
  <c r="M165" i="44"/>
  <c r="M169" i="44"/>
  <c r="M160" i="44"/>
  <c r="M170" i="44"/>
  <c r="M168" i="44"/>
  <c r="M171" i="44"/>
  <c r="M173" i="44"/>
  <c r="M167" i="44"/>
  <c r="J307" i="15"/>
  <c r="J13" i="16" l="1"/>
  <c r="L13" i="16" s="1"/>
  <c r="K13" i="16" l="1"/>
  <c r="H114" i="44"/>
  <c r="H66" i="44" l="1"/>
  <c r="H19" i="15"/>
  <c r="H20" i="15"/>
  <c r="H18" i="15"/>
  <c r="H27" i="44"/>
  <c r="H26" i="44"/>
  <c r="I66" i="44" l="1"/>
  <c r="I26" i="44"/>
  <c r="J26" i="44" s="1"/>
  <c r="H17" i="15"/>
  <c r="H16" i="15"/>
  <c r="L26" i="44" l="1"/>
  <c r="M26" i="44" s="1"/>
  <c r="H15" i="15"/>
  <c r="G27" i="44" s="1"/>
  <c r="I27" i="44" l="1"/>
  <c r="J27" i="44" s="1"/>
  <c r="L27" i="44" l="1"/>
  <c r="M27" i="44" s="1"/>
  <c r="J117" i="16" l="1"/>
  <c r="K117" i="16" s="1"/>
  <c r="C115" i="16"/>
  <c r="L117" i="16" l="1"/>
  <c r="H304" i="15"/>
  <c r="H181" i="15" l="1"/>
  <c r="H179" i="15"/>
  <c r="H283" i="15" l="1"/>
  <c r="H178" i="15"/>
  <c r="H177" i="15" s="1"/>
  <c r="G100" i="44" s="1"/>
  <c r="H277" i="15" l="1"/>
  <c r="H276" i="15"/>
  <c r="H275" i="15"/>
  <c r="H274" i="15"/>
  <c r="J53" i="16"/>
  <c r="L53" i="16" s="1"/>
  <c r="C51" i="16"/>
  <c r="H205" i="44"/>
  <c r="H204" i="44"/>
  <c r="K53" i="16" l="1"/>
  <c r="I204" i="44"/>
  <c r="L204" i="44" s="1"/>
  <c r="I205" i="44"/>
  <c r="L205" i="44" s="1"/>
  <c r="J204" i="44" l="1"/>
  <c r="M204" i="44" s="1"/>
  <c r="J205" i="44"/>
  <c r="M205" i="44" s="1"/>
  <c r="H193" i="44"/>
  <c r="I193" i="44" l="1"/>
  <c r="L193" i="44" s="1"/>
  <c r="H174" i="15"/>
  <c r="H173" i="15"/>
  <c r="L115" i="44"/>
  <c r="M115" i="44" s="1"/>
  <c r="L102" i="44"/>
  <c r="M102" i="44" s="1"/>
  <c r="K98" i="44"/>
  <c r="H98" i="44"/>
  <c r="L97" i="44"/>
  <c r="M97" i="44" s="1"/>
  <c r="J193" i="44" l="1"/>
  <c r="M193" i="44" s="1"/>
  <c r="H172" i="15"/>
  <c r="G114" i="44" s="1"/>
  <c r="I114" i="44" l="1"/>
  <c r="L114" i="44" l="1"/>
  <c r="J114" i="44"/>
  <c r="J109" i="16"/>
  <c r="K109" i="16" s="1"/>
  <c r="C107" i="16"/>
  <c r="G381" i="15" s="1"/>
  <c r="J101" i="16"/>
  <c r="K101" i="16" s="1"/>
  <c r="C99" i="16"/>
  <c r="G333" i="15" s="1"/>
  <c r="H71" i="42"/>
  <c r="H72" i="42"/>
  <c r="H73" i="42"/>
  <c r="H74" i="42"/>
  <c r="L187" i="44"/>
  <c r="M187" i="44" s="1"/>
  <c r="H381" i="15" l="1"/>
  <c r="H380" i="15" s="1"/>
  <c r="H333" i="15"/>
  <c r="H332" i="15" s="1"/>
  <c r="G164" i="44" s="1"/>
  <c r="M114" i="44"/>
  <c r="L109" i="16"/>
  <c r="L101" i="16"/>
  <c r="H69" i="42"/>
  <c r="H81" i="42"/>
  <c r="H79" i="42"/>
  <c r="H70" i="42"/>
  <c r="H82" i="42"/>
  <c r="H68" i="42"/>
  <c r="H80" i="42"/>
  <c r="H67" i="42"/>
  <c r="G172" i="44" l="1"/>
  <c r="I172" i="44" s="1"/>
  <c r="H66" i="42"/>
  <c r="I164" i="44"/>
  <c r="H78" i="42"/>
  <c r="L172" i="44" l="1"/>
  <c r="J172" i="44"/>
  <c r="G282" i="15"/>
  <c r="H282" i="15" s="1"/>
  <c r="G288" i="15"/>
  <c r="H288" i="15" s="1"/>
  <c r="G287" i="15"/>
  <c r="H287" i="15" s="1"/>
  <c r="G281" i="15"/>
  <c r="H281" i="15" s="1"/>
  <c r="M172" i="44"/>
  <c r="J164" i="44"/>
  <c r="L164" i="44"/>
  <c r="H247" i="15"/>
  <c r="H242" i="15" s="1"/>
  <c r="G140" i="44" s="1"/>
  <c r="H398" i="15"/>
  <c r="M164" i="44" l="1"/>
  <c r="H280" i="15"/>
  <c r="G155" i="44" s="1"/>
  <c r="H286" i="15"/>
  <c r="G156" i="44" s="1"/>
  <c r="H258" i="15"/>
  <c r="H253" i="15" s="1"/>
  <c r="G141" i="44" s="1"/>
  <c r="H397" i="15"/>
  <c r="H396" i="15" s="1"/>
  <c r="G178" i="44" s="1"/>
  <c r="H236" i="15"/>
  <c r="H231" i="15" s="1"/>
  <c r="G139" i="44" s="1"/>
  <c r="H269" i="15"/>
  <c r="H268" i="15"/>
  <c r="H267" i="15"/>
  <c r="H266" i="15"/>
  <c r="H265" i="15"/>
  <c r="H180" i="44"/>
  <c r="I179" i="44" l="1"/>
  <c r="H264" i="15"/>
  <c r="G145" i="44" s="1"/>
  <c r="I180" i="44"/>
  <c r="J180" i="44" s="1"/>
  <c r="J179" i="44" l="1"/>
  <c r="L179" i="44"/>
  <c r="L180" i="44"/>
  <c r="M180" i="44" s="1"/>
  <c r="M179" i="44" l="1"/>
  <c r="H155" i="44"/>
  <c r="J93" i="16"/>
  <c r="K93" i="16" s="1"/>
  <c r="J85" i="16"/>
  <c r="K85" i="16" s="1"/>
  <c r="C83" i="16"/>
  <c r="G321" i="15" s="1"/>
  <c r="H149" i="44"/>
  <c r="L148" i="44"/>
  <c r="M148" i="44" s="1"/>
  <c r="L144" i="44"/>
  <c r="M144" i="44" s="1"/>
  <c r="L143" i="44"/>
  <c r="M143" i="44" s="1"/>
  <c r="H202" i="15"/>
  <c r="H201" i="15"/>
  <c r="H206" i="15"/>
  <c r="H205" i="15"/>
  <c r="H204" i="15"/>
  <c r="H203" i="15"/>
  <c r="H200" i="15"/>
  <c r="H199" i="15"/>
  <c r="H18" i="42"/>
  <c r="H16" i="42"/>
  <c r="H15" i="42"/>
  <c r="H14" i="42"/>
  <c r="H13" i="42"/>
  <c r="H12" i="42"/>
  <c r="L146" i="44"/>
  <c r="M146" i="44" s="1"/>
  <c r="H145" i="44"/>
  <c r="H137" i="44"/>
  <c r="H136" i="44"/>
  <c r="H133" i="44"/>
  <c r="L132" i="44"/>
  <c r="M132" i="44" s="1"/>
  <c r="J77" i="16"/>
  <c r="K77" i="16" s="1"/>
  <c r="C75" i="16"/>
  <c r="G315" i="15" s="1"/>
  <c r="J61" i="16"/>
  <c r="G327" i="15" l="1"/>
  <c r="H327" i="15" s="1"/>
  <c r="H326" i="15" s="1"/>
  <c r="G163" i="44" s="1"/>
  <c r="I163" i="44" s="1"/>
  <c r="H198" i="15"/>
  <c r="G136" i="44" s="1"/>
  <c r="I136" i="44" s="1"/>
  <c r="J136" i="44" s="1"/>
  <c r="H321" i="15"/>
  <c r="H320" i="15" s="1"/>
  <c r="H315" i="15"/>
  <c r="H314" i="15" s="1"/>
  <c r="I178" i="44"/>
  <c r="J178" i="44" s="1"/>
  <c r="I149" i="44"/>
  <c r="L149" i="44" s="1"/>
  <c r="I155" i="44"/>
  <c r="L155" i="44" s="1"/>
  <c r="L93" i="16"/>
  <c r="L85" i="16"/>
  <c r="I145" i="44"/>
  <c r="J145" i="44" s="1"/>
  <c r="H17" i="42"/>
  <c r="I133" i="44"/>
  <c r="J133" i="44" s="1"/>
  <c r="L77" i="16"/>
  <c r="K61" i="16"/>
  <c r="L61" i="16"/>
  <c r="C59" i="16"/>
  <c r="G161" i="44" l="1"/>
  <c r="I161" i="44" s="1"/>
  <c r="G162" i="44"/>
  <c r="I162" i="44" s="1"/>
  <c r="H300" i="15"/>
  <c r="L178" i="44"/>
  <c r="M178" i="44" s="1"/>
  <c r="J163" i="44"/>
  <c r="L163" i="44"/>
  <c r="J149" i="44"/>
  <c r="M149" i="44" s="1"/>
  <c r="J155" i="44"/>
  <c r="M155" i="44" s="1"/>
  <c r="L145" i="44"/>
  <c r="M145" i="44" s="1"/>
  <c r="L136" i="44"/>
  <c r="M136" i="44" s="1"/>
  <c r="L133" i="44"/>
  <c r="M133" i="44" s="1"/>
  <c r="L162" i="44" l="1"/>
  <c r="J162" i="44"/>
  <c r="J161" i="44"/>
  <c r="L161" i="44"/>
  <c r="M161" i="44" s="1"/>
  <c r="M163" i="44"/>
  <c r="M162" i="44"/>
  <c r="L70" i="44"/>
  <c r="M70" i="44" s="1"/>
  <c r="H71" i="44"/>
  <c r="L69" i="44"/>
  <c r="M69" i="44" s="1"/>
  <c r="L68" i="44"/>
  <c r="M68" i="44" s="1"/>
  <c r="I71" i="44" l="1"/>
  <c r="J71" i="44" s="1"/>
  <c r="L71" i="44" l="1"/>
  <c r="M71" i="44" s="1"/>
  <c r="H86" i="44" l="1"/>
  <c r="H85" i="44"/>
  <c r="H84" i="44"/>
  <c r="L83" i="44"/>
  <c r="M83" i="44" s="1"/>
  <c r="L82" i="44"/>
  <c r="M82" i="44" s="1"/>
  <c r="H81" i="44"/>
  <c r="L80" i="44"/>
  <c r="M80" i="44" s="1"/>
  <c r="L79" i="44"/>
  <c r="M79" i="44" s="1"/>
  <c r="H78" i="44"/>
  <c r="I85" i="44" l="1"/>
  <c r="L85" i="44" s="1"/>
  <c r="I84" i="44"/>
  <c r="J84" i="44" s="1"/>
  <c r="I78" i="44"/>
  <c r="I86" i="44"/>
  <c r="L86" i="44" s="1"/>
  <c r="I81" i="44"/>
  <c r="J81" i="44" s="1"/>
  <c r="J85" i="44" l="1"/>
  <c r="L84" i="44"/>
  <c r="M84" i="44" s="1"/>
  <c r="J86" i="44"/>
  <c r="M86" i="44" s="1"/>
  <c r="L81" i="44"/>
  <c r="M81" i="44" s="1"/>
  <c r="L87" i="44" l="1"/>
  <c r="M87" i="44" s="1"/>
  <c r="H77" i="44"/>
  <c r="H76" i="44"/>
  <c r="H75" i="44"/>
  <c r="L74" i="44"/>
  <c r="M74" i="44" s="1"/>
  <c r="L73" i="44"/>
  <c r="M73" i="44" s="1"/>
  <c r="L72" i="44"/>
  <c r="M72" i="44" s="1"/>
  <c r="H6" i="42"/>
  <c r="A120" i="26"/>
  <c r="A40" i="21"/>
  <c r="I75" i="44" l="1"/>
  <c r="J75" i="44" s="1"/>
  <c r="I76" i="44"/>
  <c r="J76" i="44" s="1"/>
  <c r="I77" i="44"/>
  <c r="H92" i="26"/>
  <c r="H44" i="26"/>
  <c r="H39" i="26"/>
  <c r="H80" i="26"/>
  <c r="H33" i="26"/>
  <c r="H22" i="26"/>
  <c r="H18" i="26"/>
  <c r="H89" i="26"/>
  <c r="H60" i="26"/>
  <c r="H86" i="26"/>
  <c r="H13" i="26"/>
  <c r="H15" i="26"/>
  <c r="H113" i="26"/>
  <c r="H49" i="26"/>
  <c r="H28" i="26"/>
  <c r="H68" i="26"/>
  <c r="H21" i="26"/>
  <c r="H40" i="26"/>
  <c r="H11" i="26"/>
  <c r="H81" i="26"/>
  <c r="H66" i="26"/>
  <c r="H51" i="26"/>
  <c r="H73" i="26"/>
  <c r="H31" i="26"/>
  <c r="H55" i="26"/>
  <c r="H45" i="26"/>
  <c r="H107" i="26"/>
  <c r="H75" i="26"/>
  <c r="H25" i="26"/>
  <c r="H88" i="26"/>
  <c r="H67" i="26"/>
  <c r="H93" i="26"/>
  <c r="H85" i="26"/>
  <c r="H36" i="26"/>
  <c r="H84" i="26"/>
  <c r="H70" i="26"/>
  <c r="H54" i="26"/>
  <c r="H37" i="26"/>
  <c r="H26" i="26"/>
  <c r="H48" i="26"/>
  <c r="H72" i="26"/>
  <c r="H58" i="26"/>
  <c r="H77" i="26"/>
  <c r="H42" i="26"/>
  <c r="H99" i="26"/>
  <c r="H47" i="26"/>
  <c r="H101" i="26"/>
  <c r="H71" i="26"/>
  <c r="H106" i="26"/>
  <c r="H74" i="26"/>
  <c r="H17" i="26"/>
  <c r="H16" i="26"/>
  <c r="H82" i="26"/>
  <c r="H100" i="26"/>
  <c r="H104" i="26"/>
  <c r="H64" i="26"/>
  <c r="H53" i="26"/>
  <c r="H102" i="26"/>
  <c r="H96" i="26"/>
  <c r="H91" i="26"/>
  <c r="H52" i="26"/>
  <c r="H103" i="26"/>
  <c r="H29" i="26"/>
  <c r="H19" i="26"/>
  <c r="H14" i="26"/>
  <c r="H43" i="26"/>
  <c r="H97" i="26"/>
  <c r="H79" i="26"/>
  <c r="H78" i="26"/>
  <c r="H83" i="26"/>
  <c r="H94" i="26"/>
  <c r="H63" i="26"/>
  <c r="H105" i="26"/>
  <c r="L77" i="44" l="1"/>
  <c r="L78" i="44"/>
  <c r="J78" i="44"/>
  <c r="L75" i="44"/>
  <c r="M75" i="44" s="1"/>
  <c r="L76" i="44"/>
  <c r="M76" i="44" s="1"/>
  <c r="J77" i="44"/>
  <c r="B7" i="16" l="1"/>
  <c r="H154" i="44" l="1"/>
  <c r="L151" i="44"/>
  <c r="M151" i="44" s="1"/>
  <c r="L150" i="44"/>
  <c r="M150" i="44" s="1"/>
  <c r="F66" i="15" l="1"/>
  <c r="F65" i="15"/>
  <c r="F64" i="15"/>
  <c r="H66" i="15" l="1"/>
  <c r="H64" i="15"/>
  <c r="H65" i="15"/>
  <c r="L66" i="44" l="1"/>
  <c r="J66" i="44"/>
  <c r="H63" i="15"/>
  <c r="I53" i="44" l="1"/>
  <c r="G62" i="44"/>
  <c r="J53" i="44"/>
  <c r="L53" i="44"/>
  <c r="H185" i="15"/>
  <c r="H186" i="15" l="1"/>
  <c r="H187" i="15"/>
  <c r="H184" i="15" l="1"/>
  <c r="G101" i="44" l="1"/>
  <c r="I101" i="44" s="1"/>
  <c r="I100" i="44"/>
  <c r="J100" i="44" s="1"/>
  <c r="J101" i="44" l="1"/>
  <c r="L101" i="44"/>
  <c r="L100" i="44"/>
  <c r="H199" i="44" l="1"/>
  <c r="I199" i="44" l="1"/>
  <c r="J199" i="44" s="1"/>
  <c r="L199" i="44" l="1"/>
  <c r="H76" i="26" l="1"/>
  <c r="H59" i="26"/>
  <c r="H30" i="26"/>
  <c r="H23" i="26"/>
  <c r="F4942" i="28" l="1"/>
  <c r="F4941" i="28"/>
  <c r="H67" i="44" l="1"/>
  <c r="I67" i="44" l="1"/>
  <c r="L89" i="44"/>
  <c r="M89" i="44" s="1"/>
  <c r="H437" i="15"/>
  <c r="H434" i="15"/>
  <c r="H429" i="15"/>
  <c r="H428" i="15"/>
  <c r="H427" i="15"/>
  <c r="H393" i="15"/>
  <c r="H293" i="15"/>
  <c r="H292" i="15" s="1"/>
  <c r="H38" i="15"/>
  <c r="H36" i="15"/>
  <c r="H37" i="15"/>
  <c r="H34" i="15"/>
  <c r="H33" i="15"/>
  <c r="H35" i="15"/>
  <c r="H30" i="15"/>
  <c r="H25" i="15"/>
  <c r="H24" i="15"/>
  <c r="L19" i="44"/>
  <c r="M19" i="44" s="1"/>
  <c r="L20" i="44"/>
  <c r="M20" i="44" s="1"/>
  <c r="L21" i="44"/>
  <c r="M21" i="44" s="1"/>
  <c r="L28" i="44"/>
  <c r="M28" i="44" s="1"/>
  <c r="L29" i="44"/>
  <c r="M29" i="44" s="1"/>
  <c r="L33" i="44"/>
  <c r="M33" i="44" s="1"/>
  <c r="L34" i="44"/>
  <c r="M34" i="44" s="1"/>
  <c r="L37" i="44"/>
  <c r="M37" i="44" s="1"/>
  <c r="L38" i="44"/>
  <c r="M38" i="44" s="1"/>
  <c r="L60" i="44"/>
  <c r="M60" i="44" s="1"/>
  <c r="L63" i="44"/>
  <c r="M63" i="44" s="1"/>
  <c r="L64" i="44"/>
  <c r="M64" i="44" s="1"/>
  <c r="L88" i="44"/>
  <c r="L90" i="44"/>
  <c r="M90" i="44" s="1"/>
  <c r="L91" i="44"/>
  <c r="M91" i="44" s="1"/>
  <c r="L92" i="44"/>
  <c r="M92" i="44" s="1"/>
  <c r="L96" i="44"/>
  <c r="M96" i="44" s="1"/>
  <c r="L103" i="44"/>
  <c r="M103" i="44" s="1"/>
  <c r="L104" i="44"/>
  <c r="M104" i="44" s="1"/>
  <c r="L106" i="44"/>
  <c r="M106" i="44" s="1"/>
  <c r="L107" i="44"/>
  <c r="M107" i="44" s="1"/>
  <c r="L109" i="44"/>
  <c r="M109" i="44" s="1"/>
  <c r="L110" i="44"/>
  <c r="M110" i="44" s="1"/>
  <c r="L112" i="44"/>
  <c r="M112" i="44" s="1"/>
  <c r="L113" i="44"/>
  <c r="M113" i="44" s="1"/>
  <c r="L116" i="44"/>
  <c r="M116" i="44" s="1"/>
  <c r="L117" i="44"/>
  <c r="M117" i="44" s="1"/>
  <c r="L120" i="44"/>
  <c r="L121" i="44"/>
  <c r="M121" i="44" s="1"/>
  <c r="L122" i="44"/>
  <c r="M122" i="44" s="1"/>
  <c r="L123" i="44"/>
  <c r="M123" i="44" s="1"/>
  <c r="L124" i="44"/>
  <c r="M124" i="44" s="1"/>
  <c r="L125" i="44"/>
  <c r="M125" i="44" s="1"/>
  <c r="L131" i="44"/>
  <c r="M131" i="44" s="1"/>
  <c r="L147" i="44"/>
  <c r="M147" i="44" s="1"/>
  <c r="L158" i="44"/>
  <c r="M158" i="44" s="1"/>
  <c r="L159" i="44"/>
  <c r="M159" i="44" s="1"/>
  <c r="L188" i="44"/>
  <c r="L189" i="44"/>
  <c r="M189" i="44" s="1"/>
  <c r="L190" i="44"/>
  <c r="M190" i="44" s="1"/>
  <c r="L191" i="44"/>
  <c r="M191" i="44" s="1"/>
  <c r="L192" i="44"/>
  <c r="M192" i="44" s="1"/>
  <c r="L194" i="44"/>
  <c r="M194" i="44" s="1"/>
  <c r="L195" i="44"/>
  <c r="M195" i="44" s="1"/>
  <c r="L200" i="44"/>
  <c r="M200" i="44" s="1"/>
  <c r="L201" i="44"/>
  <c r="M201" i="44" s="1"/>
  <c r="L207" i="44"/>
  <c r="M207" i="44" s="1"/>
  <c r="L208" i="44"/>
  <c r="L209" i="44"/>
  <c r="L236" i="44"/>
  <c r="G157" i="44" l="1"/>
  <c r="I157" i="44" s="1"/>
  <c r="L157" i="44" l="1"/>
  <c r="J157" i="44"/>
  <c r="M157" i="44" s="1"/>
  <c r="I48" i="44"/>
  <c r="L48" i="44" l="1"/>
  <c r="J48" i="44"/>
  <c r="H206" i="44"/>
  <c r="H203" i="44"/>
  <c r="I203" i="44" s="1"/>
  <c r="H202" i="44"/>
  <c r="H198" i="44"/>
  <c r="I198" i="44" s="1"/>
  <c r="L198" i="44" s="1"/>
  <c r="H197" i="44"/>
  <c r="H163" i="15"/>
  <c r="H162" i="15"/>
  <c r="H118" i="44"/>
  <c r="H111" i="44"/>
  <c r="H108" i="44"/>
  <c r="H105" i="44"/>
  <c r="H95" i="44"/>
  <c r="H94" i="44"/>
  <c r="H93" i="44"/>
  <c r="J203" i="44" l="1"/>
  <c r="L203" i="44"/>
  <c r="I206" i="44"/>
  <c r="L206" i="44" s="1"/>
  <c r="I202" i="44"/>
  <c r="L202" i="44" s="1"/>
  <c r="J198" i="44"/>
  <c r="M198" i="44" s="1"/>
  <c r="I108" i="44"/>
  <c r="H161" i="15"/>
  <c r="H160" i="15" s="1"/>
  <c r="G98" i="44" s="1"/>
  <c r="I95" i="44"/>
  <c r="L95" i="44" s="1"/>
  <c r="I105" i="44"/>
  <c r="I118" i="44"/>
  <c r="L118" i="44" s="1"/>
  <c r="I94" i="44"/>
  <c r="L94" i="44" s="1"/>
  <c r="I111" i="44"/>
  <c r="L111" i="44" s="1"/>
  <c r="J108" i="44" l="1"/>
  <c r="L108" i="44"/>
  <c r="M203" i="44"/>
  <c r="J105" i="44"/>
  <c r="L105" i="44"/>
  <c r="J206" i="44"/>
  <c r="M206" i="44" s="1"/>
  <c r="J202" i="44"/>
  <c r="M202" i="44" s="1"/>
  <c r="J111" i="44"/>
  <c r="M111" i="44" s="1"/>
  <c r="J94" i="44"/>
  <c r="M94" i="44" s="1"/>
  <c r="J118" i="44"/>
  <c r="M118" i="44" s="1"/>
  <c r="J95" i="44"/>
  <c r="M95" i="44" s="1"/>
  <c r="I98" i="44" l="1"/>
  <c r="L98" i="44" s="1"/>
  <c r="I93" i="44"/>
  <c r="M105" i="44"/>
  <c r="M108" i="44"/>
  <c r="J98" i="44" l="1"/>
  <c r="M98" i="44" s="1"/>
  <c r="L93" i="44"/>
  <c r="J93" i="44"/>
  <c r="J120" i="44" l="1"/>
  <c r="C18" i="21" s="1"/>
  <c r="M93" i="44"/>
  <c r="D20" i="21" l="1"/>
  <c r="C11" i="16" l="1"/>
  <c r="H19" i="42" l="1"/>
  <c r="H194" i="15"/>
  <c r="H11" i="42" l="1"/>
  <c r="G214" i="15" s="1"/>
  <c r="H225" i="15"/>
  <c r="H220" i="15" s="1"/>
  <c r="G138" i="44" s="1"/>
  <c r="H214" i="15" l="1"/>
  <c r="H209" i="15" s="1"/>
  <c r="G137" i="44" s="1"/>
  <c r="I140" i="44"/>
  <c r="I141" i="44"/>
  <c r="I138" i="44"/>
  <c r="J140" i="44" l="1"/>
  <c r="L140" i="44"/>
  <c r="J138" i="44"/>
  <c r="L138" i="44"/>
  <c r="J141" i="44"/>
  <c r="L141" i="44"/>
  <c r="M141" i="44" l="1"/>
  <c r="M140" i="44"/>
  <c r="M138" i="44"/>
  <c r="H182" i="44"/>
  <c r="I182" i="44" l="1"/>
  <c r="L182" i="44" s="1"/>
  <c r="J182" i="44" l="1"/>
  <c r="M182" i="44" s="1"/>
  <c r="H130" i="44" l="1"/>
  <c r="H29" i="15" l="1"/>
  <c r="L67" i="44" l="1"/>
  <c r="J67" i="44"/>
  <c r="H24" i="44" l="1"/>
  <c r="I24" i="44" l="1"/>
  <c r="L24" i="44" s="1"/>
  <c r="J24" i="44" l="1"/>
  <c r="M24" i="44" s="1"/>
  <c r="H426" i="15" l="1"/>
  <c r="G197" i="44" l="1"/>
  <c r="I197" i="44" s="1"/>
  <c r="L197" i="44" l="1"/>
  <c r="J197" i="44"/>
  <c r="M197" i="44" s="1"/>
  <c r="H186" i="44" l="1"/>
  <c r="H183" i="44"/>
  <c r="H156" i="44"/>
  <c r="H129" i="44"/>
  <c r="H128" i="44"/>
  <c r="H127" i="44"/>
  <c r="H65" i="44"/>
  <c r="H62" i="44"/>
  <c r="H61" i="44"/>
  <c r="H36" i="44"/>
  <c r="H35" i="44"/>
  <c r="H32" i="44"/>
  <c r="H31" i="44"/>
  <c r="H30" i="44"/>
  <c r="H23" i="44"/>
  <c r="H25" i="44"/>
  <c r="H22" i="44"/>
  <c r="I61" i="44" l="1"/>
  <c r="I65" i="44"/>
  <c r="L65" i="44" s="1"/>
  <c r="I186" i="44"/>
  <c r="I36" i="44"/>
  <c r="I22" i="44"/>
  <c r="L22" i="44" s="1"/>
  <c r="I127" i="44"/>
  <c r="L127" i="44" s="1"/>
  <c r="I128" i="44"/>
  <c r="I23" i="44"/>
  <c r="L23" i="44" s="1"/>
  <c r="J186" i="44" l="1"/>
  <c r="L186" i="44"/>
  <c r="J36" i="44"/>
  <c r="L36" i="44"/>
  <c r="J61" i="44"/>
  <c r="L61" i="44"/>
  <c r="J128" i="44"/>
  <c r="L128" i="44"/>
  <c r="J127" i="44"/>
  <c r="M127" i="44" s="1"/>
  <c r="J22" i="44"/>
  <c r="J23" i="44"/>
  <c r="M23" i="44" s="1"/>
  <c r="J65" i="44"/>
  <c r="M65" i="44" s="1"/>
  <c r="M22" i="44" l="1"/>
  <c r="M128" i="44"/>
  <c r="M61" i="44"/>
  <c r="M36" i="44"/>
  <c r="M186" i="44"/>
  <c r="I32" i="44" l="1"/>
  <c r="L32" i="44" s="1"/>
  <c r="H392" i="15"/>
  <c r="G175" i="44" s="1"/>
  <c r="H23" i="15"/>
  <c r="G30" i="44" s="1"/>
  <c r="H32" i="15"/>
  <c r="G35" i="44" s="1"/>
  <c r="I175" i="44" l="1"/>
  <c r="I156" i="44"/>
  <c r="L156" i="44" s="1"/>
  <c r="I142" i="44"/>
  <c r="I137" i="44"/>
  <c r="J32" i="44"/>
  <c r="M32" i="44" s="1"/>
  <c r="I25" i="44"/>
  <c r="L25" i="44" s="1"/>
  <c r="I35" i="44"/>
  <c r="L35" i="44" s="1"/>
  <c r="I30" i="44"/>
  <c r="L30" i="44" s="1"/>
  <c r="H28" i="15"/>
  <c r="G31" i="44" s="1"/>
  <c r="L175" i="44" l="1"/>
  <c r="J175" i="44"/>
  <c r="L142" i="44"/>
  <c r="J142" i="44"/>
  <c r="L137" i="44"/>
  <c r="J137" i="44"/>
  <c r="I62" i="44"/>
  <c r="L62" i="44" s="1"/>
  <c r="J25" i="44"/>
  <c r="I31" i="44"/>
  <c r="L31" i="44" s="1"/>
  <c r="J30" i="44"/>
  <c r="M30" i="44" s="1"/>
  <c r="J35" i="44"/>
  <c r="M35" i="44" s="1"/>
  <c r="J156" i="44"/>
  <c r="M156" i="44" s="1"/>
  <c r="H273" i="15"/>
  <c r="H272" i="15" s="1"/>
  <c r="G154" i="44" s="1"/>
  <c r="M175" i="44" l="1"/>
  <c r="M142" i="44"/>
  <c r="M137" i="44"/>
  <c r="M25" i="44"/>
  <c r="J62" i="44"/>
  <c r="M62" i="44" s="1"/>
  <c r="J31" i="44"/>
  <c r="M31" i="44" s="1"/>
  <c r="I139" i="44" l="1"/>
  <c r="J139" i="44" s="1"/>
  <c r="I183" i="44"/>
  <c r="J88" i="44"/>
  <c r="C15" i="21" s="1"/>
  <c r="I154" i="44"/>
  <c r="L154" i="44" s="1"/>
  <c r="L139" i="44" l="1"/>
  <c r="M139" i="44" s="1"/>
  <c r="L183" i="44"/>
  <c r="J183" i="44"/>
  <c r="J154" i="44"/>
  <c r="M154" i="44" s="1"/>
  <c r="M183" i="44" l="1"/>
  <c r="H190" i="15" l="1"/>
  <c r="G130" i="44" s="1"/>
  <c r="I129" i="44" l="1"/>
  <c r="J129" i="44" s="1"/>
  <c r="I130" i="44"/>
  <c r="L130" i="44" l="1"/>
  <c r="J130" i="44"/>
  <c r="J188" i="44" s="1"/>
  <c r="C21" i="21" s="1"/>
  <c r="L129" i="44"/>
  <c r="M129" i="44" s="1"/>
  <c r="F23" i="21" l="1"/>
  <c r="E23" i="21"/>
  <c r="M130" i="44"/>
  <c r="G23" i="21" l="1"/>
  <c r="J208" i="44" l="1"/>
  <c r="C24" i="21" s="1"/>
  <c r="E26" i="21" s="1"/>
  <c r="C8" i="42" l="1"/>
  <c r="B6" i="16" l="1"/>
  <c r="B6" i="26"/>
  <c r="B9" i="21"/>
  <c r="B8" i="26"/>
  <c r="J7" i="26"/>
  <c r="D8" i="21"/>
  <c r="J8" i="26"/>
  <c r="A50" i="41" l="1"/>
  <c r="G21" i="41" l="1"/>
  <c r="E21" i="41"/>
  <c r="C21" i="41"/>
  <c r="A21" i="41"/>
  <c r="G29" i="41"/>
  <c r="E29" i="41"/>
  <c r="C29" i="41"/>
  <c r="A29" i="41"/>
  <c r="G37" i="41"/>
  <c r="E37" i="41"/>
  <c r="C37" i="41"/>
  <c r="A37" i="41"/>
  <c r="G45" i="41"/>
  <c r="E45" i="41"/>
  <c r="C45" i="41"/>
  <c r="A45" i="41"/>
  <c r="G14" i="41"/>
  <c r="E14" i="41"/>
  <c r="D14" i="41"/>
  <c r="G13" i="41" l="1"/>
  <c r="E13" i="41"/>
  <c r="D13" i="41"/>
  <c r="G12" i="41"/>
  <c r="E12" i="41"/>
  <c r="D12" i="41"/>
  <c r="G11" i="41"/>
  <c r="G18" i="41" s="1"/>
  <c r="E11" i="41"/>
  <c r="E18" i="41" s="1"/>
  <c r="D11" i="41"/>
  <c r="C18" i="41" s="1"/>
  <c r="G10" i="41"/>
  <c r="E10" i="41"/>
  <c r="D10" i="41"/>
  <c r="G9" i="41"/>
  <c r="E9" i="41"/>
  <c r="D9" i="41"/>
  <c r="G8" i="41"/>
  <c r="E8" i="41"/>
  <c r="D8" i="41"/>
  <c r="G7" i="41"/>
  <c r="E7" i="41"/>
  <c r="D7" i="41"/>
  <c r="G42" i="41" l="1"/>
  <c r="G34" i="41"/>
  <c r="G26" i="41"/>
  <c r="E26" i="41"/>
  <c r="E34" i="41"/>
  <c r="E42" i="41"/>
  <c r="C34" i="41"/>
  <c r="C26" i="41"/>
  <c r="C42" i="41"/>
  <c r="F441" i="15" l="1"/>
  <c r="H441" i="15" s="1"/>
  <c r="F117" i="26" l="1"/>
  <c r="I43" i="26" l="1"/>
  <c r="I46" i="26"/>
  <c r="I62" i="26"/>
  <c r="I41" i="26"/>
  <c r="I113" i="26"/>
  <c r="I80" i="26"/>
  <c r="I78" i="26"/>
  <c r="I55" i="26"/>
  <c r="I101" i="26"/>
  <c r="I106" i="26"/>
  <c r="I72" i="26"/>
  <c r="I31" i="26"/>
  <c r="I112" i="26"/>
  <c r="I38" i="26"/>
  <c r="I14" i="26"/>
  <c r="I91" i="26"/>
  <c r="I104" i="26"/>
  <c r="I44" i="26"/>
  <c r="I105" i="26"/>
  <c r="I88" i="26"/>
  <c r="I37" i="26"/>
  <c r="I87" i="26"/>
  <c r="I98" i="26"/>
  <c r="I75" i="26"/>
  <c r="I17" i="26"/>
  <c r="I73" i="26"/>
  <c r="I99" i="26"/>
  <c r="I47" i="26"/>
  <c r="I53" i="26"/>
  <c r="I12" i="26"/>
  <c r="I33" i="26"/>
  <c r="I19" i="26"/>
  <c r="I74" i="26"/>
  <c r="I97" i="26"/>
  <c r="I81" i="26"/>
  <c r="I95" i="26"/>
  <c r="I61" i="26"/>
  <c r="I90" i="26"/>
  <c r="I83" i="26"/>
  <c r="I51" i="26"/>
  <c r="I86" i="26"/>
  <c r="I84" i="26"/>
  <c r="I35" i="26"/>
  <c r="I92" i="26"/>
  <c r="I103" i="26"/>
  <c r="I15" i="26"/>
  <c r="I28" i="26"/>
  <c r="I16" i="26"/>
  <c r="I49" i="26"/>
  <c r="I29" i="26"/>
  <c r="I71" i="26"/>
  <c r="I68" i="26"/>
  <c r="I30" i="26"/>
  <c r="I21" i="26"/>
  <c r="I26" i="26"/>
  <c r="I77" i="26"/>
  <c r="I36" i="26"/>
  <c r="I110" i="26"/>
  <c r="I54" i="26"/>
  <c r="I56" i="26"/>
  <c r="I59" i="26"/>
  <c r="I27" i="26"/>
  <c r="I52" i="26"/>
  <c r="I22" i="26"/>
  <c r="I23" i="26"/>
  <c r="I67" i="26"/>
  <c r="I93" i="26"/>
  <c r="I60" i="26"/>
  <c r="I109" i="26"/>
  <c r="I40" i="26"/>
  <c r="I114" i="26"/>
  <c r="I89" i="26"/>
  <c r="I24" i="26"/>
  <c r="I70" i="26"/>
  <c r="I94" i="26"/>
  <c r="I34" i="26"/>
  <c r="I48" i="26"/>
  <c r="I108" i="26"/>
  <c r="I45" i="26"/>
  <c r="I102" i="26"/>
  <c r="I57" i="26"/>
  <c r="I85" i="26"/>
  <c r="I25" i="26"/>
  <c r="I58" i="26"/>
  <c r="I64" i="26"/>
  <c r="I111" i="26"/>
  <c r="I79" i="26"/>
  <c r="I11" i="26"/>
  <c r="J11" i="26" s="1"/>
  <c r="I39" i="26"/>
  <c r="I18" i="26"/>
  <c r="I20" i="26"/>
  <c r="I32" i="26"/>
  <c r="I107" i="26"/>
  <c r="I63" i="26"/>
  <c r="I66" i="26"/>
  <c r="I82" i="26"/>
  <c r="I50" i="26"/>
  <c r="I69" i="26"/>
  <c r="I13" i="26"/>
  <c r="I100" i="26"/>
  <c r="I76" i="26"/>
  <c r="I96" i="26"/>
  <c r="I65" i="26"/>
  <c r="I42" i="26"/>
  <c r="C123" i="16" l="1"/>
  <c r="I216" i="44" s="1"/>
  <c r="L216" i="44" l="1"/>
  <c r="J216" i="44"/>
  <c r="H440" i="15"/>
  <c r="J125" i="16"/>
  <c r="K125" i="16" s="1"/>
  <c r="G215" i="44" l="1"/>
  <c r="I215" i="44" s="1"/>
  <c r="L125" i="16"/>
  <c r="L215" i="44" l="1"/>
  <c r="J215" i="44"/>
  <c r="F26" i="21"/>
  <c r="G26" i="21"/>
  <c r="J6" i="26" l="1"/>
  <c r="I27" i="21" l="1"/>
  <c r="J27" i="21" s="1"/>
  <c r="I15" i="21"/>
  <c r="I18" i="21"/>
  <c r="I21" i="21"/>
  <c r="I24" i="21"/>
  <c r="I28" i="21"/>
  <c r="J28" i="21" s="1"/>
  <c r="I31" i="21"/>
  <c r="J31" i="21" s="1"/>
  <c r="I12" i="21"/>
  <c r="E20" i="21" l="1"/>
  <c r="I20" i="21" l="1"/>
  <c r="J20" i="21" s="1"/>
  <c r="H433" i="15" l="1"/>
  <c r="G214" i="44" l="1"/>
  <c r="I214" i="44" s="1"/>
  <c r="J214" i="44" l="1"/>
  <c r="L214" i="44"/>
  <c r="H6" i="15"/>
  <c r="I6" i="16" l="1"/>
  <c r="D17" i="21" l="1"/>
  <c r="I23" i="21"/>
  <c r="J23" i="21" s="1"/>
  <c r="I17" i="21" l="1"/>
  <c r="J17" i="21" s="1"/>
  <c r="D14" i="21" l="1"/>
  <c r="I14" i="21" l="1"/>
  <c r="J14" i="21" s="1"/>
  <c r="I26" i="21" l="1"/>
  <c r="J26" i="21" s="1"/>
  <c r="I227" i="44" l="1"/>
  <c r="L227" i="44" l="1"/>
  <c r="J227" i="44"/>
  <c r="C131" i="16"/>
  <c r="I220" i="44" s="1"/>
  <c r="J133" i="16"/>
  <c r="K133" i="16" s="1"/>
  <c r="J234" i="44" l="1"/>
  <c r="C30" i="21" s="1"/>
  <c r="E41" i="4"/>
  <c r="L220" i="44"/>
  <c r="L237" i="44" s="1"/>
  <c r="J220" i="44"/>
  <c r="J222" i="44" s="1"/>
  <c r="C27" i="21" s="1"/>
  <c r="L133" i="16"/>
  <c r="J236" i="44" l="1"/>
  <c r="F31" i="4" s="1"/>
  <c r="F32" i="4" l="1"/>
  <c r="H36" i="21" s="1"/>
  <c r="C33" i="21"/>
  <c r="H13" i="21" s="1"/>
  <c r="D29" i="21"/>
  <c r="E29" i="21"/>
  <c r="G29" i="21"/>
  <c r="F29" i="21"/>
  <c r="F38" i="21" l="1"/>
  <c r="F32" i="21" s="1"/>
  <c r="G38" i="21"/>
  <c r="G32" i="21" s="1"/>
  <c r="D38" i="21"/>
  <c r="E38" i="21"/>
  <c r="E32" i="21" s="1"/>
  <c r="E43" i="4"/>
  <c r="K26" i="26"/>
  <c r="L26" i="26" s="1"/>
  <c r="K18" i="26"/>
  <c r="L18" i="26" s="1"/>
  <c r="K17" i="26"/>
  <c r="L17" i="26" s="1"/>
  <c r="H19" i="21"/>
  <c r="H22" i="21"/>
  <c r="H16" i="21"/>
  <c r="H25" i="21"/>
  <c r="H31" i="21"/>
  <c r="H28" i="21"/>
  <c r="K48" i="26"/>
  <c r="L48" i="26" s="1"/>
  <c r="K90" i="26"/>
  <c r="L90" i="26" s="1"/>
  <c r="K111" i="26"/>
  <c r="L111" i="26" s="1"/>
  <c r="K36" i="26"/>
  <c r="L36" i="26" s="1"/>
  <c r="E40" i="4"/>
  <c r="E42" i="4" s="1"/>
  <c r="K25" i="26"/>
  <c r="L25" i="26" s="1"/>
  <c r="K49" i="26"/>
  <c r="L49" i="26" s="1"/>
  <c r="K86" i="26"/>
  <c r="L86" i="26" s="1"/>
  <c r="K101" i="26"/>
  <c r="L101" i="26" s="1"/>
  <c r="K23" i="26"/>
  <c r="L23" i="26" s="1"/>
  <c r="K71" i="26"/>
  <c r="L71" i="26" s="1"/>
  <c r="K40" i="26"/>
  <c r="L40" i="26" s="1"/>
  <c r="K72" i="26"/>
  <c r="L72" i="26" s="1"/>
  <c r="K109" i="26"/>
  <c r="L109" i="26" s="1"/>
  <c r="K75" i="26"/>
  <c r="L75" i="26" s="1"/>
  <c r="K64" i="26"/>
  <c r="L64" i="26" s="1"/>
  <c r="K58" i="26"/>
  <c r="L58" i="26" s="1"/>
  <c r="K99" i="26"/>
  <c r="L99" i="26" s="1"/>
  <c r="K37" i="26"/>
  <c r="L37" i="26" s="1"/>
  <c r="K38" i="26"/>
  <c r="L38" i="26" s="1"/>
  <c r="K13" i="26"/>
  <c r="L13" i="26" s="1"/>
  <c r="K94" i="26"/>
  <c r="L94" i="26" s="1"/>
  <c r="K19" i="26"/>
  <c r="L19" i="26" s="1"/>
  <c r="K46" i="26"/>
  <c r="L46" i="26" s="1"/>
  <c r="K43" i="26"/>
  <c r="L43" i="26" s="1"/>
  <c r="K70" i="26"/>
  <c r="L70" i="26" s="1"/>
  <c r="K32" i="26"/>
  <c r="L32" i="26" s="1"/>
  <c r="K16" i="26"/>
  <c r="L16" i="26" s="1"/>
  <c r="K20" i="26"/>
  <c r="L20" i="26" s="1"/>
  <c r="K97" i="26"/>
  <c r="L97" i="26" s="1"/>
  <c r="K41" i="26"/>
  <c r="L41" i="26" s="1"/>
  <c r="K68" i="26"/>
  <c r="L68" i="26" s="1"/>
  <c r="K24" i="26"/>
  <c r="L24" i="26" s="1"/>
  <c r="K79" i="26"/>
  <c r="L79" i="26" s="1"/>
  <c r="K76" i="26"/>
  <c r="L76" i="26" s="1"/>
  <c r="K12" i="26"/>
  <c r="L12" i="26" s="1"/>
  <c r="K87" i="26"/>
  <c r="L87" i="26" s="1"/>
  <c r="K15" i="26"/>
  <c r="L15" i="26" s="1"/>
  <c r="K107" i="26"/>
  <c r="L107" i="26" s="1"/>
  <c r="K28" i="26"/>
  <c r="L28" i="26" s="1"/>
  <c r="K114" i="26"/>
  <c r="L114" i="26" s="1"/>
  <c r="K82" i="26"/>
  <c r="L82" i="26" s="1"/>
  <c r="K80" i="26"/>
  <c r="L80" i="26" s="1"/>
  <c r="K100" i="26"/>
  <c r="L100" i="26" s="1"/>
  <c r="K65" i="26"/>
  <c r="L65" i="26" s="1"/>
  <c r="K44" i="26"/>
  <c r="L44" i="26" s="1"/>
  <c r="K42" i="26"/>
  <c r="L42" i="26" s="1"/>
  <c r="K69" i="26"/>
  <c r="L69" i="26" s="1"/>
  <c r="K59" i="26"/>
  <c r="L59" i="26" s="1"/>
  <c r="K104" i="26"/>
  <c r="L104" i="26" s="1"/>
  <c r="K102" i="26"/>
  <c r="L102" i="26" s="1"/>
  <c r="K88" i="26"/>
  <c r="L88" i="26" s="1"/>
  <c r="K53" i="26"/>
  <c r="L53" i="26" s="1"/>
  <c r="K95" i="26"/>
  <c r="L95" i="26" s="1"/>
  <c r="K11" i="26"/>
  <c r="L11" i="26" s="1"/>
  <c r="K62" i="26"/>
  <c r="L62" i="26" s="1"/>
  <c r="K103" i="26"/>
  <c r="L103" i="26" s="1"/>
  <c r="K56" i="26"/>
  <c r="L56" i="26" s="1"/>
  <c r="K108" i="26"/>
  <c r="L108" i="26" s="1"/>
  <c r="K73" i="26"/>
  <c r="L73" i="26" s="1"/>
  <c r="K60" i="26"/>
  <c r="L60" i="26" s="1"/>
  <c r="K35" i="26"/>
  <c r="L35" i="26" s="1"/>
  <c r="K110" i="26"/>
  <c r="L110" i="26" s="1"/>
  <c r="K21" i="26"/>
  <c r="L21" i="26" s="1"/>
  <c r="K61" i="26"/>
  <c r="L61" i="26" s="1"/>
  <c r="K77" i="26"/>
  <c r="L77" i="26" s="1"/>
  <c r="K113" i="26"/>
  <c r="L113" i="26" s="1"/>
  <c r="K14" i="26"/>
  <c r="L14" i="26" s="1"/>
  <c r="K33" i="26"/>
  <c r="L33" i="26" s="1"/>
  <c r="K34" i="26"/>
  <c r="L34" i="26" s="1"/>
  <c r="K50" i="26"/>
  <c r="L50" i="26" s="1"/>
  <c r="K96" i="26"/>
  <c r="L96" i="26" s="1"/>
  <c r="K54" i="26"/>
  <c r="L54" i="26" s="1"/>
  <c r="K92" i="26"/>
  <c r="L92" i="26" s="1"/>
  <c r="K85" i="26"/>
  <c r="L85" i="26" s="1"/>
  <c r="K55" i="26"/>
  <c r="L55" i="26" s="1"/>
  <c r="K83" i="26"/>
  <c r="L83" i="26" s="1"/>
  <c r="K29" i="26"/>
  <c r="L29" i="26" s="1"/>
  <c r="K66" i="26"/>
  <c r="L66" i="26" s="1"/>
  <c r="K39" i="26"/>
  <c r="L39" i="26" s="1"/>
  <c r="K63" i="26"/>
  <c r="L63" i="26" s="1"/>
  <c r="K78" i="26"/>
  <c r="L78" i="26" s="1"/>
  <c r="K115" i="26"/>
  <c r="L115" i="26" s="1"/>
  <c r="K57" i="26"/>
  <c r="L57" i="26" s="1"/>
  <c r="K106" i="26"/>
  <c r="L106" i="26" s="1"/>
  <c r="K89" i="26"/>
  <c r="L89" i="26" s="1"/>
  <c r="K51" i="26"/>
  <c r="L51" i="26" s="1"/>
  <c r="K27" i="26"/>
  <c r="L27" i="26" s="1"/>
  <c r="K112" i="26"/>
  <c r="L112" i="26" s="1"/>
  <c r="K30" i="26"/>
  <c r="L30" i="26" s="1"/>
  <c r="K84" i="26"/>
  <c r="L84" i="26" s="1"/>
  <c r="K45" i="26"/>
  <c r="L45" i="26" s="1"/>
  <c r="K67" i="26"/>
  <c r="L67" i="26" s="1"/>
  <c r="K52" i="26"/>
  <c r="L52" i="26" s="1"/>
  <c r="K93" i="26"/>
  <c r="L93" i="26" s="1"/>
  <c r="K47" i="26"/>
  <c r="L47" i="26" s="1"/>
  <c r="K74" i="26"/>
  <c r="L74" i="26" s="1"/>
  <c r="K81" i="26"/>
  <c r="L81" i="26" s="1"/>
  <c r="K91" i="26"/>
  <c r="L91" i="26" s="1"/>
  <c r="K98" i="26"/>
  <c r="L98" i="26" s="1"/>
  <c r="K22" i="26"/>
  <c r="L22" i="26" s="1"/>
  <c r="K105" i="26"/>
  <c r="L105" i="26" s="1"/>
  <c r="K31" i="26"/>
  <c r="L31" i="26" s="1"/>
  <c r="I29" i="21"/>
  <c r="J29" i="21" s="1"/>
  <c r="I30" i="21"/>
  <c r="J30" i="21" s="1"/>
  <c r="D32" i="21"/>
  <c r="E34" i="21" l="1"/>
  <c r="E33" i="21" s="1"/>
  <c r="E43" i="21"/>
  <c r="E44" i="21" s="1"/>
  <c r="G34" i="21"/>
  <c r="G33" i="21" s="1"/>
  <c r="G43" i="21"/>
  <c r="G44" i="21" s="1"/>
  <c r="D43" i="21"/>
  <c r="D44" i="21" s="1"/>
  <c r="F34" i="21"/>
  <c r="F33" i="21" s="1"/>
  <c r="F43" i="21"/>
  <c r="F44" i="21" s="1"/>
  <c r="D34" i="21"/>
  <c r="D33" i="21" s="1"/>
  <c r="D35" i="21" s="1"/>
  <c r="E35" i="21" l="1"/>
  <c r="F35" i="21" s="1"/>
  <c r="G35" i="21" s="1"/>
  <c r="D36" i="21"/>
  <c r="E36" i="21" s="1"/>
  <c r="F36" i="21" s="1"/>
  <c r="G36" i="21" s="1"/>
  <c r="I36" i="21" s="1"/>
  <c r="I32" i="21"/>
  <c r="J32" i="21" s="1"/>
  <c r="J12" i="26" l="1"/>
  <c r="J13" i="26" l="1"/>
  <c r="J14" i="26" s="1"/>
  <c r="J15" i="26" s="1"/>
  <c r="J16" i="26" s="1"/>
  <c r="J17" i="26" s="1"/>
  <c r="J18" i="26" s="1"/>
  <c r="J19" i="26" s="1"/>
  <c r="J20" i="26" s="1"/>
  <c r="J21" i="26" s="1"/>
  <c r="J22" i="26" s="1"/>
  <c r="J23" i="26" s="1"/>
  <c r="J24" i="26" s="1"/>
  <c r="J25" i="26" s="1"/>
  <c r="J26" i="26" s="1"/>
  <c r="J27" i="26" s="1"/>
  <c r="J28" i="26" s="1"/>
  <c r="J29" i="26" s="1"/>
  <c r="J30" i="26" s="1"/>
  <c r="J31" i="26" s="1"/>
  <c r="J32" i="26" s="1"/>
  <c r="J33" i="26" s="1"/>
  <c r="J34" i="26" s="1"/>
  <c r="J35" i="26" s="1"/>
  <c r="J36" i="26" s="1"/>
  <c r="J37" i="26" s="1"/>
  <c r="J38" i="26" s="1"/>
  <c r="J39" i="26" s="1"/>
  <c r="J40" i="26" s="1"/>
  <c r="J41" i="26" s="1"/>
  <c r="J42" i="26" s="1"/>
  <c r="J43" i="26" s="1"/>
  <c r="J44" i="26" s="1"/>
  <c r="J45" i="26" s="1"/>
  <c r="J46" i="26" s="1"/>
  <c r="J47" i="26" s="1"/>
  <c r="J48" i="26" s="1"/>
  <c r="J49" i="26" s="1"/>
  <c r="J50" i="26" s="1"/>
  <c r="J51" i="26" s="1"/>
  <c r="J52" i="26" s="1"/>
  <c r="J53" i="26" s="1"/>
  <c r="J54" i="26" s="1"/>
  <c r="J55" i="26" s="1"/>
  <c r="J56" i="26" s="1"/>
  <c r="J57" i="26" s="1"/>
  <c r="J58" i="26" s="1"/>
  <c r="J59" i="26" s="1"/>
  <c r="J60" i="26" s="1"/>
  <c r="J61" i="26" s="1"/>
  <c r="J62" i="26" s="1"/>
  <c r="J63" i="26" s="1"/>
  <c r="J64" i="26" s="1"/>
  <c r="J65" i="26" s="1"/>
  <c r="J66" i="26" s="1"/>
  <c r="J67" i="26" s="1"/>
  <c r="J68" i="26" s="1"/>
  <c r="J69" i="26" s="1"/>
  <c r="J70" i="26" s="1"/>
  <c r="J71" i="26" s="1"/>
  <c r="J72" i="26" s="1"/>
  <c r="J73" i="26" s="1"/>
  <c r="J74" i="26" s="1"/>
  <c r="J75" i="26" s="1"/>
  <c r="J76" i="26" s="1"/>
  <c r="J77" i="26" s="1"/>
  <c r="J78" i="26" s="1"/>
  <c r="J79" i="26" s="1"/>
  <c r="J80" i="26" s="1"/>
  <c r="J81" i="26" s="1"/>
  <c r="J82" i="26" s="1"/>
  <c r="J83" i="26" s="1"/>
  <c r="J84" i="26" s="1"/>
  <c r="J85" i="26" s="1"/>
  <c r="J86" i="26" s="1"/>
  <c r="J87" i="26" s="1"/>
  <c r="J88" i="26" s="1"/>
  <c r="J89" i="26" s="1"/>
  <c r="J90" i="26" s="1"/>
  <c r="J91" i="26" s="1"/>
  <c r="J92" i="26" s="1"/>
  <c r="J93" i="26" s="1"/>
  <c r="J94" i="26" s="1"/>
  <c r="J95" i="26" s="1"/>
  <c r="J96" i="26" s="1"/>
  <c r="J97" i="26" s="1"/>
  <c r="J98" i="26" s="1"/>
  <c r="J99" i="26" s="1"/>
  <c r="J100" i="26" s="1"/>
  <c r="J101" i="26" s="1"/>
  <c r="J102" i="26" s="1"/>
  <c r="J103" i="26" s="1"/>
  <c r="J104" i="26" s="1"/>
  <c r="J105" i="26" s="1"/>
  <c r="J106" i="26" s="1"/>
  <c r="J107" i="26" s="1"/>
  <c r="J108" i="26" s="1"/>
  <c r="J109" i="26" s="1"/>
  <c r="J110" i="26" s="1"/>
  <c r="J111" i="26" s="1"/>
  <c r="J112" i="26" s="1"/>
  <c r="J113" i="26" s="1"/>
  <c r="J114" i="26" s="1"/>
  <c r="J117"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thelma.parada</author>
    <author>ivanr</author>
  </authors>
  <commentList>
    <comment ref="E14" authorId="0" shapeId="0" xr:uid="{00000000-0006-0000-0000-000001000000}">
      <text>
        <r>
          <rPr>
            <sz val="9"/>
            <color indexed="81"/>
            <rFont val="Tahoma"/>
            <family val="2"/>
          </rPr>
          <t xml:space="preserve">NÚMERO DA ESTIMATIVA PRINCIPAL DE ACORDO COM O CONTROLE DA SEORÇA
</t>
        </r>
      </text>
    </comment>
    <comment ref="E15" authorId="1" shapeId="0" xr:uid="{00000000-0006-0000-0000-000002000000}">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E16" authorId="0" shapeId="0" xr:uid="{00000000-0006-0000-0000-000003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E17" authorId="1" shapeId="0" xr:uid="{00000000-0006-0000-0000-000004000000}">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E18" authorId="1" shapeId="0" xr:uid="{00000000-0006-0000-0000-000005000000}">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E19" authorId="1" shapeId="0" xr:uid="{00000000-0006-0000-0000-000006000000}">
      <text>
        <r>
          <rPr>
            <sz val="9"/>
            <color indexed="81"/>
            <rFont val="Tahoma"/>
            <family val="2"/>
          </rPr>
          <t>Prazo definido pelo orçamentista consultando também o chefe do DETEC</t>
        </r>
      </text>
    </comment>
    <comment ref="E20" authorId="1" shapeId="0" xr:uid="{00000000-0006-0000-0000-000007000000}">
      <text>
        <r>
          <rPr>
            <sz val="9"/>
            <color indexed="81"/>
            <rFont val="Tahoma"/>
            <family val="2"/>
          </rPr>
          <t xml:space="preserve">Data da conclusão da estimativa
</t>
        </r>
      </text>
    </comment>
    <comment ref="E21" authorId="0" shapeId="0" xr:uid="{00000000-0006-0000-0000-00000800000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E22" authorId="0" shapeId="0" xr:uid="{419312B4-4216-4D7E-B9A5-842FE7F42349}">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E23" authorId="0" shapeId="0" xr:uid="{00000000-0006-0000-0000-000009000000}">
      <text>
        <r>
          <rPr>
            <sz val="9"/>
            <color indexed="81"/>
            <rFont val="Tahoma"/>
            <family val="2"/>
          </rPr>
          <t>número do processo da licitação a que se refere a estimativa</t>
        </r>
      </text>
    </comment>
    <comment ref="E24" authorId="1" shapeId="0" xr:uid="{00000000-0006-0000-0000-00000A000000}">
      <text>
        <r>
          <rPr>
            <sz val="9"/>
            <color indexed="81"/>
            <rFont val="Tahoma"/>
            <family val="2"/>
          </rPr>
          <t xml:space="preserve">Tabela de referência em vigor aprovada pela Diretoria colegiada da NOVACAP
</t>
        </r>
      </text>
    </comment>
    <comment ref="E25" authorId="1" shapeId="0" xr:uid="{00000000-0006-0000-0000-00000B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E26" authorId="1" shapeId="0" xr:uid="{00000000-0006-0000-0000-00000C000000}">
      <text>
        <r>
          <rPr>
            <sz val="9"/>
            <color indexed="81"/>
            <rFont val="Tahoma"/>
            <family val="2"/>
          </rPr>
          <t xml:space="preserve">Neste campo o orçamentista poderá informar o que julgar necessário
</t>
        </r>
      </text>
    </comment>
    <comment ref="E28" authorId="0" shapeId="0" xr:uid="{00000000-0006-0000-0000-00000D000000}">
      <text>
        <r>
          <rPr>
            <sz val="9"/>
            <color indexed="81"/>
            <rFont val="Tahoma"/>
            <family val="2"/>
          </rPr>
          <t>Inserir o nome do profissional responsável pela capa, o CREA ou CAU e o nº da ART ou RRT.</t>
        </r>
      </text>
    </comment>
    <comment ref="D31" authorId="1" shapeId="0" xr:uid="{00000000-0006-0000-0000-00000E000000}">
      <text>
        <r>
          <rPr>
            <sz val="9"/>
            <color indexed="81"/>
            <rFont val="Tahoma"/>
            <family val="2"/>
          </rPr>
          <t>Inserir o número da estimativa parcial e o nome da mesma.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D6" authorId="0" shapeId="0" xr:uid="{00000000-0006-0000-0100-000001000000}">
      <text>
        <r>
          <rPr>
            <sz val="9"/>
            <color indexed="81"/>
            <rFont val="Tahoma"/>
            <family val="2"/>
          </rPr>
          <t>Número da estimativa parcial de acordo com o controle da SEORÇA</t>
        </r>
      </text>
    </comment>
    <comment ref="J6" authorId="0" shapeId="0" xr:uid="{00000000-0006-0000-0100-000002000000}">
      <text>
        <r>
          <rPr>
            <sz val="9"/>
            <color indexed="81"/>
            <rFont val="Tahoma"/>
            <family val="2"/>
          </rPr>
          <t>Data da conclusão da estimativa</t>
        </r>
      </text>
    </comment>
    <comment ref="D7" authorId="0" shapeId="0" xr:uid="{00000000-0006-0000-0100-000003000000}">
      <text>
        <r>
          <rPr>
            <sz val="9"/>
            <color indexed="81"/>
            <rFont val="Tahoma"/>
            <family val="2"/>
          </rPr>
          <t>Nome dado a esta planilha estimativa parcial</t>
        </r>
      </text>
    </comment>
    <comment ref="J7" authorId="1" shapeId="0" xr:uid="{00000000-0006-0000-01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shapeId="0" xr:uid="{00000000-0006-0000-0100-000005000000}">
      <text>
        <r>
          <rPr>
            <sz val="9"/>
            <color indexed="81"/>
            <rFont val="Tahoma"/>
            <family val="2"/>
          </rPr>
          <t xml:space="preserve">Endereço completo desta planilha estimativa parcial
</t>
        </r>
      </text>
    </comment>
    <comment ref="J8" authorId="0" shapeId="0" xr:uid="{00000000-0006-0000-0100-000006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shapeId="0" xr:uid="{00000000-0006-0000-0100-000007000000}">
      <text>
        <r>
          <rPr>
            <sz val="9"/>
            <color indexed="81"/>
            <rFont val="Tahoma"/>
            <family val="2"/>
          </rPr>
          <t>Encargos trabalhistas da tabela SINAPI em vigor aprovada pela Diretoria colegiada da NOVACAP</t>
        </r>
      </text>
    </comment>
    <comment ref="F9" authorId="0" shapeId="0" xr:uid="{00000000-0006-0000-01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shapeId="0" xr:uid="{00000000-0006-0000-0100-000009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shapeId="0" xr:uid="{00000000-0006-0000-0100-00000A000000}">
      <text>
        <r>
          <rPr>
            <sz val="9"/>
            <color indexed="81"/>
            <rFont val="Tahoma"/>
            <family val="2"/>
          </rPr>
          <t>Tabela de referência em vigor aprovada pela Diretoria colegiada da NOVACAP</t>
        </r>
      </text>
    </comment>
    <comment ref="B238" authorId="0" shapeId="0" xr:uid="{00000000-0006-0000-0100-00000B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39" authorId="0" shapeId="0" xr:uid="{E1D33973-0D5F-4F95-BFA0-55D8AFC9B175}">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B5" authorId="0" shapeId="0" xr:uid="{00000000-0006-0000-02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shapeId="0" xr:uid="{00000000-0006-0000-0200-000002000000}">
      <text>
        <r>
          <rPr>
            <sz val="9"/>
            <color indexed="81"/>
            <rFont val="Tahoma"/>
            <family val="2"/>
          </rPr>
          <t xml:space="preserve">Número da estimativa principal, de acordo com o controle da SEORÇA. </t>
        </r>
      </text>
    </comment>
    <comment ref="H6" authorId="0" shapeId="0" xr:uid="{00000000-0006-0000-0200-000003000000}">
      <text>
        <r>
          <rPr>
            <sz val="9"/>
            <color indexed="81"/>
            <rFont val="Tahoma"/>
            <family val="2"/>
          </rPr>
          <t>Data da conclusão da estimativa</t>
        </r>
      </text>
    </comment>
    <comment ref="C7" authorId="0" shapeId="0" xr:uid="{00000000-0006-0000-0200-000004000000}">
      <text>
        <r>
          <rPr>
            <sz val="9"/>
            <color indexed="81"/>
            <rFont val="Tahoma"/>
            <family val="2"/>
          </rPr>
          <t>Nome dado a esta planilha estimativa parcial</t>
        </r>
      </text>
    </comment>
    <comment ref="H7" authorId="1" shapeId="0" xr:uid="{00000000-0006-0000-02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shapeId="0" xr:uid="{00000000-0006-0000-0200-000006000000}">
      <text>
        <r>
          <rPr>
            <sz val="9"/>
            <color indexed="81"/>
            <rFont val="Tahoma"/>
            <family val="2"/>
          </rPr>
          <t>Encargos trabalhistas da tabela SINAPI em vigor aprovada pela Diretoria colegiada da NOVACAP</t>
        </r>
      </text>
    </comment>
    <comment ref="E8" authorId="0" shapeId="0" xr:uid="{00000000-0006-0000-02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shapeId="0" xr:uid="{00000000-0006-0000-0200-000008000000}">
      <text>
        <r>
          <rPr>
            <sz val="9"/>
            <color indexed="81"/>
            <rFont val="Tahoma"/>
            <family val="2"/>
          </rPr>
          <t>Tabela de referência em vigor aprovada pela Diretoria colegiada da NOVACAP</t>
        </r>
      </text>
    </comment>
    <comment ref="B452" authorId="0" shapeId="0" xr:uid="{71DE697D-6D5D-4017-BB95-9525D6177519}">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453" authorId="0" shapeId="0" xr:uid="{00000000-0006-0000-0200-000009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B5" authorId="0" shapeId="0" xr:uid="{00000000-0006-0000-03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shapeId="0" xr:uid="{00000000-0006-0000-0300-000002000000}">
      <text>
        <r>
          <rPr>
            <sz val="9"/>
            <color indexed="81"/>
            <rFont val="Tahoma"/>
            <family val="2"/>
          </rPr>
          <t xml:space="preserve">Número da estimativa principal, de acordo com o controle da SEORÇA. </t>
        </r>
      </text>
    </comment>
    <comment ref="H6" authorId="0" shapeId="0" xr:uid="{00000000-0006-0000-0300-000003000000}">
      <text>
        <r>
          <rPr>
            <sz val="9"/>
            <color indexed="81"/>
            <rFont val="Tahoma"/>
            <family val="2"/>
          </rPr>
          <t>Data da conclusão da estimativa</t>
        </r>
      </text>
    </comment>
    <comment ref="C7" authorId="0" shapeId="0" xr:uid="{00000000-0006-0000-0300-000004000000}">
      <text>
        <r>
          <rPr>
            <sz val="9"/>
            <color indexed="81"/>
            <rFont val="Tahoma"/>
            <family val="2"/>
          </rPr>
          <t>Nome dado a esta planilha estimativa parcial</t>
        </r>
      </text>
    </comment>
    <comment ref="H7" authorId="1" shapeId="0" xr:uid="{00000000-0006-0000-03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shapeId="0" xr:uid="{00000000-0006-0000-0300-000006000000}">
      <text>
        <r>
          <rPr>
            <sz val="9"/>
            <color indexed="81"/>
            <rFont val="Tahoma"/>
            <family val="2"/>
          </rPr>
          <t>Encargos trabalhistas da tabela SINAPI em vigor aprovada pela Diretoria colegiada da NOVACAP</t>
        </r>
      </text>
    </comment>
    <comment ref="E8" authorId="0" shapeId="0" xr:uid="{00000000-0006-0000-03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shapeId="0" xr:uid="{00000000-0006-0000-0300-000008000000}">
      <text>
        <r>
          <rPr>
            <sz val="9"/>
            <color indexed="81"/>
            <rFont val="Tahoma"/>
            <family val="2"/>
          </rPr>
          <t>Tabela de referência em vigor aprovada pela Diretoria colegiada da NOVACAP</t>
        </r>
      </text>
    </comment>
    <comment ref="B144" authorId="0" shapeId="0" xr:uid="{9D4FD891-A851-4368-AF8D-E28C11604C58}">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45" authorId="0" shapeId="0" xr:uid="{00000000-0006-0000-0300-000009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B6" authorId="0" shapeId="0" xr:uid="{00000000-0006-0000-0400-000001000000}">
      <text>
        <r>
          <rPr>
            <sz val="9"/>
            <color indexed="81"/>
            <rFont val="Tahoma"/>
            <family val="2"/>
          </rPr>
          <t>Número da estimativa parcial de acordo com o controle da SEORÇA</t>
        </r>
      </text>
    </comment>
    <comment ref="I6" authorId="0" shapeId="0" xr:uid="{00000000-0006-0000-0400-000002000000}">
      <text>
        <r>
          <rPr>
            <sz val="9"/>
            <color indexed="81"/>
            <rFont val="Tahoma"/>
            <family val="2"/>
          </rPr>
          <t>Data da conclusão da estimativa</t>
        </r>
      </text>
    </comment>
    <comment ref="B7" authorId="0" shapeId="0" xr:uid="{00000000-0006-0000-0400-000003000000}">
      <text>
        <r>
          <rPr>
            <sz val="9"/>
            <color indexed="81"/>
            <rFont val="Tahoma"/>
            <family val="2"/>
          </rPr>
          <t>Nome dado a esta planilha estimativa parcial</t>
        </r>
      </text>
    </comment>
    <comment ref="I7" authorId="1" shapeId="0" xr:uid="{00000000-0006-0000-04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A139" authorId="0" shapeId="0" xr:uid="{00000000-0006-0000-0400-000005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alvaro.santos</author>
    <author>ivanr</author>
  </authors>
  <commentList>
    <comment ref="A22" authorId="0" shapeId="0" xr:uid="{00000000-0006-0000-0700-000001000000}">
      <text>
        <r>
          <rPr>
            <b/>
            <sz val="9"/>
            <color indexed="81"/>
            <rFont val="Tahoma"/>
            <family val="2"/>
          </rPr>
          <t>PÁGINA 06 DO PDF</t>
        </r>
      </text>
    </comment>
    <comment ref="C22" authorId="0" shapeId="0" xr:uid="{00000000-0006-0000-0700-000002000000}">
      <text>
        <r>
          <rPr>
            <b/>
            <sz val="9"/>
            <color indexed="81"/>
            <rFont val="Tahoma"/>
            <family val="2"/>
          </rPr>
          <t xml:space="preserve">PÁGINA 06 DO PDF
</t>
        </r>
      </text>
    </comment>
    <comment ref="E22" authorId="0" shapeId="0" xr:uid="{00000000-0006-0000-0700-000003000000}">
      <text>
        <r>
          <rPr>
            <b/>
            <sz val="9"/>
            <color indexed="81"/>
            <rFont val="Tahoma"/>
            <family val="2"/>
          </rPr>
          <t>PÁGINA 06 DO PDF</t>
        </r>
      </text>
    </comment>
    <comment ref="G22" authorId="0" shapeId="0" xr:uid="{00000000-0006-0000-0700-000004000000}">
      <text>
        <r>
          <rPr>
            <b/>
            <sz val="9"/>
            <color indexed="81"/>
            <rFont val="Tahoma"/>
            <family val="2"/>
          </rPr>
          <t xml:space="preserve">PÁGINA 06 DO PDF
</t>
        </r>
      </text>
    </comment>
    <comment ref="A30" authorId="0" shapeId="0" xr:uid="{00000000-0006-0000-0700-000005000000}">
      <text>
        <r>
          <rPr>
            <b/>
            <sz val="9"/>
            <color indexed="81"/>
            <rFont val="Tahoma"/>
            <family val="2"/>
          </rPr>
          <t>PÁGINA 06 DO PDF</t>
        </r>
      </text>
    </comment>
    <comment ref="C30" authorId="0" shapeId="0" xr:uid="{00000000-0006-0000-0700-000006000000}">
      <text>
        <r>
          <rPr>
            <b/>
            <sz val="9"/>
            <color indexed="81"/>
            <rFont val="Tahoma"/>
            <family val="2"/>
          </rPr>
          <t xml:space="preserve">PÁGINA 06 DO PDF
</t>
        </r>
      </text>
    </comment>
    <comment ref="E30" authorId="0" shapeId="0" xr:uid="{00000000-0006-0000-0700-000007000000}">
      <text>
        <r>
          <rPr>
            <b/>
            <sz val="9"/>
            <color indexed="81"/>
            <rFont val="Tahoma"/>
            <family val="2"/>
          </rPr>
          <t>PÁGINA 06 DO PDF</t>
        </r>
      </text>
    </comment>
    <comment ref="G30" authorId="0" shapeId="0" xr:uid="{00000000-0006-0000-0700-000008000000}">
      <text>
        <r>
          <rPr>
            <b/>
            <sz val="9"/>
            <color indexed="81"/>
            <rFont val="Tahoma"/>
            <family val="2"/>
          </rPr>
          <t xml:space="preserve">PÁGINA 06 DO PDF
</t>
        </r>
      </text>
    </comment>
    <comment ref="A38" authorId="0" shapeId="0" xr:uid="{00000000-0006-0000-0700-000009000000}">
      <text>
        <r>
          <rPr>
            <b/>
            <sz val="9"/>
            <color indexed="81"/>
            <rFont val="Tahoma"/>
            <family val="2"/>
          </rPr>
          <t>PÁGINA 06 DO PDF</t>
        </r>
      </text>
    </comment>
    <comment ref="C38" authorId="0" shapeId="0" xr:uid="{00000000-0006-0000-0700-00000A000000}">
      <text>
        <r>
          <rPr>
            <b/>
            <sz val="9"/>
            <color indexed="81"/>
            <rFont val="Tahoma"/>
            <family val="2"/>
          </rPr>
          <t xml:space="preserve">PÁGINA 06 DO PDF
</t>
        </r>
      </text>
    </comment>
    <comment ref="E38" authorId="0" shapeId="0" xr:uid="{00000000-0006-0000-0700-00000B000000}">
      <text>
        <r>
          <rPr>
            <b/>
            <sz val="9"/>
            <color indexed="81"/>
            <rFont val="Tahoma"/>
            <family val="2"/>
          </rPr>
          <t>PÁGINA 06 DO PDF</t>
        </r>
      </text>
    </comment>
    <comment ref="G38" authorId="0" shapeId="0" xr:uid="{00000000-0006-0000-0700-00000C000000}">
      <text>
        <r>
          <rPr>
            <b/>
            <sz val="9"/>
            <color indexed="81"/>
            <rFont val="Tahoma"/>
            <family val="2"/>
          </rPr>
          <t xml:space="preserve">PÁGINA 06 DO PDF
</t>
        </r>
      </text>
    </comment>
    <comment ref="A46" authorId="0" shapeId="0" xr:uid="{00000000-0006-0000-0700-00000D000000}">
      <text>
        <r>
          <rPr>
            <b/>
            <sz val="9"/>
            <color indexed="81"/>
            <rFont val="Tahoma"/>
            <family val="2"/>
          </rPr>
          <t>PÁGINA 06 DO PDF</t>
        </r>
      </text>
    </comment>
    <comment ref="C46" authorId="0" shapeId="0" xr:uid="{00000000-0006-0000-0700-00000E000000}">
      <text>
        <r>
          <rPr>
            <b/>
            <sz val="9"/>
            <color indexed="81"/>
            <rFont val="Tahoma"/>
            <family val="2"/>
          </rPr>
          <t xml:space="preserve">PÁGINA 06 DO PDF
</t>
        </r>
      </text>
    </comment>
    <comment ref="E46" authorId="0" shapeId="0" xr:uid="{00000000-0006-0000-0700-00000F000000}">
      <text>
        <r>
          <rPr>
            <b/>
            <sz val="9"/>
            <color indexed="81"/>
            <rFont val="Tahoma"/>
            <family val="2"/>
          </rPr>
          <t>PÁGINA 06 DO PDF</t>
        </r>
      </text>
    </comment>
    <comment ref="G46" authorId="0" shapeId="0" xr:uid="{00000000-0006-0000-0700-000010000000}">
      <text>
        <r>
          <rPr>
            <b/>
            <sz val="9"/>
            <color indexed="81"/>
            <rFont val="Tahoma"/>
            <family val="2"/>
          </rPr>
          <t xml:space="preserve">PÁGINA 06 DO PDF
</t>
        </r>
      </text>
    </comment>
    <comment ref="A50" authorId="1" shapeId="0" xr:uid="{00000000-0006-0000-0700-000011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A6" authorId="0" shapeId="0" xr:uid="{00000000-0006-0000-08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7" authorId="0" shapeId="0" xr:uid="{00000000-0006-0000-0800-000002000000}">
      <text>
        <r>
          <rPr>
            <sz val="9"/>
            <color indexed="81"/>
            <rFont val="Tahoma"/>
            <family val="2"/>
          </rPr>
          <t xml:space="preserve">Número da estimativa principal, de acordo com o controle da SEORÇA. </t>
        </r>
      </text>
    </comment>
    <comment ref="B8" authorId="0" shapeId="0" xr:uid="{00000000-0006-0000-0800-00000300000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D8" authorId="1" shapeId="0" xr:uid="{00000000-0006-0000-08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9" authorId="0" shapeId="0" xr:uid="{00000000-0006-0000-0800-000005000000}">
      <text>
        <r>
          <rPr>
            <sz val="9"/>
            <color indexed="81"/>
            <rFont val="Tahoma"/>
            <family val="2"/>
          </rPr>
          <t>Encargos trabalhistas da tabela SINAPI em vigor aprovada pela Diretoria colegiada da NOVACAP</t>
        </r>
      </text>
    </comment>
    <comment ref="D9" authorId="0" shapeId="0" xr:uid="{00000000-0006-0000-0800-000006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F9" authorId="0" shapeId="0" xr:uid="{00000000-0006-0000-08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A39" authorId="0" shapeId="0" xr:uid="{1FD25D98-C911-420F-B991-7ECD46613EE8}">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40" authorId="0" shapeId="0" xr:uid="{00000000-0006-0000-0800-000008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A5" authorId="0" shapeId="0" xr:uid="{00000000-0006-0000-09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shapeId="0" xr:uid="{00000000-0006-0000-0900-000002000000}">
      <text>
        <r>
          <rPr>
            <sz val="9"/>
            <color indexed="81"/>
            <rFont val="Tahoma"/>
            <family val="2"/>
          </rPr>
          <t xml:space="preserve">Número da estimativa principal, de acordo com o controle da SEORÇA. </t>
        </r>
      </text>
    </comment>
    <comment ref="J6" authorId="0" shapeId="0" xr:uid="{00000000-0006-0000-0900-000003000000}">
      <text>
        <r>
          <rPr>
            <sz val="9"/>
            <color indexed="81"/>
            <rFont val="Tahoma"/>
            <family val="2"/>
          </rPr>
          <t>Data da conclusão da estimativa</t>
        </r>
      </text>
    </comment>
    <comment ref="B7" authorId="0" shapeId="0" xr:uid="{00000000-0006-0000-0900-00000400000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J7" authorId="1" shapeId="0" xr:uid="{00000000-0006-0000-09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shapeId="0" xr:uid="{00000000-0006-0000-0900-000006000000}">
      <text>
        <r>
          <rPr>
            <sz val="9"/>
            <color indexed="81"/>
            <rFont val="Tahoma"/>
            <family val="2"/>
          </rPr>
          <t>Encargos trabalhistas da tabela SINAPI em vigor aprovada pela Diretoria colegiada da NOVACAP</t>
        </r>
      </text>
    </comment>
    <comment ref="E8" authorId="0" shapeId="0" xr:uid="{00000000-0006-0000-09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G8" authorId="0" shapeId="0" xr:uid="{00000000-0006-0000-09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8" authorId="0" shapeId="0" xr:uid="{00000000-0006-0000-0900-000009000000}">
      <text>
        <r>
          <rPr>
            <sz val="9"/>
            <color indexed="81"/>
            <rFont val="Tahoma"/>
            <family val="2"/>
          </rPr>
          <t>Tabela de referência em vigor aprovada pela Diretoria colegiada da NOVACAP</t>
        </r>
      </text>
    </comment>
    <comment ref="A119" authorId="0" shapeId="0" xr:uid="{51E61001-A7E2-4B47-BF84-3605E19443D1}">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120" authorId="0" shapeId="0" xr:uid="{00000000-0006-0000-0900-00000A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alvaro.santos</author>
  </authors>
  <commentList>
    <comment ref="A191" authorId="0" shapeId="0" xr:uid="{00000000-0006-0000-0B00-000001000000}">
      <text>
        <r>
          <rPr>
            <b/>
            <sz val="9"/>
            <color indexed="81"/>
            <rFont val="Tahoma"/>
            <family val="2"/>
          </rPr>
          <t>PÁGINA 06 DO PDF</t>
        </r>
      </text>
    </comment>
    <comment ref="C191" authorId="0" shapeId="0" xr:uid="{00000000-0006-0000-0B00-000002000000}">
      <text>
        <r>
          <rPr>
            <b/>
            <sz val="9"/>
            <color indexed="81"/>
            <rFont val="Tahoma"/>
            <family val="2"/>
          </rPr>
          <t xml:space="preserve">PÁGINA 06 DO PDF
</t>
        </r>
      </text>
    </comment>
    <comment ref="E191" authorId="0" shapeId="0" xr:uid="{00000000-0006-0000-0B00-000003000000}">
      <text>
        <r>
          <rPr>
            <b/>
            <sz val="9"/>
            <color indexed="81"/>
            <rFont val="Tahoma"/>
            <family val="2"/>
          </rPr>
          <t>PÁGINA 06 DO PDF</t>
        </r>
      </text>
    </comment>
    <comment ref="G191" authorId="0" shapeId="0" xr:uid="{00000000-0006-0000-0B00-000004000000}">
      <text>
        <r>
          <rPr>
            <b/>
            <sz val="9"/>
            <color indexed="81"/>
            <rFont val="Tahoma"/>
            <family val="2"/>
          </rPr>
          <t xml:space="preserve">PÁGINA 06 DO PDF
</t>
        </r>
      </text>
    </comment>
    <comment ref="A199" authorId="0" shapeId="0" xr:uid="{00000000-0006-0000-0B00-000005000000}">
      <text>
        <r>
          <rPr>
            <b/>
            <sz val="9"/>
            <color indexed="81"/>
            <rFont val="Tahoma"/>
            <family val="2"/>
          </rPr>
          <t>PÁGINA 06 DO PDF</t>
        </r>
      </text>
    </comment>
    <comment ref="C199" authorId="0" shapeId="0" xr:uid="{00000000-0006-0000-0B00-000006000000}">
      <text>
        <r>
          <rPr>
            <b/>
            <sz val="9"/>
            <color indexed="81"/>
            <rFont val="Tahoma"/>
            <family val="2"/>
          </rPr>
          <t xml:space="preserve">PÁGINA 06 DO PDF
</t>
        </r>
      </text>
    </comment>
    <comment ref="E199" authorId="0" shapeId="0" xr:uid="{00000000-0006-0000-0B00-000007000000}">
      <text>
        <r>
          <rPr>
            <b/>
            <sz val="9"/>
            <color indexed="81"/>
            <rFont val="Tahoma"/>
            <family val="2"/>
          </rPr>
          <t>PÁGINA 06 DO PDF</t>
        </r>
      </text>
    </comment>
    <comment ref="G199" authorId="0" shapeId="0" xr:uid="{00000000-0006-0000-0B00-000008000000}">
      <text>
        <r>
          <rPr>
            <b/>
            <sz val="9"/>
            <color indexed="81"/>
            <rFont val="Tahoma"/>
            <family val="2"/>
          </rPr>
          <t xml:space="preserve">PÁGINA 06 DO PDF
</t>
        </r>
      </text>
    </comment>
  </commentList>
</comments>
</file>

<file path=xl/sharedStrings.xml><?xml version="1.0" encoding="utf-8"?>
<sst xmlns="http://schemas.openxmlformats.org/spreadsheetml/2006/main" count="45084" uniqueCount="13532">
  <si>
    <t>CÓDIGO</t>
  </si>
  <si>
    <t>DESCRIÇÃO</t>
  </si>
  <si>
    <t>QUANT.</t>
  </si>
  <si>
    <t>SERVIÇOS PRELIMINARES</t>
  </si>
  <si>
    <t>L</t>
  </si>
  <si>
    <t>M</t>
  </si>
  <si>
    <t>DATA</t>
  </si>
  <si>
    <t>TELEFONE</t>
  </si>
  <si>
    <t>CNPJ</t>
  </si>
  <si>
    <t>PREÇO</t>
  </si>
  <si>
    <t xml:space="preserve">UN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</si>
  <si>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</si>
  <si>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</si>
  <si>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</si>
  <si>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</si>
  <si>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</si>
  <si>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</si>
  <si>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</si>
  <si>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</si>
  <si>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</si>
  <si>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 xml:space="preserve">DATA:            </t>
  </si>
  <si>
    <t>ORÇAMENTISTA(S):</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</si>
  <si>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</si>
  <si>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</si>
  <si>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</si>
  <si>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</si>
  <si>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</si>
  <si>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</si>
  <si>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</si>
  <si>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</si>
  <si>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BDI</t>
  </si>
  <si>
    <t>BENEFÍCIOS E DESPESAS INDIRETAS</t>
  </si>
  <si>
    <t>A</t>
  </si>
  <si>
    <t>Administração Central</t>
  </si>
  <si>
    <t>Seguros + Garantias</t>
  </si>
  <si>
    <t>Riscos</t>
  </si>
  <si>
    <t>Despesas Financeiras</t>
  </si>
  <si>
    <t>B</t>
  </si>
  <si>
    <t>PIS - Programa de Integração Social</t>
  </si>
  <si>
    <t>C</t>
  </si>
  <si>
    <t>Lucro</t>
  </si>
  <si>
    <t>BDI =</t>
  </si>
  <si>
    <t>[(</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</si>
  <si>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</si>
  <si>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</si>
  <si>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</si>
  <si>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</si>
  <si>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</si>
  <si>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</si>
  <si>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</si>
  <si>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</si>
  <si>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</si>
  <si>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</si>
  <si>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</si>
  <si>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</si>
  <si>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</si>
  <si>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</si>
  <si>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</si>
  <si>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</si>
  <si>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Nº ESTIMATIVA PARCIAL:</t>
  </si>
  <si>
    <t>DATA:</t>
  </si>
  <si>
    <t>NOME ESTIMATIVA PARCIAL:</t>
  </si>
  <si>
    <t>EQNP 16/20 AE, Lotes  E,F e G - CEILÂNDIA - DF</t>
  </si>
  <si>
    <t>ÁREA:</t>
  </si>
  <si>
    <r>
      <t xml:space="preserve">ENCARGOS </t>
    </r>
    <r>
      <rPr>
        <b/>
        <sz val="10"/>
        <rFont val="Calibri"/>
        <family val="2"/>
      </rPr>
      <t>TRABALHISTAS:</t>
    </r>
  </si>
  <si>
    <t xml:space="preserve"> B.D.I. :</t>
  </si>
  <si>
    <t>0,00%</t>
  </si>
  <si>
    <t>TAB. REF.:</t>
  </si>
  <si>
    <t>SUBTOTAL (Divisão):</t>
  </si>
  <si>
    <t xml:space="preserve">TOTAL GERAL: </t>
  </si>
  <si>
    <t>ITEM</t>
  </si>
  <si>
    <t xml:space="preserve">01.00.000 </t>
  </si>
  <si>
    <t xml:space="preserve">01.08.000 </t>
  </si>
  <si>
    <t>DESPESAS LEGAIS</t>
  </si>
  <si>
    <t xml:space="preserve">01.08.100 </t>
  </si>
  <si>
    <t>TAXAS</t>
  </si>
  <si>
    <t xml:space="preserve">02.00.000 </t>
  </si>
  <si>
    <t xml:space="preserve">02.01.000 </t>
  </si>
  <si>
    <t xml:space="preserve">09.00.000 </t>
  </si>
  <si>
    <t>SERVIÇOS COMPLEMENTARES</t>
  </si>
  <si>
    <t xml:space="preserve">09.02.000 </t>
  </si>
  <si>
    <t>LIMPEZA DE OBRAS</t>
  </si>
  <si>
    <t xml:space="preserve">09.02.100 </t>
  </si>
  <si>
    <t xml:space="preserve">MÊS </t>
  </si>
  <si>
    <t xml:space="preserve">09.05.000 </t>
  </si>
  <si>
    <t xml:space="preserve">09.05.100 </t>
  </si>
  <si>
    <t>CÓPIAS</t>
  </si>
  <si>
    <t xml:space="preserve">10.00.000 </t>
  </si>
  <si>
    <t>SERVIÇOS AUXILIARES E ADMINISTRATIVOS</t>
  </si>
  <si>
    <t xml:space="preserve">10.03.000 </t>
  </si>
  <si>
    <t>MÁQUINAS E EQUIPAMENTOS</t>
  </si>
  <si>
    <t xml:space="preserve">10.03.100 </t>
  </si>
  <si>
    <t>DE CONSTRUÇÃO</t>
  </si>
  <si>
    <r>
      <t>ESTIMATIVAS DIRETORIA DE EDIFICAÇÕES</t>
    </r>
    <r>
      <rPr>
        <b/>
        <i/>
        <sz val="13"/>
        <rFont val="Calibri"/>
        <family val="2"/>
      </rPr>
      <t>:</t>
    </r>
  </si>
  <si>
    <t>01.08.100.1</t>
  </si>
  <si>
    <t>09.02.100.1</t>
  </si>
  <si>
    <t>09.02.100.2</t>
  </si>
  <si>
    <t>09.02.100.3</t>
  </si>
  <si>
    <t>10.03.100.2</t>
  </si>
  <si>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</si>
  <si>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</si>
  <si>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</si>
  <si>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</si>
  <si>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</si>
  <si>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</si>
  <si>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</si>
  <si>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</si>
  <si>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</si>
  <si>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SERVIÇOS DIVERSOS</t>
  </si>
  <si>
    <t>Observação:</t>
  </si>
  <si>
    <t>AUXILIAR DE ELETRICISTA COM ENCARGOS COMPLEMENTARES</t>
  </si>
  <si>
    <t>ELETRICISTA COM ENCARGOS COMPLEMENTARES</t>
  </si>
  <si>
    <t>MONTADOR (TUBO AÇO/EQUIPAMENTOS) COM ENCARGOS COMPLEMENTARES</t>
  </si>
  <si>
    <t>SERVIÇOS TÉCNICO-PROFISSIONAIS</t>
  </si>
  <si>
    <t xml:space="preserve">CREA-DF </t>
  </si>
  <si>
    <t>ART DO CONTRATO</t>
  </si>
  <si>
    <t>CANTEIRO DE OBRAS</t>
  </si>
  <si>
    <t xml:space="preserve">02.01.100 </t>
  </si>
  <si>
    <t>CONSTRUÇÕES PROVISÓRIAS</t>
  </si>
  <si>
    <t>CONSERVAÇÃO E LIMPEZA</t>
  </si>
  <si>
    <t>LIMPEZA PERMANENTE DA OBRA</t>
  </si>
  <si>
    <t>REPROGRAFIA</t>
  </si>
  <si>
    <t xml:space="preserve">10.01.000 </t>
  </si>
  <si>
    <t>PESSOAL</t>
  </si>
  <si>
    <t xml:space="preserve">10.01.200 </t>
  </si>
  <si>
    <t>ALMOXARIFE COM ENCARGOS COMPLEMENTARES</t>
  </si>
  <si>
    <t>MESTRE DE OBRAS COM ENCARGOS COMPLEMENTARES</t>
  </si>
  <si>
    <t>02.01.100.1</t>
  </si>
  <si>
    <t>02.01.100.2</t>
  </si>
  <si>
    <t>02.01.100.3</t>
  </si>
  <si>
    <t>10.01.200.1</t>
  </si>
  <si>
    <t>UNID.</t>
  </si>
  <si>
    <t>CARPINTEIRO DE FORMAS COM ENCARGOS COMPLEMENTARES</t>
  </si>
  <si>
    <t>% SIMPLES DO ITEM</t>
  </si>
  <si>
    <t>% ACUMULADO DO ITEM</t>
  </si>
  <si>
    <t>DESCRIÇÃO DOS SERVIÇOS</t>
  </si>
  <si>
    <t>TOTAL DA ETAPA (COM BDI)</t>
  </si>
  <si>
    <t>SERVIÇOS TÉCNICOS PROFISSIONAIS</t>
  </si>
  <si>
    <t>03.00.000</t>
  </si>
  <si>
    <t>FUNDAÇÕES E ESTRUTURA</t>
  </si>
  <si>
    <t>04.00.000</t>
  </si>
  <si>
    <t>ARQUITETURA E ELEMENTOS DE URBANISMO</t>
  </si>
  <si>
    <t xml:space="preserve">04.01.100 </t>
  </si>
  <si>
    <t>05.00.000</t>
  </si>
  <si>
    <t>INSTALAÇÕES HIDRÁULICAS E SANITÁRIAS</t>
  </si>
  <si>
    <t>10.00.000</t>
  </si>
  <si>
    <t>PERCENTUAL MENSAL (%)</t>
  </si>
  <si>
    <t>VALOR MENSAL (R$)</t>
  </si>
  <si>
    <t>PERCENTUAL ACUMULADO (%)</t>
  </si>
  <si>
    <t>VALOR ACUMULADO (R$)</t>
  </si>
  <si>
    <t>M2</t>
  </si>
  <si>
    <t>04.01.000</t>
  </si>
  <si>
    <t>ARQUITETURA</t>
  </si>
  <si>
    <t>CURVA ABC</t>
  </si>
  <si>
    <t>CRONOGRAMA FISICO FINANCEIRO</t>
  </si>
  <si>
    <t>CUSTO TOTAL</t>
  </si>
  <si>
    <t/>
  </si>
  <si>
    <t>UND</t>
  </si>
  <si>
    <t>COTAÇÕES</t>
  </si>
  <si>
    <t>MARMORISTA/GRANITEIRO COM ENCARGOS COMPLEMENTARES</t>
  </si>
  <si>
    <t>H</t>
  </si>
  <si>
    <t>MAT.</t>
  </si>
  <si>
    <t>SERRALHEIRO COM ENCARGOS COMPLEMENTARES</t>
  </si>
  <si>
    <t>M3</t>
  </si>
  <si>
    <t>AUXILIAR DE SERRALHEIRO COM ENCARGOS COMPLEMENTARES</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</si>
  <si>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</si>
  <si>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</si>
  <si>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</si>
  <si>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</si>
  <si>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</si>
  <si>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</si>
  <si>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</si>
  <si>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AZULEJISTA OU LADRILHISTA COM ENCARGOS COMPLEMENTARES</t>
  </si>
  <si>
    <t>PINTOR COM ENCARGOS COMPLEMENTARES</t>
  </si>
  <si>
    <t>SER.CG</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</si>
  <si>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</si>
  <si>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</si>
  <si>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</si>
  <si>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M3XKM</t>
  </si>
  <si>
    <t>VIGIA DIURNO COM ENCARGOS COMPLEMENTARES</t>
  </si>
  <si>
    <t>VALOR ADOTADO</t>
  </si>
  <si>
    <t>30% MAIOR</t>
  </si>
  <si>
    <t>30%MENOR</t>
  </si>
  <si>
    <t>MEDIANA</t>
  </si>
  <si>
    <t>CONTATO</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</si>
  <si>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</si>
  <si>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</si>
  <si>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</si>
  <si>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</si>
  <si>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PLANILHA DE COMPOSIÇÕES</t>
  </si>
  <si>
    <t>GUINDAUTO HIDRÁULICO, CAPACIDADE MÁXIMA DE CARGA 6200 KG, MOMENTO MÁXIMO DE CARGA 11,7 TM, ALCANCE MÁXIMO HORIZONTAL 9,70 M, INCLUSIVE CAMINHÃO TOCO PBT 16.000 KG, POTÊNCIA DE 189 CV - CHP DIURNO. AF_06/2014</t>
  </si>
  <si>
    <t>CÓPIA DE PROJETOS</t>
  </si>
  <si>
    <t>DESCRICAO DA COMPOSICAO</t>
  </si>
  <si>
    <t>UNIDADE</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</si>
  <si>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</si>
  <si>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</si>
  <si>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</si>
  <si>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</si>
  <si>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</si>
  <si>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</si>
  <si>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</si>
  <si>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</si>
  <si>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</si>
  <si>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</si>
  <si>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</si>
  <si>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</si>
  <si>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</si>
  <si>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</si>
  <si>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</si>
  <si>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</si>
  <si>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</si>
  <si>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</si>
  <si>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</si>
  <si>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</si>
  <si>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</si>
  <si>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</si>
  <si>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</si>
  <si>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</si>
  <si>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</si>
  <si>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</si>
  <si>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</si>
  <si>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</si>
  <si>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</si>
  <si>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</si>
  <si>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</si>
  <si>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</si>
  <si>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</si>
  <si>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</si>
  <si>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</si>
  <si>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</si>
  <si>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</si>
  <si>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</si>
  <si>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</si>
  <si>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</si>
  <si>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</si>
  <si>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</si>
  <si>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</si>
  <si>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</si>
  <si>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</si>
  <si>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</si>
  <si>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</si>
  <si>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</si>
  <si>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</si>
  <si>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</si>
  <si>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</si>
  <si>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</si>
  <si>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</si>
  <si>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</si>
  <si>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</si>
  <si>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</si>
  <si>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</si>
  <si>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</si>
  <si>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</si>
  <si>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</si>
  <si>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</si>
  <si>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</si>
  <si>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</si>
  <si>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</si>
  <si>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</si>
  <si>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</si>
  <si>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</si>
  <si>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</si>
  <si>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</si>
  <si>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</si>
  <si>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</si>
  <si>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</si>
  <si>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</si>
  <si>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</si>
  <si>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</si>
  <si>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</si>
  <si>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</si>
  <si>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</si>
  <si>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</si>
  <si>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</si>
  <si>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</si>
  <si>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</si>
  <si>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</si>
  <si>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</si>
  <si>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</si>
  <si>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</si>
  <si>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</si>
  <si>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</si>
  <si>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</si>
  <si>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</si>
  <si>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</si>
  <si>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</si>
  <si>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</si>
  <si>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</si>
  <si>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</si>
  <si>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</si>
  <si>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</si>
  <si>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</si>
  <si>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</si>
  <si>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</si>
  <si>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</si>
  <si>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</si>
  <si>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</si>
  <si>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</si>
  <si>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</si>
  <si>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</si>
  <si>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</si>
  <si>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</si>
  <si>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</si>
  <si>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</si>
  <si>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</si>
  <si>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</si>
  <si>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</si>
  <si>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</si>
  <si>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</si>
  <si>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</si>
  <si>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</si>
  <si>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</si>
  <si>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</si>
  <si>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</si>
  <si>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</si>
  <si>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</si>
  <si>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</si>
  <si>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</si>
  <si>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</si>
  <si>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</si>
  <si>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</si>
  <si>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</si>
  <si>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</si>
  <si>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</si>
  <si>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</si>
  <si>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</si>
  <si>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</si>
  <si>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</si>
  <si>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</si>
  <si>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</si>
  <si>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</si>
  <si>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</si>
  <si>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</si>
  <si>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</si>
  <si>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</si>
  <si>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</si>
  <si>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</si>
  <si>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</si>
  <si>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</si>
  <si>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</si>
  <si>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</si>
  <si>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</si>
  <si>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</si>
  <si>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</si>
  <si>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</si>
  <si>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</si>
  <si>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</si>
  <si>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</si>
  <si>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</si>
  <si>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</si>
  <si>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</si>
  <si>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</si>
  <si>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</si>
  <si>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</si>
  <si>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</si>
  <si>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</si>
  <si>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</si>
  <si>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</si>
  <si>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</si>
  <si>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</si>
  <si>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</si>
  <si>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</si>
  <si>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</si>
  <si>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</si>
  <si>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</si>
  <si>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</si>
  <si>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</si>
  <si>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</si>
  <si>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</si>
  <si>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</si>
  <si>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</si>
  <si>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</si>
  <si>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</si>
  <si>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</si>
  <si>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</si>
  <si>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</si>
  <si>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</si>
  <si>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</si>
  <si>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</si>
  <si>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</si>
  <si>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</si>
  <si>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</si>
  <si>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</si>
  <si>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</si>
  <si>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</si>
  <si>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</si>
  <si>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</si>
  <si>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</si>
  <si>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</si>
  <si>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</si>
  <si>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</si>
  <si>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</si>
  <si>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</si>
  <si>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</si>
  <si>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</si>
  <si>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</si>
  <si>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</si>
  <si>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</si>
  <si>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</si>
  <si>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</si>
  <si>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</si>
  <si>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</si>
  <si>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</si>
  <si>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</si>
  <si>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</si>
  <si>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</si>
  <si>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</si>
  <si>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</si>
  <si>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</si>
  <si>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</si>
  <si>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</si>
  <si>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</si>
  <si>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</si>
  <si>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</si>
  <si>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</si>
  <si>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</si>
  <si>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</si>
  <si>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</si>
  <si>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</si>
  <si>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</si>
  <si>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</si>
  <si>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</si>
  <si>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</si>
  <si>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</si>
  <si>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</si>
  <si>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</si>
  <si>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</si>
  <si>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</si>
  <si>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</si>
  <si>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</si>
  <si>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</si>
  <si>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</si>
  <si>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</si>
  <si>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</si>
  <si>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</si>
  <si>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</si>
  <si>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</si>
  <si>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</si>
  <si>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</si>
  <si>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</si>
  <si>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</si>
  <si>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</si>
  <si>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</si>
  <si>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</si>
  <si>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</si>
  <si>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</si>
  <si>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</si>
  <si>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</si>
  <si>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</si>
  <si>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</si>
  <si>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</si>
  <si>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</si>
  <si>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</si>
  <si>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</si>
  <si>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</si>
  <si>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</si>
  <si>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</si>
  <si>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</si>
  <si>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</si>
  <si>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</si>
  <si>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</si>
  <si>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</si>
  <si>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</si>
  <si>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</si>
  <si>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</si>
  <si>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</si>
  <si>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</si>
  <si>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</si>
  <si>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</si>
  <si>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</si>
  <si>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</si>
  <si>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</si>
  <si>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</si>
  <si>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</si>
  <si>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</si>
  <si>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</si>
  <si>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</si>
  <si>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</si>
  <si>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</si>
  <si>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</si>
  <si>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</si>
  <si>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</si>
  <si>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</si>
  <si>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</si>
  <si>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</si>
  <si>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</si>
  <si>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</si>
  <si>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</si>
  <si>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</si>
  <si>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</si>
  <si>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</si>
  <si>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</si>
  <si>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</si>
  <si>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</si>
  <si>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</si>
  <si>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</si>
  <si>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</si>
  <si>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</si>
  <si>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</si>
  <si>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</si>
  <si>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</si>
  <si>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</si>
  <si>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</si>
  <si>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</si>
  <si>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</si>
  <si>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</si>
  <si>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</si>
  <si>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</si>
  <si>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</si>
  <si>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</si>
  <si>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</si>
  <si>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</si>
  <si>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</si>
  <si>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</si>
  <si>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</si>
  <si>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</si>
  <si>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</si>
  <si>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</si>
  <si>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</si>
  <si>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</si>
  <si>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</si>
  <si>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</si>
  <si>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</si>
  <si>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</si>
  <si>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</si>
  <si>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</si>
  <si>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</si>
  <si>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</si>
  <si>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</si>
  <si>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</si>
  <si>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</si>
  <si>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</si>
  <si>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</si>
  <si>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</si>
  <si>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</si>
  <si>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</si>
  <si>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</si>
  <si>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</si>
  <si>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</si>
  <si>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</si>
  <si>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</si>
  <si>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</si>
  <si>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</si>
  <si>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</si>
  <si>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</si>
  <si>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</si>
  <si>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</si>
  <si>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</si>
  <si>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</si>
  <si>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</si>
  <si>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</si>
  <si>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</si>
  <si>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</si>
  <si>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</si>
  <si>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</si>
  <si>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</si>
  <si>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</si>
  <si>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</si>
  <si>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</si>
  <si>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</si>
  <si>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</si>
  <si>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</si>
  <si>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</si>
  <si>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</si>
  <si>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</si>
  <si>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</si>
  <si>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</si>
  <si>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</si>
  <si>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</si>
  <si>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</si>
  <si>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</si>
  <si>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</si>
  <si>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</si>
  <si>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</si>
  <si>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</si>
  <si>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</si>
  <si>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</si>
  <si>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</si>
  <si>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</si>
  <si>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</si>
  <si>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</si>
  <si>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</si>
  <si>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</si>
  <si>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</si>
  <si>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</si>
  <si>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</si>
  <si>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</si>
  <si>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</si>
  <si>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</si>
  <si>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</si>
  <si>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</si>
  <si>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</si>
  <si>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</si>
  <si>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</si>
  <si>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</si>
  <si>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</si>
  <si>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</si>
  <si>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</si>
  <si>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</si>
  <si>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</si>
  <si>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</si>
  <si>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</si>
  <si>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</si>
  <si>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</si>
  <si>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</si>
  <si>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</si>
  <si>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</si>
  <si>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</si>
  <si>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</si>
  <si>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</si>
  <si>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</si>
  <si>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</si>
  <si>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</si>
  <si>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</si>
  <si>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</si>
  <si>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</si>
  <si>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</si>
  <si>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</si>
  <si>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</si>
  <si>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</si>
  <si>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</si>
  <si>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</si>
  <si>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</si>
  <si>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</si>
  <si>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</si>
  <si>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</si>
  <si>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</si>
  <si>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</si>
  <si>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</si>
  <si>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</si>
  <si>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</si>
  <si>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</si>
  <si>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</si>
  <si>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</si>
  <si>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</si>
  <si>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</si>
  <si>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</si>
  <si>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</si>
  <si>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</si>
  <si>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</si>
  <si>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</si>
  <si>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</si>
  <si>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</si>
  <si>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</si>
  <si>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</si>
  <si>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</si>
  <si>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</si>
  <si>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</si>
  <si>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</si>
  <si>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</si>
  <si>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</si>
  <si>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</si>
  <si>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</si>
  <si>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</si>
  <si>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</si>
  <si>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</si>
  <si>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</si>
  <si>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</si>
  <si>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</si>
  <si>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</si>
  <si>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</si>
  <si>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</si>
  <si>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</si>
  <si>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</si>
  <si>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</si>
  <si>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</si>
  <si>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</si>
  <si>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</si>
  <si>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</si>
  <si>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</si>
  <si>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</si>
  <si>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</si>
  <si>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</si>
  <si>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</si>
  <si>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</si>
  <si>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</si>
  <si>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</si>
  <si>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</si>
  <si>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</si>
  <si>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</si>
  <si>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</si>
  <si>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</si>
  <si>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</si>
  <si>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</si>
  <si>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</si>
  <si>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</si>
  <si>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</si>
  <si>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</si>
  <si>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</si>
  <si>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</si>
  <si>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</si>
  <si>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</si>
  <si>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</si>
  <si>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</si>
  <si>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</si>
  <si>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</si>
  <si>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</si>
  <si>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</si>
  <si>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</si>
  <si>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</si>
  <si>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</si>
  <si>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</si>
  <si>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</si>
  <si>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</si>
  <si>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</si>
  <si>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</si>
  <si>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</si>
  <si>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</si>
  <si>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</si>
  <si>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</si>
  <si>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</si>
  <si>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</si>
  <si>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</si>
  <si>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</si>
  <si>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</si>
  <si>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</si>
  <si>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</si>
  <si>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</si>
  <si>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</si>
  <si>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</si>
  <si>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</si>
  <si>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</si>
  <si>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</si>
  <si>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</si>
  <si>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</si>
  <si>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</si>
  <si>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</si>
  <si>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</si>
  <si>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</si>
  <si>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</si>
  <si>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</si>
  <si>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</si>
  <si>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</si>
  <si>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</si>
  <si>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</si>
  <si>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</si>
  <si>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</si>
  <si>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</si>
  <si>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</si>
  <si>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</si>
  <si>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</si>
  <si>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</si>
  <si>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</si>
  <si>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</si>
  <si>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</si>
  <si>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</si>
  <si>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</si>
  <si>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</si>
  <si>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</si>
  <si>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</si>
  <si>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</si>
  <si>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</si>
  <si>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</si>
  <si>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</si>
  <si>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</si>
  <si>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</si>
  <si>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</si>
  <si>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</si>
  <si>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</si>
  <si>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</si>
  <si>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</si>
  <si>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</si>
  <si>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</si>
  <si>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</si>
  <si>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</si>
  <si>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</si>
  <si>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</si>
  <si>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</si>
  <si>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</si>
  <si>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</si>
  <si>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</si>
  <si>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</si>
  <si>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</si>
  <si>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</si>
  <si>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</si>
  <si>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</si>
  <si>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</si>
  <si>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</si>
  <si>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</si>
  <si>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</si>
  <si>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</si>
  <si>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</si>
  <si>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</si>
  <si>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</si>
  <si>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</si>
  <si>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</si>
  <si>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</si>
  <si>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</si>
  <si>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</si>
  <si>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</si>
  <si>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</si>
  <si>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</si>
  <si>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</si>
  <si>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</si>
  <si>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</si>
  <si>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</si>
  <si>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</si>
  <si>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</si>
  <si>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</si>
  <si>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</si>
  <si>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</si>
  <si>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</si>
  <si>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</si>
  <si>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</si>
  <si>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</si>
  <si>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</si>
  <si>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</si>
  <si>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</si>
  <si>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</si>
  <si>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</si>
  <si>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</si>
  <si>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</si>
  <si>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</si>
  <si>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</si>
  <si>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</si>
  <si>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</si>
  <si>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</si>
  <si>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</si>
  <si>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</si>
  <si>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</si>
  <si>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</si>
  <si>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</si>
  <si>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</si>
  <si>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</si>
  <si>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</si>
  <si>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</si>
  <si>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</si>
  <si>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</si>
  <si>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</si>
  <si>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</si>
  <si>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</si>
  <si>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</si>
  <si>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</si>
  <si>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</si>
  <si>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</si>
  <si>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</si>
  <si>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</si>
  <si>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</si>
  <si>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</si>
  <si>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</si>
  <si>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</si>
  <si>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</si>
  <si>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</si>
  <si>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</si>
  <si>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</si>
  <si>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</si>
  <si>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</si>
  <si>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</si>
  <si>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</si>
  <si>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</si>
  <si>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</si>
  <si>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</si>
  <si>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</si>
  <si>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</si>
  <si>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</si>
  <si>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</si>
  <si>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</si>
  <si>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</si>
  <si>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</si>
  <si>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</si>
  <si>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</si>
  <si>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</si>
  <si>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</si>
  <si>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</si>
  <si>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</si>
  <si>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</si>
  <si>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</si>
  <si>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</si>
  <si>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</si>
  <si>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</si>
  <si>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</si>
  <si>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</si>
  <si>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</si>
  <si>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</si>
  <si>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</si>
  <si>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</si>
  <si>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</si>
  <si>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</si>
  <si>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</si>
  <si>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</si>
  <si>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</si>
  <si>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</si>
  <si>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</si>
  <si>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</si>
  <si>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</si>
  <si>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</si>
  <si>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</si>
  <si>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</si>
  <si>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</si>
  <si>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</si>
  <si>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</si>
  <si>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</si>
  <si>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</si>
  <si>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</si>
  <si>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</si>
  <si>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</si>
  <si>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</si>
  <si>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</si>
  <si>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</si>
  <si>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</si>
  <si>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</si>
  <si>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</si>
  <si>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</si>
  <si>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</si>
  <si>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</si>
  <si>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</si>
  <si>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</si>
  <si>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</si>
  <si>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</si>
  <si>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</si>
  <si>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</si>
  <si>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</si>
  <si>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</si>
  <si>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</si>
  <si>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</si>
  <si>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</si>
  <si>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</si>
  <si>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</si>
  <si>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</si>
  <si>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</si>
  <si>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LUVA DE CORRER, PVC, SOLDÁVEL, DN 25MM, INSTALADO EM RAMAL OU SUB-RAMAL DE ÁGUA - FORNECIMENTO E INSTALAÇÃO. AF_12/2014</t>
  </si>
  <si>
    <t>LUVA DE CORRER, CPVC, SOLDÁVEL, DN 22MM, INSTALADO EM RAMAL DE DISTRIBUIÇÃO DE ÁGUA   FORNECIMENTO E INSTALAÇÃO. AF_12/2014</t>
  </si>
  <si>
    <t>TXKM</t>
  </si>
  <si>
    <t>T</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</si>
  <si>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</si>
  <si>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</si>
  <si>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</si>
  <si>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</si>
  <si>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</si>
  <si>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</si>
  <si>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</si>
  <si>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</si>
  <si>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</si>
  <si>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</si>
  <si>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</si>
  <si>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</si>
  <si>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</si>
  <si>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</si>
  <si>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</si>
  <si>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</si>
  <si>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</si>
  <si>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CAVOUQUEIRO OU OPERADOR PERFURATRIZ/ROMPEDOR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</si>
  <si>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</si>
  <si>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</si>
  <si>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</si>
  <si>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</si>
  <si>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</si>
  <si>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</si>
  <si>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</si>
  <si>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</si>
  <si>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</si>
  <si>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</si>
  <si>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</si>
  <si>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</si>
  <si>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</si>
  <si>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</si>
  <si>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</si>
  <si>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</si>
  <si>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</si>
  <si>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</si>
  <si>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</si>
  <si>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</si>
  <si>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</si>
  <si>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</si>
  <si>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</si>
  <si>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</si>
  <si>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</si>
  <si>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</si>
  <si>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</si>
  <si>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</si>
  <si>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</si>
  <si>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</si>
  <si>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</si>
  <si>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</si>
  <si>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</si>
  <si>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</si>
  <si>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</si>
  <si>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</si>
  <si>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</si>
  <si>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</si>
  <si>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</si>
  <si>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</si>
  <si>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</si>
  <si>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</si>
  <si>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</si>
  <si>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</si>
  <si>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</si>
  <si>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</si>
  <si>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</si>
  <si>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</si>
  <si>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</si>
  <si>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</si>
  <si>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</si>
  <si>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</si>
  <si>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</si>
  <si>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</si>
  <si>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</si>
  <si>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</si>
  <si>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</si>
  <si>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</si>
  <si>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</si>
  <si>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</si>
  <si>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</si>
  <si>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</si>
  <si>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</si>
  <si>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</si>
  <si>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</si>
  <si>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</si>
  <si>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</si>
  <si>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</si>
  <si>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</si>
  <si>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</si>
  <si>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</si>
  <si>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</si>
  <si>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</si>
  <si>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</si>
  <si>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</si>
  <si>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</si>
  <si>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</si>
  <si>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</si>
  <si>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</si>
  <si>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</si>
  <si>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</si>
  <si>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</si>
  <si>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</si>
  <si>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</si>
  <si>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</si>
  <si>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</si>
  <si>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</si>
  <si>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</si>
  <si>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</si>
  <si>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</si>
  <si>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</si>
  <si>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</si>
  <si>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</si>
  <si>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</si>
  <si>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</si>
  <si>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</si>
  <si>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</si>
  <si>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</si>
  <si>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</si>
  <si>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</si>
  <si>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</si>
  <si>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</si>
  <si>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</si>
  <si>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</si>
  <si>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</si>
  <si>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</si>
  <si>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</si>
  <si>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</si>
  <si>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</si>
  <si>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</si>
  <si>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</si>
  <si>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</si>
  <si>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</si>
  <si>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</si>
  <si>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</si>
  <si>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</si>
  <si>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</si>
  <si>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</si>
  <si>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</si>
  <si>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</si>
  <si>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</si>
  <si>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</si>
  <si>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</si>
  <si>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</si>
  <si>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</si>
  <si>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</si>
  <si>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</si>
  <si>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</si>
  <si>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</si>
  <si>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</si>
  <si>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</si>
  <si>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</si>
  <si>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</si>
  <si>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</si>
  <si>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</si>
  <si>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</si>
  <si>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</si>
  <si>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</si>
  <si>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</si>
  <si>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</si>
  <si>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</si>
  <si>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</si>
  <si>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</si>
  <si>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</si>
  <si>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</si>
  <si>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</si>
  <si>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</si>
  <si>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</si>
  <si>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</si>
  <si>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</si>
  <si>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</si>
  <si>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</si>
  <si>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</si>
  <si>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</si>
  <si>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</si>
  <si>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</si>
  <si>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</si>
  <si>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</si>
  <si>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LOCALIDADE: 4495 - BRASILIA</t>
  </si>
  <si>
    <t xml:space="preserve">CODIGO  </t>
  </si>
  <si>
    <t>DESCRICAO DO INSUMO</t>
  </si>
  <si>
    <t xml:space="preserve">H     </t>
  </si>
  <si>
    <t xml:space="preserve">UN    </t>
  </si>
  <si>
    <t xml:space="preserve">M3    </t>
  </si>
  <si>
    <t xml:space="preserve">M2    </t>
  </si>
  <si>
    <t xml:space="preserve">M     </t>
  </si>
  <si>
    <t xml:space="preserve">KG    </t>
  </si>
  <si>
    <t xml:space="preserve">L     </t>
  </si>
  <si>
    <t xml:space="preserve">MES   </t>
  </si>
  <si>
    <t xml:space="preserve">PAR   </t>
  </si>
  <si>
    <t xml:space="preserve">JG    </t>
  </si>
  <si>
    <t xml:space="preserve">MIL   </t>
  </si>
  <si>
    <t xml:space="preserve">T     </t>
  </si>
  <si>
    <t xml:space="preserve">CJ    </t>
  </si>
  <si>
    <t xml:space="preserve">100M  </t>
  </si>
  <si>
    <t xml:space="preserve">CENTO </t>
  </si>
  <si>
    <t>SC25KG</t>
  </si>
  <si>
    <t xml:space="preserve">310ML </t>
  </si>
  <si>
    <t>SERVIÇO</t>
  </si>
  <si>
    <t>CCU</t>
  </si>
  <si>
    <t>INSUMO</t>
  </si>
  <si>
    <t xml:space="preserve">03.00.000 </t>
  </si>
  <si>
    <t xml:space="preserve">03.01.000 </t>
  </si>
  <si>
    <t>FUNDAÇÕES</t>
  </si>
  <si>
    <t xml:space="preserve">03.01.100 </t>
  </si>
  <si>
    <t>ESCAVAÇÃO DE VALAS</t>
  </si>
  <si>
    <t>03.01.100.1</t>
  </si>
  <si>
    <t>03.01.100.2</t>
  </si>
  <si>
    <t>03.01.100.3</t>
  </si>
  <si>
    <t>03.01.500</t>
  </si>
  <si>
    <t>03.01.501</t>
  </si>
  <si>
    <t>LASTRO</t>
  </si>
  <si>
    <t>03.01.501.1</t>
  </si>
  <si>
    <t>03.01.502</t>
  </si>
  <si>
    <t>FORMAS</t>
  </si>
  <si>
    <t>03.01.502.1</t>
  </si>
  <si>
    <t>03.01.503</t>
  </si>
  <si>
    <t>ARMADURA</t>
  </si>
  <si>
    <t>03.01.503.1</t>
  </si>
  <si>
    <t>03.01.504</t>
  </si>
  <si>
    <t>CONCRETO</t>
  </si>
  <si>
    <t>03.01.504.1</t>
  </si>
  <si>
    <t>03.01.600</t>
  </si>
  <si>
    <t>IMPERMEABILIZAÇÃO</t>
  </si>
  <si>
    <t>03.01.602</t>
  </si>
  <si>
    <t>03.01.602.1</t>
  </si>
  <si>
    <t>10.03.100.1</t>
  </si>
  <si>
    <t xml:space="preserve">09.01.000 </t>
  </si>
  <si>
    <t>ENSAIOS E TESTES</t>
  </si>
  <si>
    <t>GOVERNO DO DISTRITO FEDERAL</t>
  </si>
  <si>
    <t>SECRETARIA DE ESTADO DE INFRAESTRUTURA E SERVIÇOS PÚBLICOS</t>
  </si>
  <si>
    <t>COMPANHIA URBANIZADORA DA NOVA CAPITAL DO BRASIL</t>
  </si>
  <si>
    <t xml:space="preserve">COMPANHIA URBANIZADORA DA NOVA CAPITAL DO BRASIL </t>
  </si>
  <si>
    <t>MÊS</t>
  </si>
  <si>
    <t>% ADM local</t>
  </si>
  <si>
    <t>Edificações</t>
  </si>
  <si>
    <t>SEM Desoneração da Folha de Pagamento</t>
  </si>
  <si>
    <t>Médio</t>
  </si>
  <si>
    <t>Grupo</t>
  </si>
  <si>
    <t>Componentes</t>
  </si>
  <si>
    <t>Incidências</t>
  </si>
  <si>
    <t>Despesas Indiretas</t>
  </si>
  <si>
    <t>Subtotal A</t>
  </si>
  <si>
    <t>Tributos</t>
  </si>
  <si>
    <t>COFINS - Contribuição Para o Financiamento Seguridade Social</t>
  </si>
  <si>
    <t>ISS - Imposto Sobre Serviços de Qualquer Natureza</t>
  </si>
  <si>
    <t>CPRB - Contribuição Previdenciária Sobre Receita Bruta</t>
  </si>
  <si>
    <t>Subtotal B</t>
  </si>
  <si>
    <t>Bonificação</t>
  </si>
  <si>
    <t>Subtotal C</t>
  </si>
  <si>
    <t>FÓRMULA PARA CÁLCULO DO BDI</t>
  </si>
  <si>
    <t>(1 + (AC + S + R + G)) x ((1 + DF) X (1 + L))</t>
  </si>
  <si>
    <t>Taxa Representativa de Incidência de Impostos</t>
  </si>
  <si>
    <t>Referência:</t>
  </si>
  <si>
    <t>Relatório do Acordão n° 2.622/2013 - TCU/Plenário</t>
  </si>
  <si>
    <t>Vias Urbanas e Rodovias (incluindo obras de arte especiais)</t>
  </si>
  <si>
    <t>COM Desoneração da Folha de Pagamento</t>
  </si>
  <si>
    <t>1º Quartil</t>
  </si>
  <si>
    <t>3º Quartil</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</si>
  <si>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</si>
  <si>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</si>
  <si>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</si>
  <si>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</si>
  <si>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</si>
  <si>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</si>
  <si>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</si>
  <si>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</si>
  <si>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</si>
  <si>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</si>
  <si>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</si>
  <si>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</si>
  <si>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</si>
  <si>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</si>
  <si>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</si>
  <si>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</si>
  <si>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</si>
  <si>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</si>
  <si>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</si>
  <si>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</si>
  <si>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</si>
  <si>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</si>
  <si>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</si>
  <si>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</si>
  <si>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</si>
  <si>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</si>
  <si>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</si>
  <si>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</si>
  <si>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</si>
  <si>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</si>
  <si>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</si>
  <si>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</si>
  <si>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</si>
  <si>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</si>
  <si>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</si>
  <si>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</si>
  <si>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</si>
  <si>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</si>
  <si>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</si>
  <si>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</si>
  <si>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</si>
  <si>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</si>
  <si>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</si>
  <si>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</si>
  <si>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</si>
  <si>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</si>
  <si>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</si>
  <si>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</si>
  <si>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</si>
  <si>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</si>
  <si>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</si>
  <si>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</si>
  <si>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</si>
  <si>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</si>
  <si>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</si>
  <si>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</si>
  <si>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</si>
  <si>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</si>
  <si>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</si>
  <si>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</si>
  <si>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</si>
  <si>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</si>
  <si>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</si>
  <si>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</si>
  <si>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</si>
  <si>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</si>
  <si>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</si>
  <si>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</si>
  <si>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</si>
  <si>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</si>
  <si>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</si>
  <si>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</si>
  <si>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</si>
  <si>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</si>
  <si>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</si>
  <si>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</si>
  <si>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</si>
  <si>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</si>
  <si>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</si>
  <si>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</si>
  <si>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</si>
  <si>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</si>
  <si>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</si>
  <si>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</si>
  <si>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</si>
  <si>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</si>
  <si>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</si>
  <si>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</si>
  <si>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</si>
  <si>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</si>
  <si>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</si>
  <si>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</si>
  <si>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</si>
  <si>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</si>
  <si>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</si>
  <si>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</si>
  <si>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</si>
  <si>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</si>
  <si>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</si>
  <si>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</si>
  <si>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</si>
  <si>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</si>
  <si>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</si>
  <si>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</si>
  <si>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</si>
  <si>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</si>
  <si>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</si>
  <si>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</si>
  <si>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</si>
  <si>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</si>
  <si>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</si>
  <si>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</si>
  <si>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</si>
  <si>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</si>
  <si>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</si>
  <si>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</si>
  <si>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</si>
  <si>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</si>
  <si>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</si>
  <si>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</si>
  <si>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</si>
  <si>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</si>
  <si>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</si>
  <si>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</si>
  <si>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</si>
  <si>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</si>
  <si>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</si>
  <si>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</si>
  <si>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</si>
  <si>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</si>
  <si>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</si>
  <si>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</si>
  <si>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</si>
  <si>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</si>
  <si>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</si>
  <si>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</si>
  <si>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</si>
  <si>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</si>
  <si>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</si>
  <si>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</si>
  <si>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</si>
  <si>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GRADIL EM FERRO FIXADO EM VÃOS DE JANELAS, FORMADO POR BARRAS CHATAS DE 25X4,8 MM. AF_04/2019</t>
  </si>
  <si>
    <t>GRADIL EM ALUMÍNIO FIXADO EM VÃOS DE JANELAS, FORMADO POR TUBOS DE 3/4". AF_04/2019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</si>
  <si>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</si>
  <si>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</si>
  <si>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</si>
  <si>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</si>
  <si>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</si>
  <si>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</si>
  <si>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</si>
  <si>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</si>
  <si>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</si>
  <si>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</si>
  <si>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</si>
  <si>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</si>
  <si>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</si>
  <si>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</si>
  <si>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</si>
  <si>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</si>
  <si>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</si>
  <si>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</si>
  <si>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</si>
  <si>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</si>
  <si>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</si>
  <si>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</si>
  <si>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</si>
  <si>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</si>
  <si>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</si>
  <si>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</si>
  <si>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</si>
  <si>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</si>
  <si>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</si>
  <si>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</si>
  <si>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</si>
  <si>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</si>
  <si>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</si>
  <si>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</si>
  <si>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</si>
  <si>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</si>
  <si>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</si>
  <si>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</si>
  <si>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</si>
  <si>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</si>
  <si>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</si>
  <si>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</si>
  <si>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</si>
  <si>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</si>
  <si>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</si>
  <si>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</si>
  <si>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</si>
  <si>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</si>
  <si>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</si>
  <si>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</si>
  <si>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</si>
  <si>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</si>
  <si>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</si>
  <si>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</si>
  <si>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</si>
  <si>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</si>
  <si>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</si>
  <si>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</si>
  <si>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</si>
  <si>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</si>
  <si>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</si>
  <si>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</si>
  <si>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</si>
  <si>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</si>
  <si>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</si>
  <si>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</si>
  <si>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</si>
  <si>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</si>
  <si>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</si>
  <si>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</si>
  <si>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</si>
  <si>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</si>
  <si>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</si>
  <si>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</si>
  <si>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</si>
  <si>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</si>
  <si>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</si>
  <si>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</si>
  <si>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</si>
  <si>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</si>
  <si>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</si>
  <si>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</si>
  <si>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</si>
  <si>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</si>
  <si>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</si>
  <si>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</si>
  <si>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</si>
  <si>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</si>
  <si>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</si>
  <si>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</si>
  <si>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</si>
  <si>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</si>
  <si>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</si>
  <si>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</si>
  <si>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</si>
  <si>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</si>
  <si>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</si>
  <si>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</si>
  <si>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</si>
  <si>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</si>
  <si>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</si>
  <si>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</si>
  <si>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</si>
  <si>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</si>
  <si>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</si>
  <si>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</si>
  <si>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</si>
  <si>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</si>
  <si>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</si>
  <si>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</si>
  <si>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</si>
  <si>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</si>
  <si>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</si>
  <si>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</si>
  <si>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</si>
  <si>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</si>
  <si>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</si>
  <si>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</si>
  <si>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</si>
  <si>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</si>
  <si>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</si>
  <si>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</si>
  <si>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</si>
  <si>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</si>
  <si>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</si>
  <si>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</si>
  <si>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</si>
  <si>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</si>
  <si>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</si>
  <si>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</si>
  <si>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</si>
  <si>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</si>
  <si>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</si>
  <si>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</si>
  <si>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</si>
  <si>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</si>
  <si>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</si>
  <si>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</si>
  <si>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</si>
  <si>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</si>
  <si>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</si>
  <si>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</si>
  <si>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</si>
  <si>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</si>
  <si>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</si>
  <si>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</si>
  <si>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</si>
  <si>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</si>
  <si>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</si>
  <si>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</si>
  <si>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</si>
  <si>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</si>
  <si>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</si>
  <si>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PLANTIO DE GRAMA EM PAVIMENTO CONCREGRAMA. AF_05/2018</t>
  </si>
  <si>
    <t>PLANTIO DE FORRAÇÃO. AF_05/2018</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</si>
  <si>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</si>
  <si>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</si>
  <si>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</si>
  <si>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</si>
  <si>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</si>
  <si>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</si>
  <si>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</si>
  <si>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</si>
  <si>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</si>
  <si>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</si>
  <si>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</si>
  <si>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</si>
  <si>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M2XMES</t>
  </si>
  <si>
    <t xml:space="preserve">MXMES </t>
  </si>
  <si>
    <t>CCU - 02.001</t>
  </si>
  <si>
    <t>CCU - 02.002</t>
  </si>
  <si>
    <t>CCU - 03.001</t>
  </si>
  <si>
    <t>CCU - 03.004</t>
  </si>
  <si>
    <t>EQUIP.</t>
  </si>
  <si>
    <t>ARQUIVO</t>
  </si>
  <si>
    <t xml:space="preserve">EMPRESA 1 </t>
  </si>
  <si>
    <t xml:space="preserve">EMPRESA 2 </t>
  </si>
  <si>
    <t>EMPRESA 3</t>
  </si>
  <si>
    <t>EMPRESA 4</t>
  </si>
  <si>
    <t>EMPRESA 5</t>
  </si>
  <si>
    <t>CCU - 09.002</t>
  </si>
  <si>
    <t>CCU - 09.003</t>
  </si>
  <si>
    <t>LIMPEZA FINAL DA OBRA</t>
  </si>
  <si>
    <t>CCU - 10.001</t>
  </si>
  <si>
    <t>IG PLOTTER</t>
  </si>
  <si>
    <t>11.246.370/0001-20</t>
  </si>
  <si>
    <t>BDI ITILIZADOS:</t>
  </si>
  <si>
    <r>
      <t>VALOR TOTAL ESTIMADO COM BDI</t>
    </r>
    <r>
      <rPr>
        <sz val="12"/>
        <rFont val="Calibri"/>
        <family val="2"/>
      </rPr>
      <t>.........................................................................................................................</t>
    </r>
  </si>
  <si>
    <t>CUSTO UNITÁRIO (R$)</t>
  </si>
  <si>
    <t>PREÇO UNITÁRIO (R$) C/ BDI</t>
  </si>
  <si>
    <t>PREÇO TOTAL (R$) C/ BDI</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</si>
  <si>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</si>
  <si>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</si>
  <si>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</si>
  <si>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</si>
  <si>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</si>
  <si>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</si>
  <si>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</si>
  <si>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</si>
  <si>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</si>
  <si>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</si>
  <si>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</si>
  <si>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</si>
  <si>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</si>
  <si>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</si>
  <si>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</si>
  <si>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</si>
  <si>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</si>
  <si>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</si>
  <si>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</si>
  <si>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</si>
  <si>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</si>
  <si>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</si>
  <si>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</si>
  <si>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</si>
  <si>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</si>
  <si>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</si>
  <si>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</si>
  <si>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</si>
  <si>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</si>
  <si>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</si>
  <si>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</si>
  <si>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</si>
  <si>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</si>
  <si>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</si>
  <si>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</si>
  <si>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</si>
  <si>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</si>
  <si>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</si>
  <si>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</si>
  <si>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</si>
  <si>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</si>
  <si>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</si>
  <si>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</si>
  <si>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</si>
  <si>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</si>
  <si>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</si>
  <si>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</si>
  <si>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</si>
  <si>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</si>
  <si>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</si>
  <si>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</si>
  <si>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</si>
  <si>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</si>
  <si>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</si>
  <si>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</si>
  <si>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</si>
  <si>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</si>
  <si>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</si>
  <si>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</si>
  <si>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</si>
  <si>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</si>
  <si>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</si>
  <si>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</si>
  <si>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</si>
  <si>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</si>
  <si>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</si>
  <si>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</si>
  <si>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</si>
  <si>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</si>
  <si>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</si>
  <si>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</si>
  <si>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</si>
  <si>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</si>
  <si>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</si>
  <si>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</si>
  <si>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</si>
  <si>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</si>
  <si>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</si>
  <si>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</si>
  <si>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</si>
  <si>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</si>
  <si>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</si>
  <si>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</si>
  <si>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</si>
  <si>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</si>
  <si>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</si>
  <si>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</si>
  <si>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</si>
  <si>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</si>
  <si>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</si>
  <si>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</si>
  <si>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</si>
  <si>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</si>
  <si>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</si>
  <si>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</si>
  <si>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</si>
  <si>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</si>
  <si>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</si>
  <si>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</si>
  <si>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</si>
  <si>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</si>
  <si>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</si>
  <si>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</si>
  <si>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</si>
  <si>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</si>
  <si>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</si>
  <si>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</si>
  <si>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</si>
  <si>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</si>
  <si>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</si>
  <si>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</si>
  <si>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</si>
  <si>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</si>
  <si>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</si>
  <si>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</si>
  <si>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</si>
  <si>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</si>
  <si>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</si>
  <si>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</si>
  <si>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</si>
  <si>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</si>
  <si>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</si>
  <si>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</si>
  <si>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</si>
  <si>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</si>
  <si>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</si>
  <si>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</si>
  <si>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</si>
  <si>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</si>
  <si>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</si>
  <si>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</si>
  <si>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</si>
  <si>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</si>
  <si>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</si>
  <si>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</si>
  <si>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</si>
  <si>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</si>
  <si>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</si>
  <si>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</si>
  <si>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</si>
  <si>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</si>
  <si>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</si>
  <si>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</si>
  <si>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</si>
  <si>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</si>
  <si>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</si>
  <si>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</si>
  <si>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</si>
  <si>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</si>
  <si>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</si>
  <si>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</si>
  <si>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</si>
  <si>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</si>
  <si>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</si>
  <si>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</si>
  <si>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</si>
  <si>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</si>
  <si>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</si>
  <si>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</si>
  <si>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</si>
  <si>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</si>
  <si>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</si>
  <si>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</si>
  <si>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</si>
  <si>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</si>
  <si>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</si>
  <si>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</si>
  <si>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</si>
  <si>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</si>
  <si>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</si>
  <si>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</si>
  <si>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</si>
  <si>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</si>
  <si>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</si>
  <si>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</si>
  <si>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</si>
  <si>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</si>
  <si>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</si>
  <si>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</si>
  <si>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</si>
  <si>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</si>
  <si>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</si>
  <si>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</si>
  <si>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</si>
  <si>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</si>
  <si>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</si>
  <si>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</si>
  <si>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</si>
  <si>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</si>
  <si>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</si>
  <si>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</si>
  <si>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</si>
  <si>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</si>
  <si>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</si>
  <si>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</si>
  <si>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</si>
  <si>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</si>
  <si>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</si>
  <si>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</si>
  <si>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</si>
  <si>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</si>
  <si>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</si>
  <si>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</si>
  <si>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</si>
  <si>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</si>
  <si>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</si>
  <si>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</si>
  <si>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</si>
  <si>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</si>
  <si>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</si>
  <si>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</si>
  <si>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</si>
  <si>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</si>
  <si>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</si>
  <si>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</si>
  <si>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</si>
  <si>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</si>
  <si>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</si>
  <si>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</si>
  <si>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</si>
  <si>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</si>
  <si>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</si>
  <si>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</si>
  <si>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</si>
  <si>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</si>
  <si>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</si>
  <si>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</si>
  <si>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</si>
  <si>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</si>
  <si>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</si>
  <si>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</si>
  <si>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</si>
  <si>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</si>
  <si>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</si>
  <si>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</si>
  <si>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</si>
  <si>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</si>
  <si>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</si>
  <si>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</si>
  <si>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</si>
  <si>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</si>
  <si>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</si>
  <si>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</si>
  <si>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</si>
  <si>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</si>
  <si>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</si>
  <si>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</si>
  <si>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</si>
  <si>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</si>
  <si>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</si>
  <si>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</si>
  <si>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</si>
  <si>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</si>
  <si>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</si>
  <si>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</si>
  <si>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</si>
  <si>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</si>
  <si>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</si>
  <si>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</si>
  <si>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</si>
  <si>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</si>
  <si>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</si>
  <si>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</si>
  <si>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</si>
  <si>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</si>
  <si>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</si>
  <si>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</si>
  <si>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</si>
  <si>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</si>
  <si>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</si>
  <si>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</si>
  <si>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</si>
  <si>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</si>
  <si>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</si>
  <si>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</si>
  <si>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</si>
  <si>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</si>
  <si>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</si>
  <si>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</si>
  <si>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</si>
  <si>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</si>
  <si>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</si>
  <si>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</si>
  <si>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</si>
  <si>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</si>
  <si>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</si>
  <si>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</si>
  <si>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</si>
  <si>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</si>
  <si>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</si>
  <si>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</si>
  <si>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</si>
  <si>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</si>
  <si>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</si>
  <si>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</si>
  <si>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</si>
  <si>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</si>
  <si>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</si>
  <si>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</si>
  <si>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</si>
  <si>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</si>
  <si>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</si>
  <si>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</si>
  <si>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</si>
  <si>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</si>
  <si>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</si>
  <si>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</si>
  <si>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</si>
  <si>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</si>
  <si>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</si>
  <si>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</si>
  <si>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</si>
  <si>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</si>
  <si>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</si>
  <si>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</si>
  <si>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</si>
  <si>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</si>
  <si>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</si>
  <si>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</si>
  <si>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</si>
  <si>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</si>
  <si>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</si>
  <si>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</si>
  <si>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</si>
  <si>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</si>
  <si>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</si>
  <si>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</si>
  <si>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</si>
  <si>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</si>
  <si>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</si>
  <si>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</si>
  <si>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</si>
  <si>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</si>
  <si>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</si>
  <si>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</si>
  <si>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</si>
  <si>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</si>
  <si>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</si>
  <si>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</si>
  <si>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</si>
  <si>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</si>
  <si>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</si>
  <si>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</si>
  <si>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</si>
  <si>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</si>
  <si>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</si>
  <si>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</si>
  <si>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</si>
  <si>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</si>
  <si>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</si>
  <si>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</si>
  <si>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</si>
  <si>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</si>
  <si>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</si>
  <si>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</si>
  <si>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</si>
  <si>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</si>
  <si>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</si>
  <si>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</si>
  <si>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</si>
  <si>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</si>
  <si>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</si>
  <si>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</si>
  <si>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</si>
  <si>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</si>
  <si>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</si>
  <si>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</si>
  <si>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</si>
  <si>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</si>
  <si>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</si>
  <si>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</si>
  <si>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</si>
  <si>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</si>
  <si>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</si>
  <si>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</si>
  <si>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</si>
  <si>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</si>
  <si>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</si>
  <si>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</si>
  <si>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</si>
  <si>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</si>
  <si>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</si>
  <si>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</si>
  <si>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</si>
  <si>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</si>
  <si>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</si>
  <si>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</si>
  <si>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</si>
  <si>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</si>
  <si>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</si>
  <si>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</si>
  <si>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</si>
  <si>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</si>
  <si>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</si>
  <si>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</si>
  <si>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</si>
  <si>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</si>
  <si>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</si>
  <si>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</si>
  <si>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</si>
  <si>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</si>
  <si>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</si>
  <si>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</si>
  <si>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</si>
  <si>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</si>
  <si>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</si>
  <si>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</si>
  <si>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</si>
  <si>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DIAS 1 A 30</t>
  </si>
  <si>
    <t>DIAS 31 A 60</t>
  </si>
  <si>
    <t>DIAS 61 A 90</t>
  </si>
  <si>
    <t>CUSTO UNIT. (R$)</t>
  </si>
  <si>
    <t>05.03.000</t>
  </si>
  <si>
    <t>DRENAGEM DE ÁGUAS PLUVIAIS</t>
  </si>
  <si>
    <t>05.03.300.1</t>
  </si>
  <si>
    <t>05.03.300</t>
  </si>
  <si>
    <t>TUBULAÇÕES E CONEXÕES DE PVC</t>
  </si>
  <si>
    <t>CCU - 05.001</t>
  </si>
  <si>
    <t>05.03.900</t>
  </si>
  <si>
    <t>05.03.900.1</t>
  </si>
  <si>
    <t>05.03.950</t>
  </si>
  <si>
    <t>05.03.950.1</t>
  </si>
  <si>
    <t>05.03.950.2</t>
  </si>
  <si>
    <t>05.03.950.3</t>
  </si>
  <si>
    <t>05.03.950.4</t>
  </si>
  <si>
    <t>05.03.900.2</t>
  </si>
  <si>
    <t>03.01.413</t>
  </si>
  <si>
    <t>03.01.413.1</t>
  </si>
  <si>
    <t>03.01.413.2</t>
  </si>
  <si>
    <t>03.01.413.3</t>
  </si>
  <si>
    <t>ESTACAS</t>
  </si>
  <si>
    <t>COT - 09.001</t>
  </si>
  <si>
    <t>COT - 09.002</t>
  </si>
  <si>
    <t>OBRA C/BDI</t>
  </si>
  <si>
    <t>ADM LOCAL C/BDI</t>
  </si>
  <si>
    <t xml:space="preserve">Cálculo do reajustamento para adequação de preços </t>
  </si>
  <si>
    <t>ICC COLUNA-18=160981 TOTAL BRASÍLIA</t>
  </si>
  <si>
    <t>MÃO-DE-OBRA</t>
  </si>
  <si>
    <t>MAT EQUIP SERV</t>
  </si>
  <si>
    <t>TOTAL</t>
  </si>
  <si>
    <t>TOTAL EDIFICAÇÃO</t>
  </si>
  <si>
    <t>COL-20 161007</t>
  </si>
  <si>
    <t>COL-19 160991</t>
  </si>
  <si>
    <t>var.%acumul.material</t>
  </si>
  <si>
    <t>var.%acumul.total</t>
  </si>
  <si>
    <t>COL-18 160981</t>
  </si>
  <si>
    <t>COL-35 159428</t>
  </si>
  <si>
    <t>JAN-20</t>
  </si>
  <si>
    <t>FEV-20</t>
  </si>
  <si>
    <t>MAR-20</t>
  </si>
  <si>
    <t>ABR-20</t>
  </si>
  <si>
    <t>MAI-20</t>
  </si>
  <si>
    <t>JUN-20</t>
  </si>
  <si>
    <t>MÃO DE OBRA</t>
  </si>
  <si>
    <t>EDIFICAÇÃO</t>
  </si>
  <si>
    <t>multiplicador</t>
  </si>
  <si>
    <t>Variação acumulada</t>
  </si>
  <si>
    <r>
      <t xml:space="preserve">i </t>
    </r>
    <r>
      <rPr>
        <sz val="6"/>
        <color indexed="8"/>
        <rFont val="Arial"/>
        <family val="2"/>
      </rPr>
      <t>0</t>
    </r>
    <r>
      <rPr>
        <sz val="12"/>
        <color indexed="8"/>
        <rFont val="Arial"/>
        <family val="2"/>
      </rPr>
      <t xml:space="preserve">  /  i</t>
    </r>
    <r>
      <rPr>
        <sz val="6"/>
        <color indexed="8"/>
        <rFont val="Arial"/>
        <family val="2"/>
      </rPr>
      <t xml:space="preserve"> 1</t>
    </r>
  </si>
  <si>
    <t>Número do índice</t>
  </si>
  <si>
    <t>COL. 20 161007</t>
  </si>
  <si>
    <t>COL. 19 160991</t>
  </si>
  <si>
    <t>COL. 18 160981</t>
  </si>
  <si>
    <t>COL. 35 159428</t>
  </si>
  <si>
    <t>TIPO</t>
  </si>
  <si>
    <t>JUL-20</t>
  </si>
  <si>
    <t>ALARGAMENTO DE BASE DE TUBULÃO A CÉU ABERTO, ESCAVAÇÃO MANUAL, CONCRETO FEITO EM OBRA E LANÇADO COM JERICA. AF_05/2020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</si>
  <si>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</si>
  <si>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</si>
  <si>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</si>
  <si>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</si>
  <si>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</si>
  <si>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</si>
  <si>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</si>
  <si>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</si>
  <si>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</si>
  <si>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</si>
  <si>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LUMINÁRIA TIPO CALHA, DE SOBREPOR, COM 1 LÂMPADA TUBULAR FLUORESCENTE DE 36 W, COM REATOR DE PARTIDA RÁPIDA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</si>
  <si>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</si>
  <si>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</si>
  <si>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</si>
  <si>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</si>
  <si>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</si>
  <si>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</si>
  <si>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</si>
  <si>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LUMINÁRIA ARANDELA TIPO MEIA LUA, DE SOBREPOR, COM 1 LÂMPADA LED DE 6 W, SEM REATOR - FORNECIMENTO E INSTALAÇÃO. AF_02/2020</t>
  </si>
  <si>
    <t>LUMINÁRIA ARANDELA TIPO TARTARUGA, DE SOBREPOR, COM 1 LÂMPADA LED DE 6 W, SEM REATOR - FORNECIMENTO E INSTALAÇÃO. AF_02/2020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</si>
  <si>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</si>
  <si>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</si>
  <si>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</si>
  <si>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</si>
  <si>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</si>
  <si>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</si>
  <si>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</si>
  <si>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</si>
  <si>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</si>
  <si>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</si>
  <si>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</si>
  <si>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</si>
  <si>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</si>
  <si>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</si>
  <si>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</si>
  <si>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</si>
  <si>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</si>
  <si>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</si>
  <si>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</si>
  <si>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</si>
  <si>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</si>
  <si>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</si>
  <si>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</si>
  <si>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</si>
  <si>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</si>
  <si>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</si>
  <si>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</si>
  <si>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</si>
  <si>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</si>
  <si>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</si>
  <si>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</si>
  <si>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</si>
  <si>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</si>
  <si>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</si>
  <si>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</si>
  <si>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</si>
  <si>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</si>
  <si>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</si>
  <si>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</si>
  <si>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</si>
  <si>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</si>
  <si>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</si>
  <si>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</si>
  <si>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</si>
  <si>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</si>
  <si>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</si>
  <si>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</si>
  <si>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</si>
  <si>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</si>
  <si>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</si>
  <si>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</si>
  <si>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</si>
  <si>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</si>
  <si>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</si>
  <si>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</si>
  <si>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</si>
  <si>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</si>
  <si>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</si>
  <si>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</si>
  <si>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</si>
  <si>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</si>
  <si>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</si>
  <si>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</si>
  <si>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</si>
  <si>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</si>
  <si>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</si>
  <si>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</si>
  <si>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</si>
  <si>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</si>
  <si>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</si>
  <si>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</si>
  <si>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</si>
  <si>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</si>
  <si>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</si>
  <si>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</si>
  <si>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</si>
  <si>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</si>
  <si>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</si>
  <si>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</si>
  <si>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</si>
  <si>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</si>
  <si>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</si>
  <si>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</si>
  <si>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</si>
  <si>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</si>
  <si>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</si>
  <si>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</si>
  <si>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</si>
  <si>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</si>
  <si>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</si>
  <si>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</si>
  <si>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</si>
  <si>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</si>
  <si>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</si>
  <si>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</si>
  <si>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PEDRA RACHÃO  - EXCLUSIVE CARGA E TRANSPORTE. AF_11/2019</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</si>
  <si>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</si>
  <si>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</si>
  <si>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</si>
  <si>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</si>
  <si>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USINAGEM DE BRITA GRADUADA SIMPLES. AF_03/2020</t>
  </si>
  <si>
    <t>USINAGEM DE BRITA GRADUADA TRATADA COM CIMENTO. AF_03/2020</t>
  </si>
  <si>
    <t>USINAGEM DE CONCRETO PARA COMPACTAÇÃO COM ROLO. AF_03/2020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</si>
  <si>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</si>
  <si>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</si>
  <si>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</si>
  <si>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</si>
  <si>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</si>
  <si>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</si>
  <si>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</si>
  <si>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</si>
  <si>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</si>
  <si>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</si>
  <si>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</si>
  <si>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</si>
  <si>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</si>
  <si>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</si>
  <si>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</si>
  <si>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</si>
  <si>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</si>
  <si>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</si>
  <si>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</si>
  <si>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</si>
  <si>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</si>
  <si>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</si>
  <si>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</si>
  <si>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</si>
  <si>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</si>
  <si>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</si>
  <si>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</si>
  <si>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</si>
  <si>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</si>
  <si>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</si>
  <si>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</si>
  <si>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</si>
  <si>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</si>
  <si>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</si>
  <si>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</si>
  <si>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</si>
  <si>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</si>
  <si>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</si>
  <si>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</si>
  <si>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</si>
  <si>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</si>
  <si>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</si>
  <si>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CCU - 03.003</t>
  </si>
  <si>
    <t>CAIXAS E ACESSÓRIOS</t>
  </si>
  <si>
    <t>CONSIDERADO: 1 SERVENTES, 1 HORA POR DIA, 22 DIAS</t>
  </si>
  <si>
    <t>AGO-20</t>
  </si>
  <si>
    <t>SET-20</t>
  </si>
  <si>
    <t>MAI19 A SET20</t>
  </si>
  <si>
    <t>MAI20 A JUN20</t>
  </si>
  <si>
    <t>MAI20 A JUL20</t>
  </si>
  <si>
    <t>MAI20 A AGO20</t>
  </si>
  <si>
    <t>CCA - 10.001</t>
  </si>
  <si>
    <t>CCA - 10.002</t>
  </si>
  <si>
    <t>COEFICIENTE</t>
  </si>
  <si>
    <t>fim da fórmula</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</si>
  <si>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</si>
  <si>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</si>
  <si>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</si>
  <si>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</si>
  <si>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</si>
  <si>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</si>
  <si>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</si>
  <si>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</si>
  <si>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</si>
  <si>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</si>
  <si>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</si>
  <si>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</si>
  <si>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</si>
  <si>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</si>
  <si>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</si>
  <si>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</si>
  <si>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</si>
  <si>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</si>
  <si>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</si>
  <si>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</si>
  <si>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</si>
  <si>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</si>
  <si>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</si>
  <si>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</si>
  <si>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</si>
  <si>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</si>
  <si>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</si>
  <si>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</si>
  <si>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</si>
  <si>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</si>
  <si>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</si>
  <si>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</si>
  <si>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</si>
  <si>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</si>
  <si>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</si>
  <si>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</si>
  <si>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</si>
  <si>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</si>
  <si>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</si>
  <si>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</si>
  <si>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</si>
  <si>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</si>
  <si>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</si>
  <si>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</si>
  <si>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</si>
  <si>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</si>
  <si>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</si>
  <si>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</si>
  <si>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</si>
  <si>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</si>
  <si>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</si>
  <si>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</si>
  <si>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</si>
  <si>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</si>
  <si>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</si>
  <si>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</si>
  <si>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</si>
  <si>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</si>
  <si>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</si>
  <si>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</si>
  <si>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</si>
  <si>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</si>
  <si>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</si>
  <si>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</si>
  <si>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</si>
  <si>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</si>
  <si>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</si>
  <si>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</si>
  <si>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</si>
  <si>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</si>
  <si>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</si>
  <si>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</si>
  <si>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</si>
  <si>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</si>
  <si>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</si>
  <si>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</si>
  <si>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</si>
  <si>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</si>
  <si>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</si>
  <si>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</si>
  <si>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</si>
  <si>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</si>
  <si>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</si>
  <si>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</si>
  <si>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</si>
  <si>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</si>
  <si>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</si>
  <si>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</si>
  <si>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</si>
  <si>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</si>
  <si>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</si>
  <si>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</si>
  <si>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</si>
  <si>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</si>
  <si>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</si>
  <si>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</si>
  <si>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</si>
  <si>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</si>
  <si>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</si>
  <si>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</si>
  <si>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</si>
  <si>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</si>
  <si>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</si>
  <si>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</si>
  <si>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</si>
  <si>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</si>
  <si>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</si>
  <si>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</si>
  <si>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</si>
  <si>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</si>
  <si>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</si>
  <si>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</si>
  <si>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</si>
  <si>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</si>
  <si>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</si>
  <si>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</si>
  <si>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</si>
  <si>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</si>
  <si>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</si>
  <si>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</si>
  <si>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</si>
  <si>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</si>
  <si>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</si>
  <si>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</si>
  <si>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</si>
  <si>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</si>
  <si>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</si>
  <si>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</si>
  <si>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</si>
  <si>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</si>
  <si>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</si>
  <si>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</si>
  <si>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</si>
  <si>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</si>
  <si>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</si>
  <si>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</si>
  <si>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</si>
  <si>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</si>
  <si>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</si>
  <si>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</si>
  <si>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</si>
  <si>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</si>
  <si>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</si>
  <si>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</si>
  <si>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</si>
  <si>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</si>
  <si>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</si>
  <si>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</si>
  <si>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</si>
  <si>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</si>
  <si>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</si>
  <si>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</si>
  <si>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</si>
  <si>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</si>
  <si>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</si>
  <si>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</si>
  <si>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</si>
  <si>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</si>
  <si>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</si>
  <si>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</si>
  <si>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</si>
  <si>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</si>
  <si>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</si>
  <si>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</si>
  <si>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</si>
  <si>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</si>
  <si>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</si>
  <si>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</si>
  <si>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</si>
  <si>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</si>
  <si>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</si>
  <si>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</si>
  <si>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</si>
  <si>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</si>
  <si>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</si>
  <si>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</si>
  <si>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</si>
  <si>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</si>
  <si>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</si>
  <si>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</si>
  <si>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</si>
  <si>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</si>
  <si>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</si>
  <si>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</si>
  <si>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</si>
  <si>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</si>
  <si>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</si>
  <si>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</si>
  <si>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</si>
  <si>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</si>
  <si>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</si>
  <si>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</si>
  <si>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</si>
  <si>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</si>
  <si>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</si>
  <si>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</si>
  <si>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</si>
  <si>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</si>
  <si>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</si>
  <si>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</si>
  <si>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</si>
  <si>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</si>
  <si>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</si>
  <si>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</si>
  <si>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</si>
  <si>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</si>
  <si>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</si>
  <si>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</si>
  <si>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</si>
  <si>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</si>
  <si>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</si>
  <si>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</si>
  <si>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</si>
  <si>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</si>
  <si>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</si>
  <si>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</si>
  <si>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</si>
  <si>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</si>
  <si>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</si>
  <si>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</si>
  <si>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</si>
  <si>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</si>
  <si>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</si>
  <si>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</si>
  <si>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</si>
  <si>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</si>
  <si>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</si>
  <si>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</si>
  <si>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</si>
  <si>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</si>
  <si>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</si>
  <si>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</si>
  <si>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</si>
  <si>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</si>
  <si>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</si>
  <si>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</si>
  <si>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</si>
  <si>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</si>
  <si>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</si>
  <si>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</si>
  <si>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</si>
  <si>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</si>
  <si>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</si>
  <si>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</si>
  <si>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</si>
  <si>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</si>
  <si>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</si>
  <si>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</si>
  <si>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</si>
  <si>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</si>
  <si>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</si>
  <si>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</si>
  <si>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</si>
  <si>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</si>
  <si>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</si>
  <si>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</si>
  <si>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</si>
  <si>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</si>
  <si>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</si>
  <si>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</si>
  <si>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</si>
  <si>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</si>
  <si>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</si>
  <si>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</si>
  <si>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</si>
  <si>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</si>
  <si>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</si>
  <si>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</si>
  <si>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</si>
  <si>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</si>
  <si>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</si>
  <si>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</si>
  <si>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</si>
  <si>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</si>
  <si>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</si>
  <si>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</si>
  <si>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</si>
  <si>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</si>
  <si>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</si>
  <si>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</si>
  <si>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</si>
  <si>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</si>
  <si>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</si>
  <si>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</si>
  <si>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</si>
  <si>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</si>
  <si>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</si>
  <si>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</si>
  <si>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</si>
  <si>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</si>
  <si>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</si>
  <si>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</si>
  <si>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</si>
  <si>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</si>
  <si>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</si>
  <si>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</si>
  <si>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</si>
  <si>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</si>
  <si>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</si>
  <si>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</si>
  <si>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</si>
  <si>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</si>
  <si>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</si>
  <si>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</si>
  <si>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</si>
  <si>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</si>
  <si>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</si>
  <si>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</si>
  <si>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</si>
  <si>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</si>
  <si>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</si>
  <si>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</si>
  <si>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</si>
  <si>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</si>
  <si>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</si>
  <si>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</si>
  <si>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</si>
  <si>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</si>
  <si>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</si>
  <si>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</si>
  <si>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</si>
  <si>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</si>
  <si>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</si>
  <si>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</si>
  <si>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</si>
  <si>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</si>
  <si>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</si>
  <si>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</si>
  <si>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</si>
  <si>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</si>
  <si>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</si>
  <si>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</si>
  <si>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</si>
  <si>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</si>
  <si>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</si>
  <si>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</si>
  <si>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</si>
  <si>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</si>
  <si>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</si>
  <si>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</si>
  <si>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</si>
  <si>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</si>
  <si>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</si>
  <si>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</si>
  <si>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</si>
  <si>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</si>
  <si>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</si>
  <si>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</si>
  <si>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</si>
  <si>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</si>
  <si>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</si>
  <si>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</si>
  <si>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</si>
  <si>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</si>
  <si>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</si>
  <si>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</si>
  <si>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</si>
  <si>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</si>
  <si>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</si>
  <si>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</si>
  <si>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</si>
  <si>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</si>
  <si>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</si>
  <si>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</si>
  <si>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</si>
  <si>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</si>
  <si>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</si>
  <si>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</si>
  <si>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</si>
  <si>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</si>
  <si>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</si>
  <si>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</si>
  <si>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</si>
  <si>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</si>
  <si>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</si>
  <si>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</si>
  <si>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</si>
  <si>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</si>
  <si>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</si>
  <si>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</si>
  <si>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</si>
  <si>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</si>
  <si>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</si>
  <si>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</si>
  <si>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</si>
  <si>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</si>
  <si>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</si>
  <si>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</si>
  <si>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</si>
  <si>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</si>
  <si>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</si>
  <si>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</si>
  <si>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</si>
  <si>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</si>
  <si>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</si>
  <si>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</si>
  <si>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</si>
  <si>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</si>
  <si>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</si>
  <si>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</si>
  <si>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</si>
  <si>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</si>
  <si>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</si>
  <si>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</si>
  <si>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</si>
  <si>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</si>
  <si>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</si>
  <si>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</si>
  <si>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</si>
  <si>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</si>
  <si>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</si>
  <si>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</si>
  <si>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</si>
  <si>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</si>
  <si>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</si>
  <si>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</si>
  <si>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</si>
  <si>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</si>
  <si>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</si>
  <si>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</si>
  <si>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</si>
  <si>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</si>
  <si>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</si>
  <si>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</si>
  <si>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</si>
  <si>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</si>
  <si>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</si>
  <si>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</si>
  <si>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</si>
  <si>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</si>
  <si>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</si>
  <si>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</si>
  <si>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</si>
  <si>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</si>
  <si>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</si>
  <si>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</si>
  <si>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</si>
  <si>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</si>
  <si>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</si>
  <si>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</si>
  <si>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</si>
  <si>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</si>
  <si>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</si>
  <si>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</si>
  <si>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</si>
  <si>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</si>
  <si>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</si>
  <si>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</si>
  <si>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</si>
  <si>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</si>
  <si>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</si>
  <si>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</si>
  <si>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</si>
  <si>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</si>
  <si>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</si>
  <si>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</si>
  <si>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</si>
  <si>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</si>
  <si>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</si>
  <si>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</si>
  <si>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</si>
  <si>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</si>
  <si>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</si>
  <si>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</si>
  <si>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</si>
  <si>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</si>
  <si>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</si>
  <si>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</si>
  <si>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</si>
  <si>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</si>
  <si>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</si>
  <si>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</si>
  <si>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</si>
  <si>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</si>
  <si>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</si>
  <si>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</si>
  <si>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</si>
  <si>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</si>
  <si>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</si>
  <si>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</si>
  <si>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</si>
  <si>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</si>
  <si>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</si>
  <si>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</si>
  <si>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</si>
  <si>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</si>
  <si>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</si>
  <si>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</si>
  <si>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</si>
  <si>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</si>
  <si>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</si>
  <si>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</si>
  <si>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</si>
  <si>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</si>
  <si>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</si>
  <si>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</si>
  <si>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</si>
  <si>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</si>
  <si>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</si>
  <si>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</si>
  <si>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</si>
  <si>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</si>
  <si>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</si>
  <si>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</si>
  <si>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</si>
  <si>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</si>
  <si>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</si>
  <si>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</si>
  <si>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</si>
  <si>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</si>
  <si>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</si>
  <si>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</si>
  <si>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</si>
  <si>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</si>
  <si>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</si>
  <si>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</si>
  <si>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</si>
  <si>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</si>
  <si>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</si>
  <si>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</si>
  <si>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</si>
  <si>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</si>
  <si>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</si>
  <si>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</si>
  <si>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</si>
  <si>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</si>
  <si>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</si>
  <si>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</si>
  <si>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</si>
  <si>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</si>
  <si>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</si>
  <si>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</si>
  <si>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</si>
  <si>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</si>
  <si>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</si>
  <si>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</si>
  <si>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</si>
  <si>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</si>
  <si>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</si>
  <si>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</si>
  <si>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</si>
  <si>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</si>
  <si>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</si>
  <si>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</si>
  <si>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</si>
  <si>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</si>
  <si>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</si>
  <si>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</si>
  <si>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</si>
  <si>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</si>
  <si>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</si>
  <si>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</si>
  <si>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</si>
  <si>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</si>
  <si>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</si>
  <si>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</si>
  <si>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</si>
  <si>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</si>
  <si>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</si>
  <si>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</si>
  <si>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</si>
  <si>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</si>
  <si>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</si>
  <si>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</si>
  <si>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</si>
  <si>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</si>
  <si>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</si>
  <si>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</si>
  <si>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</si>
  <si>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</si>
  <si>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</si>
  <si>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</si>
  <si>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</si>
  <si>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</si>
  <si>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</si>
  <si>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</si>
  <si>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</si>
  <si>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</si>
  <si>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</si>
  <si>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</si>
  <si>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</si>
  <si>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</si>
  <si>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</si>
  <si>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</si>
  <si>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</si>
  <si>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</si>
  <si>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</si>
  <si>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</si>
  <si>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</si>
  <si>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</si>
  <si>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</si>
  <si>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</si>
  <si>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</si>
  <si>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</si>
  <si>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</si>
  <si>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</si>
  <si>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</si>
  <si>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</si>
  <si>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</si>
  <si>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</si>
  <si>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</si>
  <si>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</si>
  <si>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</si>
  <si>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</si>
  <si>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</si>
  <si>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</si>
  <si>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</si>
  <si>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</si>
  <si>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</si>
  <si>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</si>
  <si>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</si>
  <si>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</si>
  <si>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</si>
  <si>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</si>
  <si>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</si>
  <si>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</si>
  <si>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</si>
  <si>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</si>
  <si>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</si>
  <si>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</si>
  <si>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</si>
  <si>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</si>
  <si>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</si>
  <si>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</si>
  <si>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</si>
  <si>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</si>
  <si>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</si>
  <si>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</si>
  <si>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</si>
  <si>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</si>
  <si>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</si>
  <si>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</si>
  <si>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</si>
  <si>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</si>
  <si>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</si>
  <si>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</si>
  <si>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</si>
  <si>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</si>
  <si>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</si>
  <si>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</si>
  <si>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</si>
  <si>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</si>
  <si>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</si>
  <si>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</si>
  <si>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</si>
  <si>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</si>
  <si>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</si>
  <si>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</si>
  <si>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</si>
  <si>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</si>
  <si>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</si>
  <si>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</si>
  <si>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</si>
  <si>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</si>
  <si>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</si>
  <si>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</si>
  <si>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</si>
  <si>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</si>
  <si>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</si>
  <si>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</si>
  <si>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</si>
  <si>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</si>
  <si>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</si>
  <si>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</si>
  <si>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</si>
  <si>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</si>
  <si>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</si>
  <si>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</si>
  <si>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</si>
  <si>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</si>
  <si>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</si>
  <si>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</si>
  <si>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</si>
  <si>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</si>
  <si>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</si>
  <si>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</si>
  <si>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</si>
  <si>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</si>
  <si>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</si>
  <si>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</si>
  <si>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</si>
  <si>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</si>
  <si>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</si>
  <si>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</si>
  <si>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</si>
  <si>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</si>
  <si>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</si>
  <si>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</si>
  <si>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</si>
  <si>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</si>
  <si>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</si>
  <si>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</si>
  <si>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</si>
  <si>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</si>
  <si>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</si>
  <si>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</si>
  <si>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</si>
  <si>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</si>
  <si>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</si>
  <si>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</si>
  <si>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</si>
  <si>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</si>
  <si>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</si>
  <si>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</si>
  <si>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</si>
  <si>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</si>
  <si>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</si>
  <si>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</si>
  <si>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</si>
  <si>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</si>
  <si>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</si>
  <si>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</si>
  <si>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</si>
  <si>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</si>
  <si>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</si>
  <si>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</si>
  <si>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</si>
  <si>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</si>
  <si>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</si>
  <si>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</si>
  <si>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</si>
  <si>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</si>
  <si>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</si>
  <si>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</si>
  <si>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</si>
  <si>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</si>
  <si>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</si>
  <si>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</si>
  <si>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</si>
  <si>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</si>
  <si>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</si>
  <si>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</si>
  <si>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</si>
  <si>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</si>
  <si>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</si>
  <si>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</si>
  <si>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</si>
  <si>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</si>
  <si>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</si>
  <si>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</si>
  <si>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</si>
  <si>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</si>
  <si>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</si>
  <si>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</si>
  <si>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</si>
  <si>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</si>
  <si>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</si>
  <si>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</si>
  <si>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</si>
  <si>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</si>
  <si>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</si>
  <si>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</si>
  <si>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</si>
  <si>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</si>
  <si>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</si>
  <si>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</si>
  <si>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</si>
  <si>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</si>
  <si>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</si>
  <si>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</si>
  <si>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</si>
  <si>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</si>
  <si>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</si>
  <si>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</si>
  <si>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</si>
  <si>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</si>
  <si>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</si>
  <si>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</si>
  <si>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</si>
  <si>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</si>
  <si>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</si>
  <si>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</si>
  <si>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</si>
  <si>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</si>
  <si>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</si>
  <si>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</si>
  <si>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</si>
  <si>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</si>
  <si>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</si>
  <si>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</si>
  <si>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</si>
  <si>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</si>
  <si>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</si>
  <si>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</si>
  <si>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</si>
  <si>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</si>
  <si>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</si>
  <si>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</si>
  <si>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</si>
  <si>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</si>
  <si>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</si>
  <si>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</si>
  <si>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</si>
  <si>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</si>
  <si>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</si>
  <si>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</si>
  <si>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</si>
  <si>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</si>
  <si>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</si>
  <si>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</si>
  <si>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</si>
  <si>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</si>
  <si>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</si>
  <si>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</si>
  <si>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</si>
  <si>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</si>
  <si>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</si>
  <si>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</si>
  <si>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</si>
  <si>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</si>
  <si>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</si>
  <si>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</si>
  <si>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</si>
  <si>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</si>
  <si>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</si>
  <si>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</si>
  <si>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</si>
  <si>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</si>
  <si>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</si>
  <si>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</si>
  <si>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</si>
  <si>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</si>
  <si>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</si>
  <si>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</si>
  <si>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</si>
  <si>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</si>
  <si>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</si>
  <si>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</si>
  <si>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</si>
  <si>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</si>
  <si>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</si>
  <si>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</si>
  <si>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</si>
  <si>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</si>
  <si>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</si>
  <si>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</si>
  <si>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</si>
  <si>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</si>
  <si>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</si>
  <si>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</si>
  <si>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</si>
  <si>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</si>
  <si>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</si>
  <si>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</si>
  <si>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</si>
  <si>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</si>
  <si>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</si>
  <si>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</si>
  <si>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</si>
  <si>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</si>
  <si>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</si>
  <si>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</si>
  <si>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</si>
  <si>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</si>
  <si>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</si>
  <si>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</si>
  <si>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</si>
  <si>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</si>
  <si>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</si>
  <si>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</si>
  <si>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</si>
  <si>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</si>
  <si>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</si>
  <si>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</si>
  <si>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</si>
  <si>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</si>
  <si>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</si>
  <si>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</si>
  <si>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</si>
  <si>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</si>
  <si>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</si>
  <si>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</si>
  <si>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</si>
  <si>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</si>
  <si>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</si>
  <si>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</si>
  <si>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</si>
  <si>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</si>
  <si>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</si>
  <si>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</si>
  <si>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</si>
  <si>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</si>
  <si>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</si>
  <si>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</si>
  <si>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</si>
  <si>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</si>
  <si>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</si>
  <si>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</si>
  <si>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</si>
  <si>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</si>
  <si>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</si>
  <si>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</si>
  <si>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</si>
  <si>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</si>
  <si>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</si>
  <si>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</si>
  <si>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</si>
  <si>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</si>
  <si>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</si>
  <si>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</si>
  <si>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</si>
  <si>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</si>
  <si>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</si>
  <si>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</si>
  <si>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</si>
  <si>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</si>
  <si>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</si>
  <si>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</si>
  <si>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</si>
  <si>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</si>
  <si>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</si>
  <si>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</si>
  <si>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</si>
  <si>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</si>
  <si>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</si>
  <si>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</si>
  <si>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</si>
  <si>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</si>
  <si>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</si>
  <si>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</si>
  <si>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</si>
  <si>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</si>
  <si>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</si>
  <si>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</si>
  <si>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</si>
  <si>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</si>
  <si>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</si>
  <si>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</si>
  <si>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</si>
  <si>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</si>
  <si>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</si>
  <si>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</si>
  <si>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</si>
  <si>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</si>
  <si>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</si>
  <si>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</si>
  <si>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</si>
  <si>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</si>
  <si>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</si>
  <si>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</si>
  <si>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</si>
  <si>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EXECUÇÃO E COMPACTAÇÃO DE BASE E OU SUB BASE PARA PAVIMENTAÇÃO DE SOLOS ESTABILIZADOS GRANULOMETRICAMENTE COM MISTURA DE SOLOS EM PISTA - EXCLUSIVE SOLO, ESCAVAÇÃO, CARGA E TRANSPORTE. AF_11/2019</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</si>
  <si>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</si>
  <si>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</si>
  <si>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</si>
  <si>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</si>
  <si>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</si>
  <si>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</si>
  <si>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</si>
  <si>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</si>
  <si>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</si>
  <si>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</si>
  <si>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</si>
  <si>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</si>
  <si>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</si>
  <si>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</si>
  <si>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</si>
  <si>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</si>
  <si>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</si>
  <si>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</si>
  <si>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</si>
  <si>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</si>
  <si>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</si>
  <si>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</si>
  <si>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</si>
  <si>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</si>
  <si>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</si>
  <si>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</si>
  <si>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</si>
  <si>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</si>
  <si>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</si>
  <si>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</si>
  <si>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</si>
  <si>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</si>
  <si>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</si>
  <si>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</si>
  <si>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</si>
  <si>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</si>
  <si>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</si>
  <si>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</si>
  <si>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</si>
  <si>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</si>
  <si>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</si>
  <si>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</si>
  <si>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</si>
  <si>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</si>
  <si>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</si>
  <si>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</si>
  <si>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</si>
  <si>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</si>
  <si>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</si>
  <si>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</si>
  <si>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</si>
  <si>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</si>
  <si>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</si>
  <si>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</si>
  <si>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</si>
  <si>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</si>
  <si>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</si>
  <si>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</si>
  <si>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</si>
  <si>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</si>
  <si>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</si>
  <si>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</si>
  <si>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</si>
  <si>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</si>
  <si>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</si>
  <si>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</si>
  <si>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</si>
  <si>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</si>
  <si>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</si>
  <si>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</si>
  <si>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</si>
  <si>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</si>
  <si>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</si>
  <si>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</si>
  <si>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</si>
  <si>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</si>
  <si>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</si>
  <si>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</si>
  <si>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</si>
  <si>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</si>
  <si>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</si>
  <si>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</si>
  <si>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</si>
  <si>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</si>
  <si>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</si>
  <si>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</si>
  <si>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</si>
  <si>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</si>
  <si>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</si>
  <si>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</si>
  <si>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</si>
  <si>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</si>
  <si>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</si>
  <si>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</si>
  <si>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</si>
  <si>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</si>
  <si>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</si>
  <si>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</si>
  <si>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</si>
  <si>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</si>
  <si>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</si>
  <si>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</si>
  <si>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</si>
  <si>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</si>
  <si>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</si>
  <si>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</si>
  <si>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</si>
  <si>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</si>
  <si>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</si>
  <si>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</si>
  <si>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</si>
  <si>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</si>
  <si>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</si>
  <si>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</si>
  <si>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</si>
  <si>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</si>
  <si>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</si>
  <si>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</si>
  <si>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</si>
  <si>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</si>
  <si>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</si>
  <si>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</si>
  <si>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</si>
  <si>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</si>
  <si>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</si>
  <si>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</si>
  <si>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</si>
  <si>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</si>
  <si>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</si>
  <si>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</si>
  <si>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</si>
  <si>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</si>
  <si>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</si>
  <si>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</si>
  <si>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</si>
  <si>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</si>
  <si>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</si>
  <si>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</si>
  <si>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</si>
  <si>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</si>
  <si>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</si>
  <si>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</si>
  <si>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</si>
  <si>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</si>
  <si>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</si>
  <si>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</si>
  <si>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</si>
  <si>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</si>
  <si>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</si>
  <si>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</si>
  <si>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</si>
  <si>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</si>
  <si>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</si>
  <si>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</si>
  <si>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</si>
  <si>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</si>
  <si>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</si>
  <si>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</si>
  <si>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</si>
  <si>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</si>
  <si>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</si>
  <si>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</si>
  <si>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</si>
  <si>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</si>
  <si>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</si>
  <si>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</si>
  <si>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</si>
  <si>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</si>
  <si>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</si>
  <si>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</si>
  <si>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</si>
  <si>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</si>
  <si>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</si>
  <si>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</si>
  <si>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</si>
  <si>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</si>
  <si>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</si>
  <si>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</si>
  <si>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</si>
  <si>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</si>
  <si>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</si>
  <si>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</si>
  <si>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</si>
  <si>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</si>
  <si>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</si>
  <si>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</si>
  <si>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</si>
  <si>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</si>
  <si>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</si>
  <si>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</si>
  <si>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</si>
  <si>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</si>
  <si>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</si>
  <si>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</si>
  <si>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</si>
  <si>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</si>
  <si>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</si>
  <si>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</si>
  <si>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</si>
  <si>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</si>
  <si>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</si>
  <si>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</si>
  <si>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</si>
  <si>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</si>
  <si>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</si>
  <si>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</si>
  <si>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</si>
  <si>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</si>
  <si>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</si>
  <si>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</si>
  <si>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</si>
  <si>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</si>
  <si>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</si>
  <si>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</si>
  <si>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</si>
  <si>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</si>
  <si>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</si>
  <si>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</si>
  <si>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</si>
  <si>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</si>
  <si>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</si>
  <si>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</si>
  <si>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</si>
  <si>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</si>
  <si>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</si>
  <si>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</si>
  <si>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</si>
  <si>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</si>
  <si>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</si>
  <si>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</si>
  <si>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</si>
  <si>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</si>
  <si>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</si>
  <si>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</si>
  <si>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</si>
  <si>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</si>
  <si>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</si>
  <si>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</si>
  <si>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</si>
  <si>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</si>
  <si>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</si>
  <si>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</si>
  <si>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</si>
  <si>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</si>
  <si>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</si>
  <si>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</si>
  <si>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</si>
  <si>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</si>
  <si>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</si>
  <si>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</si>
  <si>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</si>
  <si>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</si>
  <si>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</si>
  <si>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</si>
  <si>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</si>
  <si>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</si>
  <si>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</si>
  <si>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</si>
  <si>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</si>
  <si>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</si>
  <si>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</si>
  <si>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</si>
  <si>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</si>
  <si>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</si>
  <si>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</si>
  <si>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</si>
  <si>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</si>
  <si>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</si>
  <si>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</si>
  <si>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</si>
  <si>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</si>
  <si>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</si>
  <si>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</si>
  <si>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</si>
  <si>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</si>
  <si>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</si>
  <si>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</si>
  <si>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</si>
  <si>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</si>
  <si>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</si>
  <si>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</si>
  <si>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</si>
  <si>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</si>
  <si>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</si>
  <si>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</si>
  <si>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</si>
  <si>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</si>
  <si>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</si>
  <si>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</si>
  <si>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</si>
  <si>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</si>
  <si>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</si>
  <si>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</si>
  <si>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</si>
  <si>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</si>
  <si>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</si>
  <si>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</si>
  <si>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</si>
  <si>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</si>
  <si>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</si>
  <si>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</si>
  <si>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</si>
  <si>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</si>
  <si>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</si>
  <si>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</si>
  <si>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</si>
  <si>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</si>
  <si>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</si>
  <si>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</si>
  <si>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</si>
  <si>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</si>
  <si>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</si>
  <si>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</si>
  <si>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</si>
  <si>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PLANILHA DE COMPOSIÇÕES AUXILIARES</t>
  </si>
  <si>
    <t>AUX</t>
  </si>
  <si>
    <t>DIAS 91 A 120</t>
  </si>
  <si>
    <t xml:space="preserve">TAB. REF.: </t>
  </si>
  <si>
    <t>COT - 05.001</t>
  </si>
  <si>
    <t>MAGAZINE LUIZA</t>
  </si>
  <si>
    <t>0800 773 3838</t>
  </si>
  <si>
    <t>www.magazineluiza.com.br</t>
  </si>
  <si>
    <t>47.960.950/1088-36</t>
  </si>
  <si>
    <t>EQUIPAMENTOS E ACESSÓRIOS</t>
  </si>
  <si>
    <t>POSTO DE VIGIA - contempla o período após a jornada de trabalho diária</t>
  </si>
  <si>
    <r>
      <t xml:space="preserve">• A mão de obra do vigia noturno é considerada 7 horas com adicional noturno concordante com sua descrição na tabela oficial “VIGIA NOTURNO, HORA EFETIVAMENTE TRABALHADA DE 22 H AS 5 H (COM ADICIONAL NOTURNO)”. Portanto, seguindo todas as premissas anteriormente referida, o coeficiente da composição resulta num total de </t>
    </r>
    <r>
      <rPr>
        <b/>
        <sz val="10"/>
        <color rgb="FF000000"/>
        <rFont val="Arial"/>
        <family val="2"/>
      </rPr>
      <t>210 h</t>
    </r>
    <r>
      <rPr>
        <sz val="10"/>
        <color rgb="FF000000"/>
        <rFont val="Arial"/>
        <family val="2"/>
      </rPr>
      <t xml:space="preserve"> mensais (7h x 30 dias no mês).
• Nos dias de expediente (22 dias) foi considerado para o vigia diurno 3H das 5H às 8H da manhã + 5H das 17H ÀS 22H. Eq1= 3+5= 8h *22 dias = 176 horas
• Nos sábados referentes ao mês o vigia diurno nos finais de semana, foi considerado 3H das 5H às 8H DA MANHÃ (Jornada 8h a 12h) + 10 H das 13h às 22h. Eq2 = 3+10 = 13H → Eq = 13h *4 dias = 52 H
• Nos domingos referentes ao mês o vigia diurno nos finais de semana foi considerado das 17H DAS 5H ÀS 22H. Eq3 = 17h*4dias = 68H
• Resultando no ajuste do coeficiente da composição do posto de vigia: Eq1 + eq2 + Eq3 = 176 + 52 + 68 = </t>
    </r>
    <r>
      <rPr>
        <b/>
        <sz val="10"/>
        <color rgb="FF000000"/>
        <rFont val="Arial"/>
        <family val="2"/>
      </rPr>
      <t xml:space="preserve">296 horas </t>
    </r>
    <r>
      <rPr>
        <sz val="10"/>
        <color rgb="FF000000"/>
        <rFont val="Arial"/>
        <family val="2"/>
      </rPr>
      <t xml:space="preserve">mensais.
</t>
    </r>
  </si>
  <si>
    <t>VIGIA DIURNO COM ENCARGOS COMPLEMENTARES DE MENSALISTA</t>
  </si>
  <si>
    <t>VIGIA NOTURNO COM ENCARGOS COMPLEMENTARES DE MENSALISTA</t>
  </si>
  <si>
    <t>REF: FOI TRANSFORMADO OS ENCARGOS TRABALHISTAS DE HORISTA P/ MENSALISTA DE ACORDO COM O SINAPI.</t>
  </si>
  <si>
    <t>CCA - 10.003</t>
  </si>
  <si>
    <t>CUSTO UNIT(R$)</t>
  </si>
  <si>
    <t>CUSTO TOTAL (R$)</t>
  </si>
  <si>
    <t>ITEM 10</t>
  </si>
  <si>
    <t>WM PLOTAGEM</t>
  </si>
  <si>
    <t>24.883.608/001-70</t>
  </si>
  <si>
    <t>CONTAINER PARA ENTULHO INCLUINDO TAXA DE DEPOSIÇÃO FINAL</t>
  </si>
  <si>
    <t>COT - 04.001</t>
  </si>
  <si>
    <t>COT - 04.002</t>
  </si>
  <si>
    <t>COT - 04.003</t>
  </si>
  <si>
    <t>COT - 04.004</t>
  </si>
  <si>
    <t>COT - 04.005</t>
  </si>
  <si>
    <t>COT - 04.006</t>
  </si>
  <si>
    <t>COT - 04.008</t>
  </si>
  <si>
    <t>COT - 04.009</t>
  </si>
  <si>
    <t>COT - 04.013</t>
  </si>
  <si>
    <t>CCU - 04.001 AUX</t>
  </si>
  <si>
    <t>CCU - 04.003 AUX</t>
  </si>
  <si>
    <t>CCU - 04.004 AUX</t>
  </si>
  <si>
    <t>CCU - 04.005 AUX</t>
  </si>
  <si>
    <t>CCU - 04.006 AUX</t>
  </si>
  <si>
    <t>CCU - 04.007 AUX</t>
  </si>
  <si>
    <t>CCU - 04.008 AUX</t>
  </si>
  <si>
    <t>CCU - 04.009 AUX</t>
  </si>
  <si>
    <t>CCU - 04.010 AUX</t>
  </si>
  <si>
    <t>CCU - 04.011 AUX</t>
  </si>
  <si>
    <t>CCU - 04.012 AUX</t>
  </si>
  <si>
    <t>CCU - 02.003</t>
  </si>
  <si>
    <t>CCU - 02.004</t>
  </si>
  <si>
    <t>REF: 41598 SINAPI DEZ 2019</t>
  </si>
  <si>
    <t>CCU - 02.007</t>
  </si>
  <si>
    <t>PLACA DE OBRA EM CHAPA DE ACO GALVANIZADO ADESIVADA - FORNECIMENTO E INSTALAÇÃO</t>
  </si>
  <si>
    <t>CCU - 02.009</t>
  </si>
  <si>
    <t>DEMOLIÇÃO MANUAL DE CONSTRUÇÕES PROVISÓRIAS DE MADEIRA - SEM REAPROVEITAMENTO</t>
  </si>
  <si>
    <t>CCU - 04.001</t>
  </si>
  <si>
    <t>CCU - 04.004</t>
  </si>
  <si>
    <t>CCU - 04.006</t>
  </si>
  <si>
    <t>CCU - 04.007</t>
  </si>
  <si>
    <t>CCU - 04.008</t>
  </si>
  <si>
    <t>CCU - 04.009</t>
  </si>
  <si>
    <t>CCU - 04.010</t>
  </si>
  <si>
    <t>CCU - 04.011</t>
  </si>
  <si>
    <t>CCU - 04.014</t>
  </si>
  <si>
    <t>CCU - 04.015</t>
  </si>
  <si>
    <t>CCU - 04.016</t>
  </si>
  <si>
    <t>CCU - 04.017</t>
  </si>
  <si>
    <t>CCU - 04.018</t>
  </si>
  <si>
    <t>CCU - 04.019</t>
  </si>
  <si>
    <t>CCU - 04.020</t>
  </si>
  <si>
    <t>CCU - 04.021</t>
  </si>
  <si>
    <t>CCU - 04.022</t>
  </si>
  <si>
    <t>CCU - 04.023</t>
  </si>
  <si>
    <t>CCU - 04.024</t>
  </si>
  <si>
    <t>CCU - 04.025</t>
  </si>
  <si>
    <t>CCU - 04.026</t>
  </si>
  <si>
    <t>CCU - 04.027</t>
  </si>
  <si>
    <t>CCU - 04.028</t>
  </si>
  <si>
    <t>CCU - 04.029</t>
  </si>
  <si>
    <t>CCU - 04.030</t>
  </si>
  <si>
    <t>CCU - 04.031</t>
  </si>
  <si>
    <t>CCU - 04.032</t>
  </si>
  <si>
    <t>CCU - 04.033</t>
  </si>
  <si>
    <t>CCU - 04.034</t>
  </si>
  <si>
    <t>CCU - 04.035</t>
  </si>
  <si>
    <t>CCU - 04.036</t>
  </si>
  <si>
    <t>FORNECIMENTO E ESPALHAMENTO DE TERRA VEGETAL PREPARADA</t>
  </si>
  <si>
    <t>REF: 02394/ORSE NOV 2020</t>
  </si>
  <si>
    <t xml:space="preserve">02.01.200 </t>
  </si>
  <si>
    <t>LIGAÇÕES PROVISÓRIAS</t>
  </si>
  <si>
    <t>02.01.200.1</t>
  </si>
  <si>
    <t>02.01.200.2</t>
  </si>
  <si>
    <t>02.01.200.3</t>
  </si>
  <si>
    <t xml:space="preserve">02.01.400 </t>
  </si>
  <si>
    <t>PROTEÇÃO E SINALIZAÇÃO</t>
  </si>
  <si>
    <t>02.01.400.1</t>
  </si>
  <si>
    <t>02.01.400.2</t>
  </si>
  <si>
    <t xml:space="preserve">02.02.000 </t>
  </si>
  <si>
    <t>DEMOLIÇÃO</t>
  </si>
  <si>
    <t xml:space="preserve">02.02.100 </t>
  </si>
  <si>
    <t>DEMOLIÇÃO MECÂNIZADA/CONVENCIONAL</t>
  </si>
  <si>
    <t>VEGETAÇÃO</t>
  </si>
  <si>
    <t>02.02.195</t>
  </si>
  <si>
    <t>02.02.195.1</t>
  </si>
  <si>
    <t>02.02.195.2</t>
  </si>
  <si>
    <t>02.02.330</t>
  </si>
  <si>
    <t>CARGA, TRANSPORTE, DESCARGA DE MATERIAL DE DEMOLIÇÃO</t>
  </si>
  <si>
    <t>02.02.330.1</t>
  </si>
  <si>
    <t>04.01.500</t>
  </si>
  <si>
    <t>04.01.505</t>
  </si>
  <si>
    <t>04.01.505.1</t>
  </si>
  <si>
    <t>04.01.505.2</t>
  </si>
  <si>
    <t>04.01.505.3</t>
  </si>
  <si>
    <t>04.01.505.4</t>
  </si>
  <si>
    <t>04.01.505.5</t>
  </si>
  <si>
    <t>04.01.560</t>
  </si>
  <si>
    <t>PINTURA</t>
  </si>
  <si>
    <t>04.04.300</t>
  </si>
  <si>
    <t>04.04.300.1</t>
  </si>
  <si>
    <t>04.04.300.2</t>
  </si>
  <si>
    <t>02.01.100.4</t>
  </si>
  <si>
    <t>ESCAVAÇÃO MANUAL DE VALA COM PROFUNDIDADE MENOR OU IGUAL A 1,30 M. AF_02/2021</t>
  </si>
  <si>
    <t>02.01.100.6</t>
  </si>
  <si>
    <t>REVESTIMENTOS</t>
  </si>
  <si>
    <t>04.01.565</t>
  </si>
  <si>
    <t>04.01.565.1</t>
  </si>
  <si>
    <t>ADMINISTRAÇÃO LOCAL</t>
  </si>
  <si>
    <t>SLU-1</t>
  </si>
  <si>
    <t>CCU - 02.010</t>
  </si>
  <si>
    <t xml:space="preserve">PREÇO TOTAL </t>
  </si>
  <si>
    <t>05.03.900.3</t>
  </si>
  <si>
    <t>CODIGO  DA COMPOSICAO</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</si>
  <si>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</si>
  <si>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</si>
  <si>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</si>
  <si>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</si>
  <si>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</si>
  <si>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</si>
  <si>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</si>
  <si>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</si>
  <si>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</si>
  <si>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</si>
  <si>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</si>
  <si>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</si>
  <si>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</si>
  <si>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</si>
  <si>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</si>
  <si>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</si>
  <si>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</si>
  <si>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</si>
  <si>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</si>
  <si>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</si>
  <si>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</si>
  <si>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</si>
  <si>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</si>
  <si>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</si>
  <si>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</si>
  <si>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</si>
  <si>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</si>
  <si>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</si>
  <si>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</si>
  <si>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</si>
  <si>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</si>
  <si>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</si>
  <si>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</si>
  <si>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</si>
  <si>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</si>
  <si>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</si>
  <si>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</si>
  <si>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</si>
  <si>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</si>
  <si>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</si>
  <si>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</si>
  <si>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</si>
  <si>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</si>
  <si>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</si>
  <si>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</si>
  <si>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</si>
  <si>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</si>
  <si>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</si>
  <si>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</si>
  <si>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</si>
  <si>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</si>
  <si>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</si>
  <si>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</si>
  <si>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</si>
  <si>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</si>
  <si>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</si>
  <si>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</si>
  <si>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</si>
  <si>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</si>
  <si>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</si>
  <si>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</si>
  <si>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</si>
  <si>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</si>
  <si>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</si>
  <si>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</si>
  <si>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</si>
  <si>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</si>
  <si>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</si>
  <si>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</si>
  <si>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</si>
  <si>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</si>
  <si>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</si>
  <si>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</si>
  <si>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</si>
  <si>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</si>
  <si>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</si>
  <si>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</si>
  <si>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</si>
  <si>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</si>
  <si>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</si>
  <si>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</si>
  <si>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</si>
  <si>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</si>
  <si>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</si>
  <si>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</si>
  <si>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</si>
  <si>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</si>
  <si>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</si>
  <si>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</si>
  <si>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</si>
  <si>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</si>
  <si>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</si>
  <si>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</si>
  <si>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</si>
  <si>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</si>
  <si>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</si>
  <si>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</si>
  <si>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</si>
  <si>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</si>
  <si>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</si>
  <si>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</si>
  <si>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</si>
  <si>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</si>
  <si>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</si>
  <si>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</si>
  <si>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</si>
  <si>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</si>
  <si>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</si>
  <si>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</si>
  <si>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</si>
  <si>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</si>
  <si>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</si>
  <si>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</si>
  <si>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</si>
  <si>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</si>
  <si>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</si>
  <si>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</si>
  <si>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</si>
  <si>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</si>
  <si>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</si>
  <si>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</si>
  <si>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</si>
  <si>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</si>
  <si>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</si>
  <si>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ADMINISTRAÇÃO LOCAL DA OBRA - (1 ALMOXARIFE, 1 ENGENHEIRO CIVIL MEIO PERÍODO, 1 MESTRE DE OBRAS, 1 ENCARREGADO E 1 POSTO DE VIGILANCIA - (PAGAMENTO PROPORCIONAL A EXECUÇÃO DA OBRA)</t>
  </si>
  <si>
    <t>PLANILHA ESTIMATIVA</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</si>
  <si>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</si>
  <si>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</si>
  <si>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</si>
  <si>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</si>
  <si>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</si>
  <si>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</si>
  <si>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</si>
  <si>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</si>
  <si>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</si>
  <si>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</si>
  <si>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</si>
  <si>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</si>
  <si>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</si>
  <si>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</si>
  <si>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</si>
  <si>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</si>
  <si>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</si>
  <si>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</si>
  <si>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</si>
  <si>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</si>
  <si>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</si>
  <si>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</si>
  <si>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</si>
  <si>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</si>
  <si>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</si>
  <si>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</si>
  <si>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</si>
  <si>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</si>
  <si>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</si>
  <si>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</si>
  <si>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</si>
  <si>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</si>
  <si>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</si>
  <si>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</si>
  <si>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</si>
  <si>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</si>
  <si>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</si>
  <si>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</si>
  <si>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</si>
  <si>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</si>
  <si>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</si>
  <si>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</si>
  <si>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</si>
  <si>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</si>
  <si>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</si>
  <si>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</si>
  <si>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</si>
  <si>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</si>
  <si>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</si>
  <si>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</si>
  <si>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</si>
  <si>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</si>
  <si>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</si>
  <si>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</si>
  <si>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</si>
  <si>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</si>
  <si>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</si>
  <si>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</si>
  <si>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</si>
  <si>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</si>
  <si>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</si>
  <si>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</si>
  <si>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</si>
  <si>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</si>
  <si>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</si>
  <si>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</si>
  <si>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</si>
  <si>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</si>
  <si>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</si>
  <si>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</si>
  <si>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</si>
  <si>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</si>
  <si>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</si>
  <si>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</si>
  <si>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</si>
  <si>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</si>
  <si>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</si>
  <si>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</si>
  <si>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</si>
  <si>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</si>
  <si>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</si>
  <si>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</si>
  <si>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</si>
  <si>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</si>
  <si>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</si>
  <si>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</si>
  <si>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</si>
  <si>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</si>
  <si>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</si>
  <si>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</si>
  <si>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</si>
  <si>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</si>
  <si>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</si>
  <si>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</si>
  <si>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</si>
  <si>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</si>
  <si>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</si>
  <si>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</si>
  <si>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</si>
  <si>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</si>
  <si>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</si>
  <si>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</si>
  <si>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</si>
  <si>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</si>
  <si>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</si>
  <si>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</si>
  <si>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</si>
  <si>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</si>
  <si>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</si>
  <si>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</si>
  <si>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</si>
  <si>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</si>
  <si>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</si>
  <si>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</si>
  <si>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</si>
  <si>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</si>
  <si>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</si>
  <si>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</si>
  <si>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</si>
  <si>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</si>
  <si>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</si>
  <si>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</si>
  <si>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</si>
  <si>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</si>
  <si>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</si>
  <si>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</si>
  <si>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</si>
  <si>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</si>
  <si>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</si>
  <si>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</si>
  <si>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</si>
  <si>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</si>
  <si>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</si>
  <si>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</si>
  <si>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</si>
  <si>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</si>
  <si>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</si>
  <si>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</si>
  <si>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</si>
  <si>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</si>
  <si>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</si>
  <si>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</si>
  <si>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</si>
  <si>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</si>
  <si>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</si>
  <si>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</si>
  <si>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</si>
  <si>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</si>
  <si>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</si>
  <si>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</si>
  <si>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</si>
  <si>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</si>
  <si>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</si>
  <si>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</si>
  <si>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</si>
  <si>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</si>
  <si>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</si>
  <si>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</si>
  <si>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</si>
  <si>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</si>
  <si>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</si>
  <si>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</si>
  <si>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</si>
  <si>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</si>
  <si>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</si>
  <si>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</si>
  <si>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</si>
  <si>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</si>
  <si>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</si>
  <si>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</si>
  <si>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</si>
  <si>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</si>
  <si>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</si>
  <si>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</si>
  <si>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</si>
  <si>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</si>
  <si>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</si>
  <si>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</si>
  <si>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</si>
  <si>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</si>
  <si>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</si>
  <si>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</si>
  <si>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</si>
  <si>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</si>
  <si>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</si>
  <si>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</si>
  <si>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</si>
  <si>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</si>
  <si>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</si>
  <si>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</si>
  <si>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</si>
  <si>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</si>
  <si>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</si>
  <si>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</si>
  <si>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</si>
  <si>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</si>
  <si>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</si>
  <si>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</si>
  <si>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</si>
  <si>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</si>
  <si>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CAPACIT.</t>
  </si>
  <si>
    <t xml:space="preserve">02.04.000 </t>
  </si>
  <si>
    <t>TERRAPLANAGEM</t>
  </si>
  <si>
    <t xml:space="preserve">02.04.100 </t>
  </si>
  <si>
    <t>LIMPEZA E PREPARO DA ÁREA</t>
  </si>
  <si>
    <t>02.04.100.1</t>
  </si>
  <si>
    <t>02.04.100.2</t>
  </si>
  <si>
    <t>02.04.100.3</t>
  </si>
  <si>
    <t>02.04.200</t>
  </si>
  <si>
    <t>CORTES</t>
  </si>
  <si>
    <t>02.04.100.5</t>
  </si>
  <si>
    <t>02.04.200.1</t>
  </si>
  <si>
    <t>02.04.300</t>
  </si>
  <si>
    <t>02.04.300.1</t>
  </si>
  <si>
    <t>02.04.300.2</t>
  </si>
  <si>
    <t>02.04.300.3</t>
  </si>
  <si>
    <t>02.03.000</t>
  </si>
  <si>
    <t>LOCAÇÕES DE OBRAS</t>
  </si>
  <si>
    <t>02.03.000.1</t>
  </si>
  <si>
    <t>02.03.100</t>
  </si>
  <si>
    <t>DE EDIFICAÇÕES</t>
  </si>
  <si>
    <t>04.01.506</t>
  </si>
  <si>
    <t>04.01.506.1</t>
  </si>
  <si>
    <t>04.01.506.2</t>
  </si>
  <si>
    <t>04.01.506.3</t>
  </si>
  <si>
    <t>04.01.507</t>
  </si>
  <si>
    <t>04.01.507.1</t>
  </si>
  <si>
    <t>PISO TÁTIL</t>
  </si>
  <si>
    <t>PISOS</t>
  </si>
  <si>
    <t>REF:  10536/ORSE JUNHO 2021</t>
  </si>
  <si>
    <t>04.04.300.3</t>
  </si>
  <si>
    <t>04.04.300.4</t>
  </si>
  <si>
    <t>REF: PROJETO E CADERNO DE ESPECIFICAÇÕES DE ARQUITETURA</t>
  </si>
  <si>
    <t>CCU - 03.002</t>
  </si>
  <si>
    <t>05.03.900.4</t>
  </si>
  <si>
    <t>05.03.950.5</t>
  </si>
  <si>
    <t>BICICLETÁRIO EM TUBO DE AÇO INOX 2'' ACABAMENTO ESCOVADO CHUMBADO 35CM C/ CONCRETO 18MPA - FORNECIMENTO E INSTALAÇÃO</t>
  </si>
  <si>
    <t>BICICLETÁRIO EM TUBO DE AÇO INOX 2'' ACABAMENTO ESCOVADO</t>
  </si>
  <si>
    <t>03.01.413.4</t>
  </si>
  <si>
    <t>CCU - 03.005</t>
  </si>
  <si>
    <t>CHUMBADOR Ø3/4"- FORNECIMENTO E INSTALAÇÃO</t>
  </si>
  <si>
    <t>BAIAS EM TÁBUAS DE MADEIRA, COM 03 MÓDULOS 4,00 X 4,00M CADA, DESTINADAS AO ARMAZENAMENTO DE AGREGADOS</t>
  </si>
  <si>
    <t>REF: 11033/ORSE JULHO 2021</t>
  </si>
  <si>
    <t>REF: 00051/ORSE JULHO 2021</t>
  </si>
  <si>
    <t>27.178.283/0001-12</t>
  </si>
  <si>
    <t>REF: 1600895 SICRO ABRIL 2021</t>
  </si>
  <si>
    <t>02.02.330.2</t>
  </si>
  <si>
    <t>02.02.330.3</t>
  </si>
  <si>
    <t>02.01.100.5</t>
  </si>
  <si>
    <t>4 CONTAINERES PO MÊS</t>
  </si>
  <si>
    <t>ARTE E AÇO</t>
  </si>
  <si>
    <t>WHATSAPP</t>
  </si>
  <si>
    <t>05.975.390/0001-39</t>
  </si>
  <si>
    <t>61 98154-6755</t>
  </si>
  <si>
    <t>ABL-METALURGICA</t>
  </si>
  <si>
    <t>07.791.389/0001-80</t>
  </si>
  <si>
    <t>61 909929-3032</t>
  </si>
  <si>
    <t>FÊNIX LOCAÇÕES</t>
  </si>
  <si>
    <t>28.084.363/0001-71</t>
  </si>
  <si>
    <t>CORRINOX</t>
  </si>
  <si>
    <t>vendas@corrinox.com</t>
  </si>
  <si>
    <t>(61) 3559-2516</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</si>
  <si>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</si>
  <si>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</si>
  <si>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</si>
  <si>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</si>
  <si>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</si>
  <si>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</si>
  <si>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</si>
  <si>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</si>
  <si>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</si>
  <si>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</si>
  <si>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</si>
  <si>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</si>
  <si>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</si>
  <si>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</si>
  <si>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</si>
  <si>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</si>
  <si>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</si>
  <si>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</si>
  <si>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</si>
  <si>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</si>
  <si>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</si>
  <si>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</si>
  <si>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</si>
  <si>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</si>
  <si>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</si>
  <si>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</si>
  <si>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</si>
  <si>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</si>
  <si>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</si>
  <si>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</si>
  <si>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</si>
  <si>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</si>
  <si>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</si>
  <si>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</si>
  <si>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</si>
  <si>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</si>
  <si>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</si>
  <si>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</si>
  <si>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</si>
  <si>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</si>
  <si>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</si>
  <si>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</si>
  <si>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</si>
  <si>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</si>
  <si>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</si>
  <si>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</si>
  <si>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</si>
  <si>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</si>
  <si>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</si>
  <si>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</si>
  <si>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</si>
  <si>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</si>
  <si>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</si>
  <si>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</si>
  <si>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</si>
  <si>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</si>
  <si>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</si>
  <si>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</si>
  <si>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</si>
  <si>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</si>
  <si>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</si>
  <si>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</si>
  <si>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</si>
  <si>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</si>
  <si>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</si>
  <si>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</si>
  <si>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</si>
  <si>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</si>
  <si>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</si>
  <si>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</si>
  <si>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</si>
  <si>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</si>
  <si>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</si>
  <si>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</si>
  <si>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</si>
  <si>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</si>
  <si>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</si>
  <si>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</si>
  <si>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</si>
  <si>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</si>
  <si>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</si>
  <si>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</si>
  <si>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</si>
  <si>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</si>
  <si>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</si>
  <si>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</si>
  <si>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</si>
  <si>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</si>
  <si>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</si>
  <si>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</si>
  <si>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</si>
  <si>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</si>
  <si>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</si>
  <si>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</si>
  <si>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</si>
  <si>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</si>
  <si>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</si>
  <si>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</si>
  <si>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</si>
  <si>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</si>
  <si>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</si>
  <si>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</si>
  <si>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</si>
  <si>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</si>
  <si>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</si>
  <si>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</si>
  <si>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</si>
  <si>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</si>
  <si>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</si>
  <si>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</si>
  <si>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</si>
  <si>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</si>
  <si>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</si>
  <si>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</si>
  <si>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</si>
  <si>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</si>
  <si>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</si>
  <si>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</si>
  <si>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</si>
  <si>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</si>
  <si>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</si>
  <si>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</si>
  <si>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</si>
  <si>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</si>
  <si>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</si>
  <si>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</si>
  <si>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</si>
  <si>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</si>
  <si>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</si>
  <si>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</si>
  <si>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</si>
  <si>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</si>
  <si>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</si>
  <si>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</si>
  <si>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</si>
  <si>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</si>
  <si>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</si>
  <si>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</si>
  <si>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</si>
  <si>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</si>
  <si>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</si>
  <si>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</si>
  <si>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</si>
  <si>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</si>
  <si>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</si>
  <si>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</si>
  <si>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</si>
  <si>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</si>
  <si>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</si>
  <si>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</si>
  <si>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</si>
  <si>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</si>
  <si>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</si>
  <si>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</si>
  <si>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</si>
  <si>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</si>
  <si>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</si>
  <si>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</si>
  <si>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</si>
  <si>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</si>
  <si>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</si>
  <si>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</si>
  <si>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</si>
  <si>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</si>
  <si>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</si>
  <si>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</si>
  <si>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</si>
  <si>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</si>
  <si>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</si>
  <si>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</si>
  <si>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</si>
  <si>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</si>
  <si>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</si>
  <si>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</si>
  <si>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</si>
  <si>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</si>
  <si>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</si>
  <si>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</si>
  <si>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</si>
  <si>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</si>
  <si>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</si>
  <si>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</si>
  <si>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</si>
  <si>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</si>
  <si>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</si>
  <si>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</si>
  <si>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</si>
  <si>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</si>
  <si>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</si>
  <si>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</si>
  <si>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</si>
  <si>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</si>
  <si>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</si>
  <si>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</si>
  <si>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</si>
  <si>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</si>
  <si>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</si>
  <si>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</si>
  <si>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</si>
  <si>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</si>
  <si>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</si>
  <si>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</si>
  <si>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</si>
  <si>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</si>
  <si>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</si>
  <si>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</si>
  <si>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</si>
  <si>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</si>
  <si>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</si>
  <si>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</si>
  <si>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</si>
  <si>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</si>
  <si>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</si>
  <si>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RECOMPOSIÇÃO DE PAVIMENTO EM PISO INTERTRAVADO, COM REAPROVEITAMENTO DOS BLOCOS INTERTRAVADOS, PARA FECHAMENTO DE VALAS - INCLUSO RETIRADA E COLOCAÇÃO DO MATERIAL. AF_12/2020</t>
  </si>
  <si>
    <t>PISO DE BORRACHA PASTILHADO, ESPESSURA 15MM, ASSENTADO COM ARGAMASSA. AF_09/2020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</si>
  <si>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</si>
  <si>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</si>
  <si>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</si>
  <si>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</si>
  <si>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</si>
  <si>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</si>
  <si>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</si>
  <si>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</si>
  <si>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</si>
  <si>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</si>
  <si>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</si>
  <si>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</si>
  <si>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</si>
  <si>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</si>
  <si>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</si>
  <si>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R$ / M2</t>
  </si>
  <si>
    <t>CONTRAMARCO DE ALUMÍNIO, FIXAÇÃO COM ARGAMASSA - FORNECIMENTO E INSTALAÇÃO. AF_12/2019</t>
  </si>
  <si>
    <t>CONTRAMARCO DE ALUMÍNIO, FIXAÇÃO COM PARAFUSO - FORNECIMENTO E INSTALAÇÃO. AF_12/2019</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</si>
  <si>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</si>
  <si>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</si>
  <si>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</si>
  <si>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</si>
  <si>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</si>
  <si>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</si>
  <si>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</si>
  <si>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</si>
  <si>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</si>
  <si>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</si>
  <si>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</si>
  <si>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</si>
  <si>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</si>
  <si>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</si>
  <si>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</si>
  <si>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</si>
  <si>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</si>
  <si>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</si>
  <si>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</si>
  <si>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</si>
  <si>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</si>
  <si>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</si>
  <si>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</si>
  <si>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</si>
  <si>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</si>
  <si>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</si>
  <si>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</si>
  <si>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</si>
  <si>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</si>
  <si>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</si>
  <si>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</si>
  <si>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</si>
  <si>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</si>
  <si>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</si>
  <si>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</si>
  <si>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</si>
  <si>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</si>
  <si>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</si>
  <si>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</si>
  <si>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</si>
  <si>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</si>
  <si>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</si>
  <si>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</si>
  <si>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</si>
  <si>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</si>
  <si>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</si>
  <si>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</si>
  <si>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</si>
  <si>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</si>
  <si>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</si>
  <si>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</si>
  <si>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</si>
  <si>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</si>
  <si>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</si>
  <si>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</si>
  <si>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</si>
  <si>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</si>
  <si>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</si>
  <si>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</si>
  <si>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</si>
  <si>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</si>
  <si>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</si>
  <si>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</si>
  <si>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</si>
  <si>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</si>
  <si>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</si>
  <si>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</si>
  <si>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</si>
  <si>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</si>
  <si>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</si>
  <si>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</si>
  <si>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</si>
  <si>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</si>
  <si>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</si>
  <si>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</si>
  <si>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</si>
  <si>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</si>
  <si>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</si>
  <si>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</si>
  <si>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</si>
  <si>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</si>
  <si>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</si>
  <si>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</si>
  <si>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</si>
  <si>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</si>
  <si>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</si>
  <si>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</si>
  <si>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</si>
  <si>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</si>
  <si>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</si>
  <si>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</si>
  <si>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</si>
  <si>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</si>
  <si>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</si>
  <si>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</si>
  <si>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</si>
  <si>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</si>
  <si>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</si>
  <si>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</si>
  <si>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</si>
  <si>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</si>
  <si>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</si>
  <si>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</si>
  <si>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ORÇ. REVITALIZAÇÃO DA PRAÇA 21 DE ABRIL</t>
  </si>
  <si>
    <t>PROJ-DE-034-20</t>
  </si>
  <si>
    <t>REVITALIZAÇÃO DA PRAÇA 21 DE ABRIL</t>
  </si>
  <si>
    <t>ENTRE QUADRAS 707 / 708 SUL - ASA SUL - BRASILIA-DF</t>
  </si>
  <si>
    <t>ÁREA DE REVITALIZAÇÃO: 10.937,80 m²</t>
  </si>
  <si>
    <t>FUNDAÇÕES E ESTRUTURAS - PEC</t>
  </si>
  <si>
    <t>ORÇ. REVITALIZAÇÃO DA PRAÇA 21 DE ABRIL - IMPLANTAÇÃO</t>
  </si>
  <si>
    <t>10.937,80 m²</t>
  </si>
  <si>
    <t xml:space="preserve">ORÇ. REVITALIZAÇÃO DA PRAÇA 21 DE ABRIL </t>
  </si>
  <si>
    <t>BLOCOS</t>
  </si>
  <si>
    <t>REF: 00744/ORSE DEZEMBRO 2021</t>
  </si>
  <si>
    <t>REF: 10450/ORSE JANEIRO 2022</t>
  </si>
  <si>
    <t>CHAPA DE AÇO E= PARA ANCORAGEM DOS CHUMBADORES - FORNECIMENTO E INSTALAÇÃO</t>
  </si>
  <si>
    <t>ESTACA BROCA DE CONCRETO, DIÂMETRO DE 40CM, ESCAVAÇÃO MANUAL COM TRADO CONCHA, (EXCLUSIVE ARMADURA).</t>
  </si>
  <si>
    <t>REF: 101175 SINAPI JANEIRO 2022</t>
  </si>
  <si>
    <t>ESTACA BROCA DE CONCRETO, DIÂMETRO DE 25CM, ESCAVAÇÃO MANUAL COM TRADO CONCHA, (EXCLUSIVE ARMADURA).</t>
  </si>
  <si>
    <t>0,7950000</t>
  </si>
  <si>
    <t>0,9980000</t>
  </si>
  <si>
    <t>0,0620000</t>
  </si>
  <si>
    <t>REF: 101174 SINAPI JANEIRO 2022</t>
  </si>
  <si>
    <t>PISO EM CONCRETO - CALÇADAS</t>
  </si>
  <si>
    <t>PISO EM CONCRETO - PEC</t>
  </si>
  <si>
    <t xml:space="preserve">ATERRO COMPACTADO </t>
  </si>
  <si>
    <t>TODO O SOLO ESCAVADO FOI APROVEITADO DO ATERRO</t>
  </si>
  <si>
    <t>MASSA ESPECÍFICA MATERIAL DE DESMATAMENTO E DESTOCAMENTO = 1 T/M3</t>
  </si>
  <si>
    <t>MASSA ESPECÍFICA DE MATERIAL DE DEMOLIÇÃO DE OBRAS = 1,5 T/M3</t>
  </si>
  <si>
    <t>DISTÂNCIA DE BOTA FORA = 20,7 KM</t>
  </si>
  <si>
    <t>PISO EM CONCRETO, MOLDADO “IN LOCO”, FCK=20 MPA, COM PREPARO MECÂNICO, 8 (OITO) CM DE ESPESSURA, INCLUSO SELANTE ELÁSTICO À BASE DE POLIURETANO</t>
  </si>
  <si>
    <t>REF:  101747 SINAPI JANEIRO 2022</t>
  </si>
  <si>
    <t>REF:  94995 SINAPI JANEIRO 2022</t>
  </si>
  <si>
    <t>CALÇADA - PAVIMENTO EM CONCRETO ARMADO, COR NATURAL E=8CM COM ACABAMENTO DESEMPENADO E JUNTA DE DILATAÇÃO COM DISCO DE MAQUITA OU SARRAFO DE MADEIRA.</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</si>
  <si>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</si>
  <si>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</si>
  <si>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</si>
  <si>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</si>
  <si>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</si>
  <si>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</si>
  <si>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</si>
  <si>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</si>
  <si>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</si>
  <si>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</si>
  <si>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</si>
  <si>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</si>
  <si>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</si>
  <si>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</si>
  <si>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</si>
  <si>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</si>
  <si>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</si>
  <si>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</si>
  <si>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</si>
  <si>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</si>
  <si>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</si>
  <si>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</si>
  <si>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</si>
  <si>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</si>
  <si>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</si>
  <si>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</si>
  <si>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</si>
  <si>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</si>
  <si>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</si>
  <si>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</si>
  <si>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</si>
  <si>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</si>
  <si>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</si>
  <si>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</si>
  <si>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</si>
  <si>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</si>
  <si>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</si>
  <si>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</si>
  <si>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</si>
  <si>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</si>
  <si>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</si>
  <si>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</si>
  <si>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</si>
  <si>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</si>
  <si>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</si>
  <si>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</si>
  <si>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</si>
  <si>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</si>
  <si>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</si>
  <si>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</si>
  <si>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</si>
  <si>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</si>
  <si>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</si>
  <si>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</si>
  <si>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</si>
  <si>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</si>
  <si>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</si>
  <si>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</si>
  <si>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</si>
  <si>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</si>
  <si>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</si>
  <si>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</si>
  <si>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</si>
  <si>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</si>
  <si>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</si>
  <si>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</si>
  <si>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</si>
  <si>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</si>
  <si>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</si>
  <si>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</si>
  <si>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</si>
  <si>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</si>
  <si>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</si>
  <si>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</si>
  <si>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</si>
  <si>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</si>
  <si>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</si>
  <si>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</si>
  <si>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</si>
  <si>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</si>
  <si>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</si>
  <si>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</si>
  <si>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</si>
  <si>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</si>
  <si>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</si>
  <si>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</si>
  <si>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</si>
  <si>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</si>
  <si>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</si>
  <si>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</si>
  <si>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</si>
  <si>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</si>
  <si>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</si>
  <si>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</si>
  <si>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</si>
  <si>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</si>
  <si>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</si>
  <si>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</si>
  <si>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</si>
  <si>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</si>
  <si>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</si>
  <si>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</si>
  <si>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</si>
  <si>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</si>
  <si>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</si>
  <si>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</si>
  <si>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</si>
  <si>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</si>
  <si>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</si>
  <si>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</si>
  <si>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</si>
  <si>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</si>
  <si>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</si>
  <si>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</si>
  <si>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</si>
  <si>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</si>
  <si>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</si>
  <si>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</si>
  <si>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</si>
  <si>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</si>
  <si>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</si>
  <si>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</si>
  <si>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</si>
  <si>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</si>
  <si>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</si>
  <si>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</si>
  <si>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</si>
  <si>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</si>
  <si>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</si>
  <si>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</si>
  <si>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</si>
  <si>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</si>
  <si>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</si>
  <si>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</si>
  <si>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</si>
  <si>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</si>
  <si>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</si>
  <si>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</si>
  <si>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</si>
  <si>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</si>
  <si>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</si>
  <si>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</si>
  <si>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</si>
  <si>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</si>
  <si>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</si>
  <si>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</si>
  <si>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</si>
  <si>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</si>
  <si>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</si>
  <si>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</si>
  <si>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</si>
  <si>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</si>
  <si>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</si>
  <si>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</si>
  <si>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</si>
  <si>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</si>
  <si>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</si>
  <si>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</si>
  <si>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</si>
  <si>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t>
  </si>
  <si>
    <t>04.01.506.4</t>
  </si>
  <si>
    <t>REF:  94970 SINAPI JANEIRO 2022 - INCLUSO PIGMENTO DE ACORDO COM ESPECIFICAÇÕES TÉCNICAS DO FABRICANTE.</t>
  </si>
  <si>
    <t>PIGMENTO EM PÓ COR PRETO GRAFITE PARA CONCRETO</t>
  </si>
  <si>
    <t>HIPERFER</t>
  </si>
  <si>
    <t>(47) 3327-7602</t>
  </si>
  <si>
    <t>29.641.894/0001-80</t>
  </si>
  <si>
    <t>www.hiperfer.com.br</t>
  </si>
  <si>
    <t>A quantidade de uso é geralmente 2,0 a 2,5 kg de Pigmento para cada saco de 50 kg de cimento, ou seja 4 a 5 % sobre o peso do cimento.</t>
  </si>
  <si>
    <t>CCU - 04.005</t>
  </si>
  <si>
    <t>CALÇADA - PAVIMENTO EM CONCRETO ARMADO, COR GRAFITE E=8CM COM ACABAMENTO DESEMPENADO E JUNTA DE DILATAÇÃO COM DISCO DE MAQUITA OU SARRAFO DE MADEIRA.</t>
  </si>
  <si>
    <t>CONCRETO PIGMENTADO NA COR GRAFITE FCK = 20MPA, TRAÇO 1:2,7:3 (EM MASSA SECA DE CIMENTO/ AREIA MÉDIA/ BRITA 1) - PREPARO MECÂNICO COM BETONEIRA 600 L</t>
  </si>
  <si>
    <t>CCU - 04.002 AUX</t>
  </si>
  <si>
    <t>CONCRETO PIGMENTADO NA COR VERDE FCK = 20MPA, TRAÇO 1:2,7:3 (EM MASSA SECA DE CIMENTO/ AREIA MÉDIA/ BRITA 1) - PREPARO MECÂNICO COM BETONEIRA 600 L</t>
  </si>
  <si>
    <t>PIGMENTO EM PÓ COR VERDE PARA CONCRETO</t>
  </si>
  <si>
    <t>CALÇADA - PAVIMENTO EM CONCRETO ARMADO, COR VERDE E=8CM COM ACABAMENTO DESEMPENADO E JUNTA DE DILATAÇÃO COM DISCO DE MAQUITA OU SARRAFO DE MADEIRA.</t>
  </si>
  <si>
    <t>CALÇADA - PAVIMENTO EM CONCRETO ARMADO, COR AZUL E=8CM COM ACABAMENTO DESEMPENADO E JUNTA DE DILATAÇÃO COM DISCO DE MAQUITA OU SARRAFO DE MADEIRA.</t>
  </si>
  <si>
    <t>CONCRETO PIGMENTADO NA COR AZUL FCK = 20MPA, TRAÇO 1:2,7:3 (EM MASSA SECA DE CIMENTO/ AREIA MÉDIA/ BRITA 1) - PREPARO MECÂNICO COM BETONEIRA 600 L</t>
  </si>
  <si>
    <t>PIGMENTO EM PÓ COR AZUL PARA CONCRETO</t>
  </si>
  <si>
    <t>HOME CENTER MARQUIO</t>
  </si>
  <si>
    <t>(64) 3631-6612</t>
  </si>
  <si>
    <t>sac@marchio.com</t>
  </si>
  <si>
    <t>CALÇADA - PAVIMENTO EM CONCRETO ARMADO, COR AMARELO E=8CM COM ACABAMENTO DESEMPENADO E JUNTA DE DILATAÇÃO COM DISCO DE MAQUITA OU SARRAFO DE MADEIRA.</t>
  </si>
  <si>
    <t>CONCRETO PIGMENTADO NA COR AMARELO FCK = 20MPA, TRAÇO 1:2,7:3 (EM MASSA SECA DE CIMENTO/ AREIA MÉDIA/ BRITA 1) - PREPARO MECÂNICO COM BETONEIRA 600 L</t>
  </si>
  <si>
    <t>PIGMENTO EM PÓ COR AMARELO PARA CONCRETO</t>
  </si>
  <si>
    <t>CALÇADA - PAVIMENTO EM CONCRETO ARMADO, COR ROSA E=8CM COM ACABAMENTO DESEMPENADO E JUNTA DE DILATAÇÃO COM DISCO DE MAQUITA OU SARRAFO DE MADEIRA.</t>
  </si>
  <si>
    <t>CONCRETO PIGMENTADO NA COR ROSA FCK = 20MPA, TRAÇO 1:2,7:3 (EM MASSA SECA DE CIMENTO/ AREIA MÉDIA/ BRITA 1) - PREPARO MECÂNICO COM BETONEIRA 600 L</t>
  </si>
  <si>
    <t>PIGMENTO EM PÓ COR VERMELHO PARA CONCRETO</t>
  </si>
  <si>
    <t>04.01.506.5</t>
  </si>
  <si>
    <t>04.01.506.6</t>
  </si>
  <si>
    <t>04.01.506.7</t>
  </si>
  <si>
    <t>04.01.506.8</t>
  </si>
  <si>
    <t>04.01.506.9</t>
  </si>
  <si>
    <t>04.01.506.10</t>
  </si>
  <si>
    <t>GOLA DE ÁRVORE</t>
  </si>
  <si>
    <t>GOLA DE ÁRVORE E RAMPA</t>
  </si>
  <si>
    <t>PERÍMETRO DO PEC</t>
  </si>
  <si>
    <t>PISO TÁTIL ALERTA 40X40 EM CONCRETO - FORNECIMENTO E INSTALAÇÃO</t>
  </si>
  <si>
    <t>REF:  101091 SINAPI JANEIRO 2022</t>
  </si>
  <si>
    <t>ccu</t>
  </si>
  <si>
    <t>REF:  PROJETO ARQUITETURA - PROJ-DE-034-20-APS-PE-008-DET-MOB-R00</t>
  </si>
  <si>
    <t>MESA MULTIUSO COM 4 BANCOS EM CONCRETO - CONFORME DETALHAMENTO DE PROJETO</t>
  </si>
  <si>
    <t>MESA MULTIUSO EM CONCRETO - CONFORME DETALHAMENTO DE PROJETO</t>
  </si>
  <si>
    <t>REVESTIMENTO DE PISO COM MOSAICO DE MÁRMORE DUAS CORES, APLICADO COM ARGAMASSA INDUSTRIALIZADA AC-II</t>
  </si>
  <si>
    <t>REF: 09352/ORSE DEZEMBRO 2021</t>
  </si>
  <si>
    <t>BANCO EM CONCRETO PARA MESA MULTIUSO - CONFORME DETALHAMENTO DE PROJETO</t>
  </si>
  <si>
    <t>MESA MULTIUSO COM 3 BANCOS EM CONCRETO - CONFORME DETALHAMENTO DE PROJETO</t>
  </si>
  <si>
    <t>PERGOLADO DE MADEIRA, EM TORAS DE EUCALIPTO COM DIÂMETROS DE 20CM, 15CM E 10CM, TRAVADOS COM BARRA ROSQUEADA DE 1/2" E PARAFUSO SESTAVADO COM 150MM DE COMRIMENTO, FIXADO EM BLOCO DE CONCRETO DE 75X40X110CM - FORNECIMENTO E INSTALAÇÃO</t>
  </si>
  <si>
    <t>REF: 09857/ORSE DEZEMBRO 2021</t>
  </si>
  <si>
    <t>ASSENTAMENTO DE PEÇAS DE EUCALIPTO TRATADO, D=19 A 22CM PARA CONFECÇÃO DE PERGOLADO</t>
  </si>
  <si>
    <t>REF: 09856/ORSE DEZEMBRO 2021</t>
  </si>
  <si>
    <t>ASSENTAMENTO DE PEÇAS DE EUCALIPTO TRATADO, D=13 A 16CM PARA CONFECÇÃO DE PERGOLADO</t>
  </si>
  <si>
    <t>COT - 04.007</t>
  </si>
  <si>
    <t>CASA DOS PARAFUSOS</t>
  </si>
  <si>
    <t>(16) 3017-8614</t>
  </si>
  <si>
    <t>33.251.614/0001-03</t>
  </si>
  <si>
    <t>contato@casadosparafusosfranca.com.br</t>
  </si>
  <si>
    <r>
      <t xml:space="preserve">BARRA ROSQUEADA ZINCADA </t>
    </r>
    <r>
      <rPr>
        <b/>
        <sz val="8"/>
        <rFont val="Calibri"/>
        <family val="2"/>
      </rPr>
      <t>Ø</t>
    </r>
    <r>
      <rPr>
        <b/>
        <sz val="8"/>
        <rFont val="Arial"/>
        <family val="2"/>
      </rPr>
      <t xml:space="preserve"> 1/2"</t>
    </r>
  </si>
  <si>
    <r>
      <t xml:space="preserve">ARRUELA ZINCADA </t>
    </r>
    <r>
      <rPr>
        <b/>
        <sz val="8"/>
        <rFont val="Calibri"/>
        <family val="2"/>
      </rPr>
      <t>Ø</t>
    </r>
    <r>
      <rPr>
        <b/>
        <sz val="8"/>
        <rFont val="Arial"/>
        <family val="2"/>
      </rPr>
      <t xml:space="preserve"> 1/2"</t>
    </r>
  </si>
  <si>
    <t>REF: 09858/ORSE DEZEMBRO 2021</t>
  </si>
  <si>
    <t>ASSENTAMENTO DE PEÇAS DE EUCALIPTO TRATADO, D=10 A 13CM PARA CONFECÇÃO DE PERGOLADO</t>
  </si>
  <si>
    <t>REF: PROJETO PROJ-DE-034-20-APS-PE-009-DET-MOB-R00</t>
  </si>
  <si>
    <t>04.04.000</t>
  </si>
  <si>
    <t>PAISAGISMO</t>
  </si>
  <si>
    <t>04.04.100</t>
  </si>
  <si>
    <t>04.04.102</t>
  </si>
  <si>
    <t>DE MOBILIÁRIO URBANO</t>
  </si>
  <si>
    <t>04.04.102.1</t>
  </si>
  <si>
    <t>04.04.102.4</t>
  </si>
  <si>
    <t>04.04.102.5</t>
  </si>
  <si>
    <t>04.04.102.6</t>
  </si>
  <si>
    <t>04.04.200</t>
  </si>
  <si>
    <t>EQUIPAMENTOS - PEC</t>
  </si>
  <si>
    <t>04.04.200.1</t>
  </si>
  <si>
    <t>04.04.200.2</t>
  </si>
  <si>
    <t>04.04.200.3</t>
  </si>
  <si>
    <t>04.04.200.4</t>
  </si>
  <si>
    <t>04.04.200.5</t>
  </si>
  <si>
    <t>04.04.200.6</t>
  </si>
  <si>
    <t>04.04.200.7</t>
  </si>
  <si>
    <t>04.04.200.8</t>
  </si>
  <si>
    <t>04.04.200.9</t>
  </si>
  <si>
    <t>04.04.200.10</t>
  </si>
  <si>
    <t>04.04.200.11</t>
  </si>
  <si>
    <t>04.04.200.12</t>
  </si>
  <si>
    <t>04.04.200.13</t>
  </si>
  <si>
    <t>04.04.200.14</t>
  </si>
  <si>
    <t>04.04.200.15</t>
  </si>
  <si>
    <t>04.04.200.16</t>
  </si>
  <si>
    <t xml:space="preserve">FORNECIMENTO DE PARABOLT DE 2.1/2" PARA FIXAÇÃO DE EQUIPAMENTOS </t>
  </si>
  <si>
    <t>REF: 02394/ORSE NOV 2021</t>
  </si>
  <si>
    <t>500KG/M3</t>
  </si>
  <si>
    <t>REF: 103186 SINAPI JAN 2022</t>
  </si>
  <si>
    <t>INSTALAÇÃO DE MULTIEXERCITADOR COM SEIS FUNÇÕES DISTINTAS - ESTAÇÃO SAÚDE - CONFORME ESPECIFICAÇÕES DE PROJETO.</t>
  </si>
  <si>
    <t>INSTALAÇÃO DE EQUIPAMENTO JOGO DE BARRA TRIPLO - PCR - CONFORME ESPECIFICAÇÕES DE PROJETO.</t>
  </si>
  <si>
    <t>EQUIPAMENTO JOGO DE BARRAS - PCR - CONFORME ESPECIFICAÇÕES DE PROJETO.</t>
  </si>
  <si>
    <t>INSTALAÇÃO DE EQUIPAMENTO BARRAS PARALELAS - PCR - CONFORME ESPECIFICAÇÕES DE PROJETO.</t>
  </si>
  <si>
    <t>EQUIPAMENTO BARRAS PARALELAS - PCR - CONFORME ESPECIFICAÇÕES DE PROJETO.</t>
  </si>
  <si>
    <t>COT - 04.010</t>
  </si>
  <si>
    <t>INSTALAÇÃO DE EQUIPAMENTO GIRO DE PUNHO - PCR - CONFORME ESPECIFICAÇÕES DE PROJETO.</t>
  </si>
  <si>
    <t>EQUIPAMENTO GIRO DE PUNHO - PCR - CONFORME ESPECIFICAÇÕES DE PROJETO</t>
  </si>
  <si>
    <t>COT - 04.011</t>
  </si>
  <si>
    <t>REF: 103189 SINAPI JAN 2022</t>
  </si>
  <si>
    <t>INSTALAÇÃO DE EQUIPAMENTO BICICLETA DE MÃO - PCR - CONFORME ESPECIFICAÇÕES DE PROJETO.</t>
  </si>
  <si>
    <t>COT - 04.012</t>
  </si>
  <si>
    <t>EQUIPAMENTO BICICLETA DE MÃO - PCR - CONFORME ESPECIFICAÇÕES DE PROJETO.</t>
  </si>
  <si>
    <t>INSTALAÇÃO DE EQUIPAMENTO SIMULADOR DE CAVALGADA TRIPLO- CONFORME ESPECIFICAÇÕES DE PROJETO.</t>
  </si>
  <si>
    <t>REF: 103188 SINAPI JAN 2022</t>
  </si>
  <si>
    <t>INSTALAÇÃO DE EQUIPAMENTO LEG PRESS TRIPLO - CONFORME ESPECIFICAÇÕES DE PROJETO.</t>
  </si>
  <si>
    <t>INSTALAÇÃO DE EQUIPAMENTO ESQUI TRIPLO - CONFORME ESPECIFICAÇÕES DE PROJETO.</t>
  </si>
  <si>
    <t>REF: 103185 SINAPI JAN 2022</t>
  </si>
  <si>
    <t>INSTALAÇÃO DE EQUIPAMENTO SIMULADOR DE REMO - CONFORME ESPECIFICAÇÕES DE PROJETO.</t>
  </si>
  <si>
    <t>INSTALAÇÃO DE EQUIPAMENTO BARRA ALTA GIRATÓRIA COM TRÊS ALTURAS - CONFORME ESPECIFICAÇÕES DE PROJETO.</t>
  </si>
  <si>
    <t>INSTALAÇÃO DE EQUIPAMENTO SIMULADOR DE CAMINHADA TRIPLO - CONFORME ESPECIFICAÇÕES DE PROJETO.</t>
  </si>
  <si>
    <t>REF: 103187 SINAPI JAN 2022</t>
  </si>
  <si>
    <t>INSTALAÇÃO DE EQUIPAMENTO ROTAÇÃO DIAGONAL - RODA DE OMBRO TRIPLA - CONFORME ESPECIFICAÇÕES DE PROJETO.</t>
  </si>
  <si>
    <t>INSTALAÇÃO DE EQUIPAMENTO ROTAÇÃO VERTICAL - RODA TRIPLA - CONFORME ESPECIFICAÇÕES DE PROJETO.</t>
  </si>
  <si>
    <t>EQUIPAMENTO ROTAÇÃO VERTICAL - RODA TRIPLA - CONFORME ESPECIFICAÇÕES DE PROJETO.</t>
  </si>
  <si>
    <t>INSTALAÇÃO DE EQUIPAMENTO TWIST LATERAL DUPLO - CONFORME ESPECIFICAÇÕES DE PROJETO.</t>
  </si>
  <si>
    <t>M0225</t>
  </si>
  <si>
    <t>ADUBO ORGÂNICO COMPOSTO</t>
  </si>
  <si>
    <t>ABERTURA E ADUBAÇÃO DE COVA COM 0,80M DE DIÂMETRO E 0,8M DE PROFUNDIDADE, PARA PLANTIO DE ÁRVORES</t>
  </si>
  <si>
    <t>ABERTURA E ADUBAÇÃO DE COVA COM 0,40M DE DIÂMETRO E 0,4M DE PROFUNDIDADE, PARA PLANTIO DE ARBUSTOS</t>
  </si>
  <si>
    <t>PLANTIO DE ERVAS MENOR OU IGUAL A 40CM</t>
  </si>
  <si>
    <t>TRANSPLANTE DE ARBUSTO COM ABERTURA E ADUBAÇÃO DE COVA COM 0,40M DE DIÂMETRO E 0,4M DE PROFUNDIDADE</t>
  </si>
  <si>
    <t>04.04.300.5</t>
  </si>
  <si>
    <t>04.04.300.6</t>
  </si>
  <si>
    <t>04.04.300.7</t>
  </si>
  <si>
    <t>04.04.300.8</t>
  </si>
  <si>
    <t>04.04.300.9</t>
  </si>
  <si>
    <t>GRELHA PRÉ-MOLDADA DE CONCRETO 50X40CM PARA CANALETA - FORNECIMENTO E INSTALAÇÃO</t>
  </si>
  <si>
    <t>REF: 09919/ORSE DEZ 2021</t>
  </si>
  <si>
    <t>GRELHA PRÉ-MOLDADA DE CONCRETO 50X40CM PARA CANALETA</t>
  </si>
  <si>
    <t>02.02.110</t>
  </si>
  <si>
    <t>FUNDAÇÕES E ESTRUTURAS DE CONCRETO</t>
  </si>
  <si>
    <t>02.02.110.1</t>
  </si>
  <si>
    <t>02.02.110.2</t>
  </si>
  <si>
    <t>02.02.140</t>
  </si>
  <si>
    <t>VEDAÇÕES</t>
  </si>
  <si>
    <t>02.02.140.1</t>
  </si>
  <si>
    <t>02.02.150</t>
  </si>
  <si>
    <t>02.02.150.1</t>
  </si>
  <si>
    <t>02.02.185</t>
  </si>
  <si>
    <t>02.02.185.1</t>
  </si>
  <si>
    <t>02.02.185.2</t>
  </si>
  <si>
    <t>02.02.185.3</t>
  </si>
  <si>
    <t>CCU - 02.011</t>
  </si>
  <si>
    <t>02.02.190</t>
  </si>
  <si>
    <t>02.02.190.1</t>
  </si>
  <si>
    <t>02.02.190.2</t>
  </si>
  <si>
    <t>02.02.190.3</t>
  </si>
  <si>
    <t>DEMOLIÇÃO DE PISOS/CALÇADAS, DE FORMA MECANIZADA COM MARTELETE, SEM REAPROVEITAMENTO</t>
  </si>
  <si>
    <t>REF: 97629 SINAPI JAN 2022</t>
  </si>
  <si>
    <t>EQUIPAMENTOS E MOBILIÁRIOS</t>
  </si>
  <si>
    <t>DEMOLIÇÃO DE BANCOS E CONCRETO, DE FORMA MECANIZADA COM MARTELETE, SEM REAPROVEITAMENTO</t>
  </si>
  <si>
    <t>REMOÇÃO DE LIXEIRAS</t>
  </si>
  <si>
    <t>REF: TEMPO ESTIMADO</t>
  </si>
  <si>
    <t>CCU - 02.012</t>
  </si>
  <si>
    <t>REF: 12947/ORSE JAN 2022</t>
  </si>
  <si>
    <t>REMOÇÃO DE TUBO GALVANIZADO, BITOLAS DIVERSAS</t>
  </si>
  <si>
    <t>CCU - 02.013</t>
  </si>
  <si>
    <t>TRYANON</t>
  </si>
  <si>
    <t>02.932.891/0001-40</t>
  </si>
  <si>
    <t>comercial@tryanon.ind.br</t>
  </si>
  <si>
    <t>(19) 99885-4746</t>
  </si>
  <si>
    <t>ZIOBER</t>
  </si>
  <si>
    <t>08.374.053/0001-84</t>
  </si>
  <si>
    <t>2 torres com 3 metros de altura por 1 mês - pergolados</t>
  </si>
  <si>
    <t>CONCRETAGEM DE BLOCOS DE COROAMENTO , FCK 25 MPA, LANÇAMENTO MANUAL, ADENSAMENTO E ACABAMENTO.</t>
  </si>
  <si>
    <t>LOCACAO DE CONTAINER 2,30  X  6,00 M, ALT. 2,50 M, PARA DEPÓSITO, SEM DIVISORIAS INTERNAS E SEM SANITARIO</t>
  </si>
  <si>
    <t>REF: 10776 SINAPI JANEIRO 2021</t>
  </si>
  <si>
    <t>CONSIDEROU-SE O GERADOR EM ATIVIDADE DURANTE A JORNADA DE TRABALHO ENTRE 08:00 AS 12:00 HS E DAS 13;00 AS 17:,00 HS E DAS 18:00 AS 06:00:00 HS PARA VIGILÂNCIA EM DIAS ÚTEIS, OU SEJA, 20 HS POR DIA
CONSIDEROU-SE O GERADOR EM ATIVIDADE DURANTE DAS 18:00 AS 06:00:00 HS PARA VIGILÂNCIA EM FINAIS DE SEMANA, 12 HS POR DIA</t>
  </si>
  <si>
    <t>FORNECIMENTO DE ÁGUA ATRAVÉS DE CAMINHÃO PIPA 10M3</t>
  </si>
  <si>
    <t>FORNECIMENTO DE ENERGIA ELETRICA ATRAVÉS DE GERADOR A GASOLINA 13CV</t>
  </si>
  <si>
    <t>PRÉ-MOLDADOS NOVA ESPERANÇA</t>
  </si>
  <si>
    <t>IVAN</t>
  </si>
  <si>
    <t>(61) 98596-6204</t>
  </si>
  <si>
    <t>Chi</t>
  </si>
  <si>
    <t>E9605-I</t>
  </si>
  <si>
    <t>E9028-P</t>
  </si>
  <si>
    <t>E9605-P</t>
  </si>
  <si>
    <t xml:space="preserve"> BOMBA DE ALTA PRESSÃO PARA HIDROJATEAMENTO COM CAPACIDADE DE 18 MPA - 5,20 KW</t>
  </si>
  <si>
    <t xml:space="preserve"> CAMINHÃO TANQUE COM CAPACIDADE DE 6.000 L - 136 KW</t>
  </si>
  <si>
    <t>REF: 3806402 SICRO OUTUBRO 2021</t>
  </si>
  <si>
    <t>PRODUÇÃO DA EQUIPE 56,27 M2</t>
  </si>
  <si>
    <t>ÁREA DE PISO EM CONCRETO</t>
  </si>
  <si>
    <t>120 DIAS CORRIDOS</t>
  </si>
  <si>
    <t>014.01/2022-SEORÇA: Orçamento .........................................................................................................</t>
  </si>
  <si>
    <t>JAN - 09</t>
  </si>
  <si>
    <t>FEV - 09</t>
  </si>
  <si>
    <t>MAR - 09</t>
  </si>
  <si>
    <t>ABR - 09</t>
  </si>
  <si>
    <t>MAI - 09</t>
  </si>
  <si>
    <t>JUN - 09</t>
  </si>
  <si>
    <t>JUL - 09</t>
  </si>
  <si>
    <t>AGO - 09</t>
  </si>
  <si>
    <t>SET - 09</t>
  </si>
  <si>
    <t>OUT - 09</t>
  </si>
  <si>
    <t>NOV - 09</t>
  </si>
  <si>
    <t>DEZ - 09</t>
  </si>
  <si>
    <t>JAN - 10</t>
  </si>
  <si>
    <t>FEV - 10</t>
  </si>
  <si>
    <t>MAR - 10</t>
  </si>
  <si>
    <t>ABR - 10</t>
  </si>
  <si>
    <t>MAI - 10</t>
  </si>
  <si>
    <t>JUN - 10</t>
  </si>
  <si>
    <t>JUL - 10</t>
  </si>
  <si>
    <t>AGO - 10</t>
  </si>
  <si>
    <t>SET - 10</t>
  </si>
  <si>
    <t>OUT - 10</t>
  </si>
  <si>
    <t>NOV - 10</t>
  </si>
  <si>
    <t>DEZ - 10</t>
  </si>
  <si>
    <t>JAN - 11</t>
  </si>
  <si>
    <t>FEV - 11</t>
  </si>
  <si>
    <t>MAR - 11</t>
  </si>
  <si>
    <t>ABR - 11</t>
  </si>
  <si>
    <t>MAI - 11</t>
  </si>
  <si>
    <t>JUN - 11</t>
  </si>
  <si>
    <t>JUL - 11</t>
  </si>
  <si>
    <t>AGO - 11</t>
  </si>
  <si>
    <t>SET - 11</t>
  </si>
  <si>
    <t>OUT - 11</t>
  </si>
  <si>
    <t>NOV - 11</t>
  </si>
  <si>
    <t>DEZ - 11</t>
  </si>
  <si>
    <t>JAN - 12</t>
  </si>
  <si>
    <t>FEV - 12</t>
  </si>
  <si>
    <t>MAR - 12</t>
  </si>
  <si>
    <t>ABR - 12</t>
  </si>
  <si>
    <t>MAI - 12</t>
  </si>
  <si>
    <t>JUN - 12</t>
  </si>
  <si>
    <t>JUL - 12</t>
  </si>
  <si>
    <t>AGO - 12</t>
  </si>
  <si>
    <t>SET - 12</t>
  </si>
  <si>
    <t>OUT - 12</t>
  </si>
  <si>
    <t>NOV - 12</t>
  </si>
  <si>
    <t>DEZ - 12</t>
  </si>
  <si>
    <t>JAN - 13</t>
  </si>
  <si>
    <t>FEV - 13</t>
  </si>
  <si>
    <t>MAR - 13</t>
  </si>
  <si>
    <t>ABR - 13</t>
  </si>
  <si>
    <t>MAI - 13</t>
  </si>
  <si>
    <t>JUN - 13</t>
  </si>
  <si>
    <t>JUL - 13</t>
  </si>
  <si>
    <t>AGO - 13</t>
  </si>
  <si>
    <t>SET - 13</t>
  </si>
  <si>
    <t>OUT-13</t>
  </si>
  <si>
    <t>NOV-13</t>
  </si>
  <si>
    <t>DEZ-13</t>
  </si>
  <si>
    <t>JAN-14</t>
  </si>
  <si>
    <t>FEV-14</t>
  </si>
  <si>
    <t>MAR-14</t>
  </si>
  <si>
    <t>ABR-14</t>
  </si>
  <si>
    <t>MAI-14</t>
  </si>
  <si>
    <t>JUN-14</t>
  </si>
  <si>
    <t>JUL-14</t>
  </si>
  <si>
    <t>AGO-14</t>
  </si>
  <si>
    <t>SET-14</t>
  </si>
  <si>
    <t>OUT-14</t>
  </si>
  <si>
    <t>NOV-14</t>
  </si>
  <si>
    <t>DEZ-14</t>
  </si>
  <si>
    <t>JAN-15</t>
  </si>
  <si>
    <t>FEV-15</t>
  </si>
  <si>
    <t>MAR-15</t>
  </si>
  <si>
    <t>ABR-15</t>
  </si>
  <si>
    <t>MAI-15</t>
  </si>
  <si>
    <t>JUN-15</t>
  </si>
  <si>
    <t>JUL-15</t>
  </si>
  <si>
    <t>AGO-15</t>
  </si>
  <si>
    <t>SET-15</t>
  </si>
  <si>
    <t>OUT-15</t>
  </si>
  <si>
    <t>NOV-15</t>
  </si>
  <si>
    <t>DEZ-15</t>
  </si>
  <si>
    <t>JAN-16</t>
  </si>
  <si>
    <t>FEV-16</t>
  </si>
  <si>
    <t>MAR-16</t>
  </si>
  <si>
    <t>ABR-16</t>
  </si>
  <si>
    <t>MAI-16</t>
  </si>
  <si>
    <t>JUN-16</t>
  </si>
  <si>
    <t>JUL-16</t>
  </si>
  <si>
    <t>AGO-16</t>
  </si>
  <si>
    <t>SET-16</t>
  </si>
  <si>
    <t>OUT-16</t>
  </si>
  <si>
    <t>NOV-16</t>
  </si>
  <si>
    <t>DEZ-16</t>
  </si>
  <si>
    <t>JAN-17</t>
  </si>
  <si>
    <t>FEV-17</t>
  </si>
  <si>
    <t>MAR-17</t>
  </si>
  <si>
    <t>ABR-17</t>
  </si>
  <si>
    <t>MAI-17</t>
  </si>
  <si>
    <t>JUN-17</t>
  </si>
  <si>
    <t>JUL-17</t>
  </si>
  <si>
    <t>AGO-17</t>
  </si>
  <si>
    <t>SET-17</t>
  </si>
  <si>
    <t>OUT-17</t>
  </si>
  <si>
    <t>NOV-17</t>
  </si>
  <si>
    <t>DEZ-17</t>
  </si>
  <si>
    <t>JAN-18</t>
  </si>
  <si>
    <t>FEV-18</t>
  </si>
  <si>
    <t>MAR-18</t>
  </si>
  <si>
    <t>ABR-18</t>
  </si>
  <si>
    <t>MAI-18</t>
  </si>
  <si>
    <t>JUN-18</t>
  </si>
  <si>
    <t>JUL-18</t>
  </si>
  <si>
    <t>AGO-18</t>
  </si>
  <si>
    <t>SET-18</t>
  </si>
  <si>
    <t>OUT-18</t>
  </si>
  <si>
    <t>NOV-18</t>
  </si>
  <si>
    <t>DEZ-18</t>
  </si>
  <si>
    <t>JAN-19</t>
  </si>
  <si>
    <t>FEV-19</t>
  </si>
  <si>
    <t>MAR-19</t>
  </si>
  <si>
    <t>ABR-19</t>
  </si>
  <si>
    <t>MAI-19</t>
  </si>
  <si>
    <t>JUN-19</t>
  </si>
  <si>
    <t>JUL-19</t>
  </si>
  <si>
    <t>AGO-19</t>
  </si>
  <si>
    <t>SET-19</t>
  </si>
  <si>
    <t>OUT-19</t>
  </si>
  <si>
    <t>NOV-19</t>
  </si>
  <si>
    <t>DEZ-19</t>
  </si>
  <si>
    <t>OUT-20</t>
  </si>
  <si>
    <t>NOV-20</t>
  </si>
  <si>
    <t>DEZ-20</t>
  </si>
  <si>
    <t>JAN-21</t>
  </si>
  <si>
    <t>FEV-21</t>
  </si>
  <si>
    <t>MAR-21</t>
  </si>
  <si>
    <t>ABR-21</t>
  </si>
  <si>
    <t>MAI-21</t>
  </si>
  <si>
    <t>JUN-21</t>
  </si>
  <si>
    <t>JUL-21</t>
  </si>
  <si>
    <t>AGO-21</t>
  </si>
  <si>
    <t>SET-21</t>
  </si>
  <si>
    <t>OUT-21</t>
  </si>
  <si>
    <t>NOV-21</t>
  </si>
  <si>
    <t>DEZ-21</t>
  </si>
  <si>
    <t>JAN-22</t>
  </si>
  <si>
    <t>FEV-22</t>
  </si>
  <si>
    <t>MAR-22</t>
  </si>
  <si>
    <t>ABR-22</t>
  </si>
  <si>
    <t>MAI-22</t>
  </si>
  <si>
    <t>JUN-22</t>
  </si>
  <si>
    <t>JUL-22</t>
  </si>
  <si>
    <t>AGO-22</t>
  </si>
  <si>
    <t>SET-22</t>
  </si>
  <si>
    <t>OUT-22</t>
  </si>
  <si>
    <t>NOV-22</t>
  </si>
  <si>
    <t>DEZ-22</t>
  </si>
  <si>
    <t>JAN-23</t>
  </si>
  <si>
    <t>FEV-23</t>
  </si>
  <si>
    <t>MAR-23</t>
  </si>
  <si>
    <t>ABR-23</t>
  </si>
  <si>
    <t>MAIO-23</t>
  </si>
  <si>
    <t>JUN-23</t>
  </si>
  <si>
    <t>JUL-23</t>
  </si>
  <si>
    <t>AGO-23</t>
  </si>
  <si>
    <t>SET-23</t>
  </si>
  <si>
    <t>OUT-23</t>
  </si>
  <si>
    <t>JAN18 A JUN21</t>
  </si>
  <si>
    <t>AGO20 A JUN21</t>
  </si>
  <si>
    <t>JAN19 A JUN21</t>
  </si>
  <si>
    <t>JUN21 A OUT22</t>
  </si>
  <si>
    <t>SITE PARA PESQUISA INDICE</t>
  </si>
  <si>
    <t>https://sindusconpr.com.br/incc-di-fgv-310-p</t>
  </si>
  <si>
    <t>JAN22 A OUT23</t>
  </si>
  <si>
    <t>GRAVIA</t>
  </si>
  <si>
    <t>gravia.com</t>
  </si>
  <si>
    <t>26.487.744/0001-76</t>
  </si>
  <si>
    <t>(61) 3403-0403</t>
  </si>
  <si>
    <t>LEROY MERLIN</t>
  </si>
  <si>
    <t>leroymerlin.com.br</t>
  </si>
  <si>
    <t>01.438.4784/0048-60</t>
  </si>
  <si>
    <t>(11) 4020-5376</t>
  </si>
  <si>
    <t>LOJA MERC</t>
  </si>
  <si>
    <t>lojamerc.com.br</t>
  </si>
  <si>
    <t>08.760.238/0001-71</t>
  </si>
  <si>
    <t>(11( 96989-4902</t>
  </si>
  <si>
    <t>ECOPEX</t>
  </si>
  <si>
    <t>AYLTON</t>
  </si>
  <si>
    <t>BÁRBARA</t>
  </si>
  <si>
    <t>18.431.175/0001-19</t>
  </si>
  <si>
    <t>44 8808-7079</t>
  </si>
  <si>
    <t>(11) 4181-1103</t>
  </si>
  <si>
    <t>P - 04.009 - M</t>
  </si>
  <si>
    <t>P - 04.009.1 - M</t>
  </si>
  <si>
    <t>P - 04.009.2 - M</t>
  </si>
  <si>
    <t>SÓ ENTULHOS</t>
  </si>
  <si>
    <t>FERRO VELHO DO AMIGÃO</t>
  </si>
  <si>
    <t>CAROL</t>
  </si>
  <si>
    <t>THAIS</t>
  </si>
  <si>
    <t>JÉSSICA</t>
  </si>
  <si>
    <t>40.823.507/0001-60</t>
  </si>
  <si>
    <t>33.631.095/0001-09</t>
  </si>
  <si>
    <t>61 9854-8067</t>
  </si>
  <si>
    <t>61 9929-8899</t>
  </si>
  <si>
    <t>(61) 9 9308-3067</t>
  </si>
  <si>
    <t>P - 09.001.2 - M</t>
  </si>
  <si>
    <t>P - 09.001 - M</t>
  </si>
  <si>
    <t>P - 09.001.1 - M</t>
  </si>
  <si>
    <t>SC CÓPIAS</t>
  </si>
  <si>
    <t>sccopias.com.br</t>
  </si>
  <si>
    <t>03.367.127/0002-12</t>
  </si>
  <si>
    <t>61 9256-1035</t>
  </si>
  <si>
    <t>(11) 4229-4712</t>
  </si>
  <si>
    <t>61 8165-5121</t>
  </si>
  <si>
    <t>P - 09.002 - M</t>
  </si>
  <si>
    <t>P - 09.002.2 - M</t>
  </si>
  <si>
    <t>P - 09.002.1 - M</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</si>
  <si>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</si>
  <si>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</si>
  <si>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</si>
  <si>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</si>
  <si>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</si>
  <si>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</si>
  <si>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</si>
  <si>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</si>
  <si>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</si>
  <si>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</si>
  <si>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</si>
  <si>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</si>
  <si>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</si>
  <si>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</si>
  <si>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</si>
  <si>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</si>
  <si>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</si>
  <si>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</si>
  <si>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</si>
  <si>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</si>
  <si>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</si>
  <si>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</si>
  <si>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</si>
  <si>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</si>
  <si>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</si>
  <si>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</si>
  <si>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</si>
  <si>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</si>
  <si>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</si>
  <si>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</si>
  <si>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</si>
  <si>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</si>
  <si>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</si>
  <si>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</si>
  <si>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</si>
  <si>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</si>
  <si>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</si>
  <si>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</si>
  <si>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</si>
  <si>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</si>
  <si>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</si>
  <si>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</si>
  <si>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</si>
  <si>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</si>
  <si>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</si>
  <si>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</si>
  <si>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</si>
  <si>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</si>
  <si>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</si>
  <si>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</si>
  <si>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</si>
  <si>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</si>
  <si>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</si>
  <si>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</si>
  <si>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</si>
  <si>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</si>
  <si>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</si>
  <si>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</si>
  <si>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</si>
  <si>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</si>
  <si>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</si>
  <si>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</si>
  <si>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</si>
  <si>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</si>
  <si>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</si>
  <si>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</si>
  <si>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</si>
  <si>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</si>
  <si>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</si>
  <si>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</si>
  <si>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</si>
  <si>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</si>
  <si>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</si>
  <si>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</si>
  <si>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</si>
  <si>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</si>
  <si>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</si>
  <si>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</si>
  <si>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</si>
  <si>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</si>
  <si>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</si>
  <si>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</si>
  <si>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</si>
  <si>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</si>
  <si>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</si>
  <si>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</si>
  <si>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</si>
  <si>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</si>
  <si>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</si>
  <si>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</si>
  <si>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</si>
  <si>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</si>
  <si>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</si>
  <si>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</si>
  <si>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</si>
  <si>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</si>
  <si>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</si>
  <si>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</si>
  <si>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</si>
  <si>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</si>
  <si>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</si>
  <si>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</si>
  <si>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</si>
  <si>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</si>
  <si>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</si>
  <si>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</si>
  <si>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</si>
  <si>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</si>
  <si>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</si>
  <si>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</si>
  <si>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</si>
  <si>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</si>
  <si>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</si>
  <si>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</si>
  <si>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</si>
  <si>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</si>
  <si>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</si>
  <si>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</si>
  <si>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</si>
  <si>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</si>
  <si>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</si>
  <si>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</si>
  <si>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</si>
  <si>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</si>
  <si>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</si>
  <si>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</si>
  <si>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</si>
  <si>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</si>
  <si>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LAVADORA DE ALTA PRESSAO (LAVA-JATO) PARA AGUA FRIA, PRESSAO DE OPERACAO ENTRE 1400 E 1900 LIB/POL2, VAZAO MAXIMA ENTRE 400 E 700 L/H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</si>
  <si>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</si>
  <si>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</si>
  <si>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</si>
  <si>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</si>
  <si>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</si>
  <si>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</si>
  <si>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</si>
  <si>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</si>
  <si>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</si>
  <si>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</si>
  <si>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</si>
  <si>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</si>
  <si>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</si>
  <si>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</si>
  <si>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</si>
  <si>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</si>
  <si>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</si>
  <si>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</si>
  <si>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</si>
  <si>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</si>
  <si>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</si>
  <si>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</si>
  <si>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</si>
  <si>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</si>
  <si>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</si>
  <si>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</si>
  <si>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</si>
  <si>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</si>
  <si>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LAVADORA DE ALTA PRESSAO (LAVA-JATO) PARA AGUA FRIA, PRESSAO DE OPERACAO ENTRE 1400 E 1900 LIB/POL2, VAZAO MAXIMA ENTRE 400 E 700 L/H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</si>
  <si>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</si>
  <si>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</si>
  <si>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</si>
  <si>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</si>
  <si>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</si>
  <si>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</si>
  <si>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</si>
  <si>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</si>
  <si>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</si>
  <si>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</si>
  <si>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</si>
  <si>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</si>
  <si>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</si>
  <si>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</si>
  <si>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</si>
  <si>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</si>
  <si>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</si>
  <si>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</si>
  <si>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</si>
  <si>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</si>
  <si>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</si>
  <si>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</si>
  <si>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</si>
  <si>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</si>
  <si>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</si>
  <si>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</si>
  <si>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</si>
  <si>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</si>
  <si>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</si>
  <si>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</si>
  <si>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</si>
  <si>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</si>
  <si>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</si>
  <si>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</si>
  <si>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</si>
  <si>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</si>
  <si>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</si>
  <si>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</si>
  <si>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</si>
  <si>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</si>
  <si>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</si>
  <si>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</si>
  <si>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</si>
  <si>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</si>
  <si>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</si>
  <si>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</si>
  <si>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</si>
  <si>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</si>
  <si>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</si>
  <si>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</si>
  <si>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</si>
  <si>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</si>
  <si>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</si>
  <si>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</si>
  <si>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</si>
  <si>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</si>
  <si>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</si>
  <si>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</si>
  <si>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</si>
  <si>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</si>
  <si>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</si>
  <si>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</si>
  <si>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</si>
  <si>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</si>
  <si>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</si>
  <si>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</si>
  <si>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</si>
  <si>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</si>
  <si>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</si>
  <si>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</si>
  <si>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</si>
  <si>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</si>
  <si>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</si>
  <si>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</si>
  <si>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</si>
  <si>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</si>
  <si>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</si>
  <si>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</si>
  <si>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</si>
  <si>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</si>
  <si>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</si>
  <si>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</si>
  <si>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</si>
  <si>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</si>
  <si>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</si>
  <si>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</si>
  <si>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</si>
  <si>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</si>
  <si>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</si>
  <si>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</si>
  <si>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</si>
  <si>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</si>
  <si>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</si>
  <si>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</si>
  <si>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</si>
  <si>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</si>
  <si>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</si>
  <si>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</si>
  <si>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</si>
  <si>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</si>
  <si>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</si>
  <si>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</si>
  <si>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</si>
  <si>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</si>
  <si>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</si>
  <si>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</si>
  <si>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</si>
  <si>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</si>
  <si>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</si>
  <si>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</si>
  <si>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</si>
  <si>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</si>
  <si>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</si>
  <si>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</si>
  <si>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</si>
  <si>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</si>
  <si>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</si>
  <si>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</si>
  <si>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</si>
  <si>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</si>
  <si>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</si>
  <si>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</si>
  <si>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</si>
  <si>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</si>
  <si>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</si>
  <si>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</si>
  <si>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</si>
  <si>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</si>
  <si>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</si>
  <si>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</si>
  <si>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</si>
  <si>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</si>
  <si>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</si>
  <si>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</si>
  <si>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</si>
  <si>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</si>
  <si>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</si>
  <si>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</si>
  <si>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</si>
  <si>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</si>
  <si>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</si>
  <si>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</si>
  <si>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</si>
  <si>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</si>
  <si>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</si>
  <si>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</si>
  <si>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</si>
  <si>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</si>
  <si>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</si>
  <si>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</si>
  <si>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</si>
  <si>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</si>
  <si>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</si>
  <si>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</si>
  <si>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</si>
  <si>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</si>
  <si>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</si>
  <si>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</si>
  <si>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</si>
  <si>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</si>
  <si>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</si>
  <si>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</si>
  <si>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</si>
  <si>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</si>
  <si>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</si>
  <si>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</si>
  <si>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</si>
  <si>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</si>
  <si>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</si>
  <si>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</si>
  <si>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</si>
  <si>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</si>
  <si>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</si>
  <si>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</si>
  <si>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</si>
  <si>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</si>
  <si>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</si>
  <si>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</si>
  <si>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</si>
  <si>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</si>
  <si>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</si>
  <si>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</si>
  <si>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</si>
  <si>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</si>
  <si>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</si>
  <si>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</si>
  <si>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</si>
  <si>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</si>
  <si>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</si>
  <si>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</si>
  <si>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</si>
  <si>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</si>
  <si>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</si>
  <si>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</si>
  <si>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</si>
  <si>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</si>
  <si>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</si>
  <si>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</si>
  <si>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</si>
  <si>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</si>
  <si>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</si>
  <si>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</si>
  <si>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</si>
  <si>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</si>
  <si>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</si>
  <si>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</si>
  <si>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</si>
  <si>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</si>
  <si>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</si>
  <si>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</si>
  <si>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</si>
  <si>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</si>
  <si>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</si>
  <si>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</si>
  <si>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</si>
  <si>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</si>
  <si>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</si>
  <si>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</si>
  <si>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</si>
  <si>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</si>
  <si>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</si>
  <si>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</si>
  <si>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</si>
  <si>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</si>
  <si>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</si>
  <si>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DUPLA RETANGULAR, EM CONCRETO PRÉ-MOLDADO, DIMENSÕES INTERNAS: 0,5X2,2X1,0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</si>
  <si>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</si>
  <si>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</si>
  <si>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</si>
  <si>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</si>
  <si>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</si>
  <si>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</si>
  <si>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</si>
  <si>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</si>
  <si>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</si>
  <si>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</si>
  <si>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</si>
  <si>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</si>
  <si>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</si>
  <si>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</si>
  <si>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</si>
  <si>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</si>
  <si>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</si>
  <si>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</si>
  <si>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</si>
  <si>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</si>
  <si>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</si>
  <si>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</si>
  <si>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</si>
  <si>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</si>
  <si>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</si>
  <si>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</si>
  <si>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</si>
  <si>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</si>
  <si>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</si>
  <si>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</si>
  <si>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</si>
  <si>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</si>
  <si>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</si>
  <si>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</si>
  <si>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</si>
  <si>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</si>
  <si>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</si>
  <si>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</si>
  <si>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</si>
  <si>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</si>
  <si>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</si>
  <si>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</si>
  <si>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</si>
  <si>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</si>
  <si>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</si>
  <si>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</si>
  <si>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</si>
  <si>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</si>
  <si>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</si>
  <si>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</si>
  <si>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</si>
  <si>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</si>
  <si>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</si>
  <si>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</si>
  <si>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</si>
  <si>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</si>
  <si>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</si>
  <si>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</si>
  <si>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</si>
  <si>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</si>
  <si>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</si>
  <si>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</si>
  <si>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</si>
  <si>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</si>
  <si>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</si>
  <si>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</si>
  <si>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</si>
  <si>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</si>
  <si>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</si>
  <si>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</si>
  <si>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</si>
  <si>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</si>
  <si>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</si>
  <si>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</si>
  <si>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</si>
  <si>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</si>
  <si>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</si>
  <si>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</si>
  <si>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</si>
  <si>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</si>
  <si>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</si>
  <si>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</si>
  <si>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</si>
  <si>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</si>
  <si>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</si>
  <si>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</si>
  <si>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</si>
  <si>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</si>
  <si>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</si>
  <si>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</si>
  <si>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</si>
  <si>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</si>
  <si>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</si>
  <si>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</si>
  <si>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</si>
  <si>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</si>
  <si>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</si>
  <si>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</si>
  <si>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</si>
  <si>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</si>
  <si>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</si>
  <si>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</si>
  <si>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</si>
  <si>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</si>
  <si>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</si>
  <si>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</si>
  <si>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</si>
  <si>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</si>
  <si>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</si>
  <si>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</si>
  <si>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</si>
  <si>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</si>
  <si>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</si>
  <si>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</si>
  <si>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</si>
  <si>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</si>
  <si>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</si>
  <si>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</si>
  <si>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</si>
  <si>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</si>
  <si>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</si>
  <si>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</si>
  <si>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</si>
  <si>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</si>
  <si>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</si>
  <si>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</si>
  <si>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</si>
  <si>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</si>
  <si>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</si>
  <si>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</si>
  <si>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</si>
  <si>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</si>
  <si>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</si>
  <si>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</si>
  <si>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</si>
  <si>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</si>
  <si>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</si>
  <si>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</si>
  <si>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</si>
  <si>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</si>
  <si>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</si>
  <si>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</si>
  <si>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</si>
  <si>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</si>
  <si>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</si>
  <si>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</si>
  <si>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</si>
  <si>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</si>
  <si>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</si>
  <si>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</si>
  <si>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</si>
  <si>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</si>
  <si>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</si>
  <si>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</si>
  <si>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</si>
  <si>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</si>
  <si>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</si>
  <si>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</si>
  <si>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</si>
  <si>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</si>
  <si>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</si>
  <si>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</si>
  <si>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</si>
  <si>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</si>
  <si>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</si>
  <si>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</si>
  <si>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</si>
  <si>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</si>
  <si>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</si>
  <si>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</si>
  <si>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</si>
  <si>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</si>
  <si>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</si>
  <si>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</si>
  <si>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</si>
  <si>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</si>
  <si>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</si>
  <si>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</si>
  <si>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</si>
  <si>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</si>
  <si>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</si>
  <si>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</si>
  <si>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</si>
  <si>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</si>
  <si>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</si>
  <si>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</si>
  <si>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</si>
  <si>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</si>
  <si>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</si>
  <si>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</si>
  <si>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</si>
  <si>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</si>
  <si>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</si>
  <si>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</si>
  <si>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</si>
  <si>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</si>
  <si>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</si>
  <si>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</si>
  <si>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</si>
  <si>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</si>
  <si>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</si>
  <si>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</si>
  <si>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</si>
  <si>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</si>
  <si>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</si>
  <si>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</si>
  <si>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</si>
  <si>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</si>
  <si>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</si>
  <si>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</si>
  <si>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MADEIRA SERRADA, E=25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</si>
  <si>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</si>
  <si>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</si>
  <si>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</si>
  <si>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</si>
  <si>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</si>
  <si>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</si>
  <si>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</si>
  <si>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</si>
  <si>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</si>
  <si>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</si>
  <si>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</si>
  <si>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</si>
  <si>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</si>
  <si>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</si>
  <si>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</si>
  <si>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</si>
  <si>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</si>
  <si>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</si>
  <si>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</si>
  <si>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</si>
  <si>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</si>
  <si>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</si>
  <si>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</si>
  <si>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</si>
  <si>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</si>
  <si>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</si>
  <si>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</si>
  <si>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</si>
  <si>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</si>
  <si>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</si>
  <si>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</si>
  <si>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</si>
  <si>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</si>
  <si>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</si>
  <si>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</si>
  <si>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</si>
  <si>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</si>
  <si>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</si>
  <si>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</si>
  <si>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</si>
  <si>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</si>
  <si>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</si>
  <si>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</si>
  <si>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</si>
  <si>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</si>
  <si>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</si>
  <si>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</si>
  <si>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</si>
  <si>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</si>
  <si>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</si>
  <si>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</si>
  <si>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</si>
  <si>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</si>
  <si>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</si>
  <si>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</si>
  <si>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</si>
  <si>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</si>
  <si>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</si>
  <si>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</si>
  <si>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</si>
  <si>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</si>
  <si>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</si>
  <si>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</si>
  <si>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</si>
  <si>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</si>
  <si>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</si>
  <si>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</si>
  <si>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</si>
  <si>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</si>
  <si>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BLOCO UTILIZANDO AÇO CA-50 DE 6,3 MM - MONTAGEM. AF_01/2024</t>
  </si>
  <si>
    <t>ARMAÇÃO DE BLOCO UTILIZANDO AÇO CA-50 DE 8 MM - MONTAGEM. AF_01/2024</t>
  </si>
  <si>
    <t>ARMAÇÃO DE BLOCO UTILIZANDO AÇO CA-50 DE 10 MM - MONTAGEM. AF_01/2024</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</si>
  <si>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</si>
  <si>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</si>
  <si>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</si>
  <si>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</si>
  <si>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</si>
  <si>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</si>
  <si>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</si>
  <si>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</si>
  <si>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</si>
  <si>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</si>
  <si>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</si>
  <si>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</si>
  <si>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</si>
  <si>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</si>
  <si>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</si>
  <si>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</si>
  <si>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</si>
  <si>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</si>
  <si>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</si>
  <si>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</si>
  <si>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</si>
  <si>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</si>
  <si>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</si>
  <si>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</si>
  <si>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</si>
  <si>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</si>
  <si>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</si>
  <si>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</si>
  <si>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</si>
  <si>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</si>
  <si>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</si>
  <si>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</si>
  <si>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</si>
  <si>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</si>
  <si>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</si>
  <si>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</si>
  <si>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</si>
  <si>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</si>
  <si>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</si>
  <si>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</si>
  <si>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</si>
  <si>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</si>
  <si>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</si>
  <si>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</si>
  <si>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</si>
  <si>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</si>
  <si>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</si>
  <si>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</si>
  <si>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</si>
  <si>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</si>
  <si>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</si>
  <si>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</si>
  <si>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</si>
  <si>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</si>
  <si>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</si>
  <si>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</si>
  <si>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</si>
  <si>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</si>
  <si>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</si>
  <si>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</si>
  <si>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</si>
  <si>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</si>
  <si>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</si>
  <si>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</si>
  <si>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</si>
  <si>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</si>
  <si>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</si>
  <si>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</si>
  <si>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</si>
  <si>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</si>
  <si>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</si>
  <si>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</si>
  <si>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</si>
  <si>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</si>
  <si>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</si>
  <si>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</si>
  <si>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</si>
  <si>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</si>
  <si>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</si>
  <si>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</si>
  <si>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</si>
  <si>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</si>
  <si>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30 A 100 LITROS, TAXA DE AÇO APROXIMADA DE 30KG/M³. AF_03/2024</t>
  </si>
  <si>
    <t>PEÇA CIRCULAR PRÉ-MOLDADA, VOLUME DE CONCRETO ACIMA DE 100 LITROS, TAXA DE AÇO APROXIMADA DE 30KG/M³. AF_03/2024</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</si>
  <si>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</si>
  <si>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</si>
  <si>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</si>
  <si>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</si>
  <si>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</si>
  <si>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</si>
  <si>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</si>
  <si>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</si>
  <si>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</si>
  <si>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</si>
  <si>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</si>
  <si>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</si>
  <si>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</si>
  <si>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</si>
  <si>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</si>
  <si>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</si>
  <si>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</si>
  <si>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</si>
  <si>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</si>
  <si>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</si>
  <si>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</si>
  <si>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</si>
  <si>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</si>
  <si>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</si>
  <si>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</si>
  <si>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</si>
  <si>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</si>
  <si>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</si>
  <si>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</si>
  <si>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</si>
  <si>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</si>
  <si>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</si>
  <si>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</si>
  <si>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</si>
  <si>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</si>
  <si>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</si>
  <si>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</si>
  <si>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</si>
  <si>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</si>
  <si>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</si>
  <si>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</si>
  <si>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</si>
  <si>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</si>
  <si>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</si>
  <si>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</si>
  <si>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</si>
  <si>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</si>
  <si>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</si>
  <si>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</si>
  <si>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</si>
  <si>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</si>
  <si>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</si>
  <si>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</si>
  <si>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</si>
  <si>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</si>
  <si>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</si>
  <si>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</si>
  <si>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</si>
  <si>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</si>
  <si>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</si>
  <si>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</si>
  <si>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</si>
  <si>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</si>
  <si>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</si>
  <si>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</si>
  <si>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</si>
  <si>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</si>
  <si>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</si>
  <si>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</si>
  <si>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</si>
  <si>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</si>
  <si>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</si>
  <si>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</si>
  <si>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</si>
  <si>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</si>
  <si>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</si>
  <si>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</si>
  <si>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</si>
  <si>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</si>
  <si>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</si>
  <si>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</si>
  <si>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</si>
  <si>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</si>
  <si>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</si>
  <si>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</si>
  <si>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</si>
  <si>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</si>
  <si>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</si>
  <si>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</si>
  <si>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</si>
  <si>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</si>
  <si>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</si>
  <si>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</si>
  <si>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</si>
  <si>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</si>
  <si>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</si>
  <si>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</si>
  <si>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</si>
  <si>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</si>
  <si>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</si>
  <si>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</si>
  <si>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</si>
  <si>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</si>
  <si>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</si>
  <si>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</si>
  <si>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</si>
  <si>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</si>
  <si>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</si>
  <si>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</si>
  <si>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</si>
  <si>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</si>
  <si>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</si>
  <si>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</si>
  <si>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</si>
  <si>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</si>
  <si>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</si>
  <si>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</si>
  <si>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</si>
  <si>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</si>
  <si>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</si>
  <si>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</si>
  <si>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</si>
  <si>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</si>
  <si>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</si>
  <si>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</si>
  <si>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</si>
  <si>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</si>
  <si>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</si>
  <si>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</si>
  <si>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</si>
  <si>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</si>
  <si>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</si>
  <si>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</si>
  <si>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</si>
  <si>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</si>
  <si>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</si>
  <si>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</si>
  <si>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</si>
  <si>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</si>
  <si>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</si>
  <si>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</si>
  <si>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</si>
  <si>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</si>
  <si>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</si>
  <si>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</si>
  <si>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</si>
  <si>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</si>
  <si>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</si>
  <si>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</si>
  <si>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</si>
  <si>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</si>
  <si>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</si>
  <si>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</si>
  <si>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</si>
  <si>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</si>
  <si>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</si>
  <si>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</si>
  <si>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</si>
  <si>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</si>
  <si>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</si>
  <si>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</si>
  <si>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</si>
  <si>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</si>
  <si>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</si>
  <si>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</si>
  <si>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</si>
  <si>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</si>
  <si>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</si>
  <si>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</si>
  <si>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</si>
  <si>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</si>
  <si>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</si>
  <si>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</si>
  <si>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</si>
  <si>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</si>
  <si>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</si>
  <si>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</si>
  <si>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</si>
  <si>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</si>
  <si>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</si>
  <si>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</si>
  <si>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</si>
  <si>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</si>
  <si>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</si>
  <si>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</si>
  <si>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</si>
  <si>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</si>
  <si>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</si>
  <si>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</si>
  <si>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</si>
  <si>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</si>
  <si>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</si>
  <si>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</si>
  <si>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</si>
  <si>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</si>
  <si>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</si>
  <si>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</si>
  <si>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</si>
  <si>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</si>
  <si>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</si>
  <si>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</si>
  <si>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</si>
  <si>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</si>
  <si>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</si>
  <si>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</si>
  <si>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</si>
  <si>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</si>
  <si>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</si>
  <si>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</si>
  <si>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</si>
  <si>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</si>
  <si>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</si>
  <si>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</si>
  <si>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</si>
  <si>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</si>
  <si>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</si>
  <si>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</si>
  <si>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</si>
  <si>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</si>
  <si>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</si>
  <si>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</si>
  <si>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</si>
  <si>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</si>
  <si>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</si>
  <si>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</si>
  <si>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</si>
  <si>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</si>
  <si>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</si>
  <si>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</si>
  <si>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</si>
  <si>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</si>
  <si>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</si>
  <si>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</si>
  <si>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</si>
  <si>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</si>
  <si>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</si>
  <si>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</si>
  <si>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</si>
  <si>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</si>
  <si>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</si>
  <si>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</si>
  <si>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</si>
  <si>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</si>
  <si>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</si>
  <si>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</si>
  <si>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</si>
  <si>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</si>
  <si>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</si>
  <si>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</si>
  <si>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</si>
  <si>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</si>
  <si>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</si>
  <si>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</si>
  <si>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</si>
  <si>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</si>
  <si>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</si>
  <si>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</si>
  <si>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</si>
  <si>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</si>
  <si>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</si>
  <si>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</si>
  <si>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</si>
  <si>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</si>
  <si>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</si>
  <si>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</si>
  <si>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</si>
  <si>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</si>
  <si>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</si>
  <si>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</si>
  <si>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</si>
  <si>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</si>
  <si>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</si>
  <si>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</si>
  <si>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</si>
  <si>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</si>
  <si>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</si>
  <si>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</si>
  <si>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</si>
  <si>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</si>
  <si>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</si>
  <si>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</si>
  <si>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</si>
  <si>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</si>
  <si>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</si>
  <si>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</si>
  <si>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</si>
  <si>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</si>
  <si>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</si>
  <si>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</si>
  <si>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</si>
  <si>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</si>
  <si>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</si>
  <si>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</si>
  <si>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</si>
  <si>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</si>
  <si>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</si>
  <si>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</si>
  <si>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</si>
  <si>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</si>
  <si>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</si>
  <si>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</si>
  <si>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</si>
  <si>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</si>
  <si>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</si>
  <si>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</si>
  <si>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</si>
  <si>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</si>
  <si>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</si>
  <si>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</si>
  <si>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</si>
  <si>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</si>
  <si>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</si>
  <si>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</si>
  <si>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</si>
  <si>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</si>
  <si>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</si>
  <si>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</si>
  <si>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</si>
  <si>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</si>
  <si>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</si>
  <si>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</si>
  <si>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</si>
  <si>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</si>
  <si>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</si>
  <si>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</si>
  <si>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</si>
  <si>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</si>
  <si>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</si>
  <si>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</si>
  <si>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</si>
  <si>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</si>
  <si>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</si>
  <si>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</si>
  <si>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</si>
  <si>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</si>
  <si>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</si>
  <si>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</si>
  <si>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</si>
  <si>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</si>
  <si>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</si>
  <si>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</si>
  <si>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</si>
  <si>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</si>
  <si>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</si>
  <si>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</si>
  <si>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</si>
  <si>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</si>
  <si>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</si>
  <si>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</si>
  <si>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</si>
  <si>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</si>
  <si>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</si>
  <si>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</si>
  <si>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</si>
  <si>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</si>
  <si>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</si>
  <si>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</si>
  <si>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</si>
  <si>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</si>
  <si>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</si>
  <si>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</si>
  <si>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</si>
  <si>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</si>
  <si>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</si>
  <si>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</si>
  <si>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</si>
  <si>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</si>
  <si>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</si>
  <si>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</si>
  <si>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</si>
  <si>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</si>
  <si>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</si>
  <si>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</si>
  <si>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</si>
  <si>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</si>
  <si>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</si>
  <si>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</si>
  <si>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</si>
  <si>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</si>
  <si>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</si>
  <si>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</si>
  <si>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</si>
  <si>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</si>
  <si>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</si>
  <si>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</si>
  <si>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</si>
  <si>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</si>
  <si>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</si>
  <si>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</si>
  <si>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</si>
  <si>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</si>
  <si>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</si>
  <si>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</si>
  <si>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</si>
  <si>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</si>
  <si>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</si>
  <si>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</si>
  <si>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</si>
  <si>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</si>
  <si>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</si>
  <si>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</si>
  <si>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</si>
  <si>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</si>
  <si>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</si>
  <si>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</si>
  <si>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</si>
  <si>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</si>
  <si>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</si>
  <si>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</si>
  <si>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</si>
  <si>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</si>
  <si>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</si>
  <si>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</si>
  <si>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</si>
  <si>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</si>
  <si>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</si>
  <si>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</si>
  <si>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</si>
  <si>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</si>
  <si>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</si>
  <si>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</si>
  <si>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</si>
  <si>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</si>
  <si>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</si>
  <si>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</si>
  <si>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</si>
  <si>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</si>
  <si>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</si>
  <si>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</si>
  <si>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</si>
  <si>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</si>
  <si>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</si>
  <si>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</si>
  <si>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</si>
  <si>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</si>
  <si>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</si>
  <si>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</si>
  <si>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</si>
  <si>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</si>
  <si>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</si>
  <si>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</si>
  <si>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</si>
  <si>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</si>
  <si>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</si>
  <si>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</si>
  <si>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</si>
  <si>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</si>
  <si>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</si>
  <si>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</si>
  <si>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</si>
  <si>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</si>
  <si>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</si>
  <si>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</si>
  <si>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</si>
  <si>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</si>
  <si>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</si>
  <si>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</si>
  <si>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</si>
  <si>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</si>
  <si>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</si>
  <si>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</si>
  <si>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</si>
  <si>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</si>
  <si>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</si>
  <si>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</si>
  <si>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</si>
  <si>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</si>
  <si>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</si>
  <si>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</si>
  <si>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</si>
  <si>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</si>
  <si>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</si>
  <si>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</si>
  <si>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</si>
  <si>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</si>
  <si>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</si>
  <si>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</si>
  <si>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</si>
  <si>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</si>
  <si>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</si>
  <si>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</si>
  <si>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</si>
  <si>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</si>
  <si>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</si>
  <si>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</si>
  <si>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</si>
  <si>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</si>
  <si>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</si>
  <si>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</si>
  <si>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</si>
  <si>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</si>
  <si>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</si>
  <si>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</si>
  <si>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</si>
  <si>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</si>
  <si>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</si>
  <si>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</si>
  <si>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</si>
  <si>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</si>
  <si>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</si>
  <si>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</si>
  <si>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</si>
  <si>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</si>
  <si>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</si>
  <si>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</si>
  <si>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</si>
  <si>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</si>
  <si>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</si>
  <si>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</si>
  <si>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</si>
  <si>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</si>
  <si>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</si>
  <si>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</si>
  <si>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</si>
  <si>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</si>
  <si>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</si>
  <si>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</si>
  <si>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</si>
  <si>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</si>
  <si>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</si>
  <si>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</si>
  <si>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</si>
  <si>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</si>
  <si>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</si>
  <si>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</si>
  <si>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</si>
  <si>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</si>
  <si>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</si>
  <si>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</si>
  <si>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</si>
  <si>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</si>
  <si>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TUBO, PVC, SOLDÁVEL, DN 75 MM, INSTALADO EM RESERVAÇÃO PREDIAL DE ÁGUA - FORNECIMENTO E INSTALAÇÃO. AF_04/2024</t>
  </si>
  <si>
    <t>TUBO, PVC, SOLDÁVEL, DN 85 MM, INSTALADO EM RESERVAÇÃO PREDIAL DE ÁGUA - FORNECIMENTO E INSTALAÇÃO. AF_04/2024</t>
  </si>
  <si>
    <t>TUBO, PVC, SOLDÁVEL, DN 110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</si>
  <si>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</si>
  <si>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</si>
  <si>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</si>
  <si>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</si>
  <si>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</si>
  <si>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</si>
  <si>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</si>
  <si>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</si>
  <si>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</si>
  <si>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</si>
  <si>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</si>
  <si>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</si>
  <si>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</si>
  <si>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</si>
  <si>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</si>
  <si>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</si>
  <si>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</si>
  <si>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</si>
  <si>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</si>
  <si>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</si>
  <si>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</si>
  <si>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</si>
  <si>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</si>
  <si>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</si>
  <si>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</si>
  <si>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</si>
  <si>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</si>
  <si>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</si>
  <si>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</si>
  <si>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</si>
  <si>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</si>
  <si>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</si>
  <si>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</si>
  <si>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</si>
  <si>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</si>
  <si>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</si>
  <si>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</si>
  <si>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</si>
  <si>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</si>
  <si>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</si>
  <si>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</si>
  <si>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</si>
  <si>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</si>
  <si>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</si>
  <si>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</si>
  <si>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</si>
  <si>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</si>
  <si>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</si>
  <si>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</si>
  <si>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</si>
  <si>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</si>
  <si>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</si>
  <si>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</si>
  <si>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</si>
  <si>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</si>
  <si>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</si>
  <si>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</si>
  <si>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</si>
  <si>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</si>
  <si>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</si>
  <si>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</si>
  <si>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</si>
  <si>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</si>
  <si>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</si>
  <si>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</si>
  <si>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</si>
  <si>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</si>
  <si>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</si>
  <si>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</si>
  <si>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</si>
  <si>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</si>
  <si>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</si>
  <si>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</si>
  <si>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</si>
  <si>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</si>
  <si>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</si>
  <si>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</si>
  <si>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</si>
  <si>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</si>
  <si>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</si>
  <si>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</si>
  <si>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</si>
  <si>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</si>
  <si>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</si>
  <si>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</si>
  <si>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</si>
  <si>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</si>
  <si>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</si>
  <si>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</si>
  <si>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</si>
  <si>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</si>
  <si>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</si>
  <si>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</si>
  <si>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</si>
  <si>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</si>
  <si>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</si>
  <si>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</si>
  <si>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</si>
  <si>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</si>
  <si>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</si>
  <si>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</si>
  <si>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</si>
  <si>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</si>
  <si>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</si>
  <si>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</si>
  <si>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</si>
  <si>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</si>
  <si>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</si>
  <si>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</si>
  <si>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</si>
  <si>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</si>
  <si>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</si>
  <si>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</si>
  <si>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</si>
  <si>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</si>
  <si>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</si>
  <si>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</si>
  <si>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</si>
  <si>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</si>
  <si>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</si>
  <si>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</si>
  <si>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</si>
  <si>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</si>
  <si>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</si>
  <si>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</si>
  <si>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</si>
  <si>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</si>
  <si>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</si>
  <si>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</si>
  <si>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</si>
  <si>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</si>
  <si>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</si>
  <si>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</si>
  <si>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</si>
  <si>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</si>
  <si>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</si>
  <si>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</si>
  <si>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</si>
  <si>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</si>
  <si>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</si>
  <si>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</si>
  <si>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</si>
  <si>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</si>
  <si>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</si>
  <si>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</si>
  <si>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</si>
  <si>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</si>
  <si>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</si>
  <si>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</si>
  <si>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</si>
  <si>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</si>
  <si>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</si>
  <si>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</si>
  <si>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</si>
  <si>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</si>
  <si>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</si>
  <si>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</si>
  <si>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</si>
  <si>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</si>
  <si>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</si>
  <si>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</si>
  <si>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</si>
  <si>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</si>
  <si>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</si>
  <si>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</si>
  <si>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</si>
  <si>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</si>
  <si>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</si>
  <si>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</si>
  <si>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</si>
  <si>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</si>
  <si>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</si>
  <si>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</si>
  <si>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</si>
  <si>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</si>
  <si>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</si>
  <si>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</si>
  <si>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</si>
  <si>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</si>
  <si>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</si>
  <si>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</si>
  <si>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</si>
  <si>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</si>
  <si>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</si>
  <si>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</si>
  <si>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</si>
  <si>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</si>
  <si>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</si>
  <si>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</si>
  <si>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</si>
  <si>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</si>
  <si>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</si>
  <si>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</si>
  <si>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</si>
  <si>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</si>
  <si>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</si>
  <si>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</si>
  <si>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</si>
  <si>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</si>
  <si>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</si>
  <si>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</si>
  <si>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</si>
  <si>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</si>
  <si>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</si>
  <si>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</si>
  <si>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</si>
  <si>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</si>
  <si>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</si>
  <si>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</si>
  <si>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</si>
  <si>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</si>
  <si>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</si>
  <si>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</si>
  <si>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</si>
  <si>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</si>
  <si>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</si>
  <si>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</si>
  <si>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</si>
  <si>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</si>
  <si>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</si>
  <si>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</si>
  <si>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</si>
  <si>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</si>
  <si>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</si>
  <si>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</si>
  <si>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</si>
  <si>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</si>
  <si>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</si>
  <si>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</si>
  <si>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</si>
  <si>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</si>
  <si>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</si>
  <si>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</si>
  <si>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</si>
  <si>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</si>
  <si>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</si>
  <si>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</si>
  <si>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</si>
  <si>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</si>
  <si>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</si>
  <si>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</si>
  <si>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</si>
  <si>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</si>
  <si>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</si>
  <si>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</si>
  <si>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</si>
  <si>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</si>
  <si>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</si>
  <si>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</si>
  <si>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</si>
  <si>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</si>
  <si>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</si>
  <si>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</si>
  <si>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</si>
  <si>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</si>
  <si>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</si>
  <si>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</si>
  <si>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</si>
  <si>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</si>
  <si>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</si>
  <si>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</si>
  <si>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</si>
  <si>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</si>
  <si>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</si>
  <si>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</si>
  <si>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</si>
  <si>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</si>
  <si>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</si>
  <si>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</si>
  <si>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</si>
  <si>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</si>
  <si>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</si>
  <si>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</si>
  <si>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</si>
  <si>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</si>
  <si>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</si>
  <si>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</si>
  <si>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</si>
  <si>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</si>
  <si>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</si>
  <si>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</si>
  <si>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</si>
  <si>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</si>
  <si>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</si>
  <si>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</si>
  <si>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</si>
  <si>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</si>
  <si>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</si>
  <si>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</si>
  <si>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</si>
  <si>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</si>
  <si>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</si>
  <si>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</si>
  <si>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</si>
  <si>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</si>
  <si>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</si>
  <si>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</si>
  <si>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</si>
  <si>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</si>
  <si>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</si>
  <si>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</si>
  <si>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</si>
  <si>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</si>
  <si>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</si>
  <si>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</si>
  <si>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</si>
  <si>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</si>
  <si>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</si>
  <si>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</si>
  <si>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</si>
  <si>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</si>
  <si>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</si>
  <si>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</si>
  <si>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</si>
  <si>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</si>
  <si>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</si>
  <si>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</si>
  <si>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</si>
  <si>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</si>
  <si>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</si>
  <si>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</si>
  <si>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</si>
  <si>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</si>
  <si>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</si>
  <si>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</si>
  <si>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</si>
  <si>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</si>
  <si>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</si>
  <si>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</si>
  <si>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</si>
  <si>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</si>
  <si>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</si>
  <si>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</si>
  <si>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</si>
  <si>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</si>
  <si>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</si>
  <si>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</si>
  <si>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</si>
  <si>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</si>
  <si>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</si>
  <si>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</si>
  <si>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</si>
  <si>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</si>
  <si>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</si>
  <si>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</si>
  <si>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</si>
  <si>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</si>
  <si>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</si>
  <si>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</si>
  <si>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</si>
  <si>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</si>
  <si>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</si>
  <si>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</si>
  <si>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</si>
  <si>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</si>
  <si>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</si>
  <si>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</si>
  <si>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</si>
  <si>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</si>
  <si>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</si>
  <si>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</si>
  <si>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</si>
  <si>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</si>
  <si>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</si>
  <si>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</si>
  <si>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</si>
  <si>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</si>
  <si>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</si>
  <si>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</si>
  <si>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</si>
  <si>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</si>
  <si>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</si>
  <si>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</si>
  <si>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</si>
  <si>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</si>
  <si>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</si>
  <si>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</si>
  <si>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</si>
  <si>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</si>
  <si>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</si>
  <si>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</si>
  <si>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</si>
  <si>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</si>
  <si>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</si>
  <si>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</si>
  <si>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</si>
  <si>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</si>
  <si>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</si>
  <si>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</si>
  <si>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</si>
  <si>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</si>
  <si>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</si>
  <si>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</si>
  <si>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</si>
  <si>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</si>
  <si>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</si>
  <si>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</si>
  <si>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</si>
  <si>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</si>
  <si>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</si>
  <si>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</si>
  <si>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</si>
  <si>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</si>
  <si>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</si>
  <si>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</si>
  <si>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</si>
  <si>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</si>
  <si>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</si>
  <si>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</si>
  <si>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</si>
  <si>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</si>
  <si>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</si>
  <si>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</si>
  <si>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</si>
  <si>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</si>
  <si>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</si>
  <si>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</si>
  <si>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</si>
  <si>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</si>
  <si>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</si>
  <si>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</si>
  <si>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</si>
  <si>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</si>
  <si>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</si>
  <si>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</si>
  <si>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</si>
  <si>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</si>
  <si>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</si>
  <si>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</si>
  <si>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</si>
  <si>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</si>
  <si>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</si>
  <si>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</si>
  <si>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</si>
  <si>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</si>
  <si>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</si>
  <si>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</si>
  <si>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</si>
  <si>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</si>
  <si>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</si>
  <si>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</si>
  <si>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</si>
  <si>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</si>
  <si>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</si>
  <si>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</si>
  <si>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</si>
  <si>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</si>
  <si>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</si>
  <si>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</si>
  <si>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</si>
  <si>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</si>
  <si>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</si>
  <si>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</si>
  <si>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</si>
  <si>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</si>
  <si>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</si>
  <si>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</si>
  <si>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</si>
  <si>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</si>
  <si>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</si>
  <si>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</si>
  <si>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</si>
  <si>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</si>
  <si>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</si>
  <si>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</si>
  <si>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</si>
  <si>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</si>
  <si>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</si>
  <si>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</si>
  <si>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</si>
  <si>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</si>
  <si>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</si>
  <si>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</si>
  <si>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</si>
  <si>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</si>
  <si>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</si>
  <si>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</si>
  <si>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</si>
  <si>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</si>
  <si>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</si>
  <si>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</si>
  <si>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</si>
  <si>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</si>
  <si>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</si>
  <si>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</si>
  <si>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</si>
  <si>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</si>
  <si>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</si>
  <si>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</si>
  <si>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</si>
  <si>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</si>
  <si>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</si>
  <si>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</si>
  <si>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</si>
  <si>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</si>
  <si>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</si>
  <si>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</si>
  <si>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</si>
  <si>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</si>
  <si>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</si>
  <si>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</si>
  <si>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</si>
  <si>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</si>
  <si>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</si>
  <si>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</si>
  <si>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</si>
  <si>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</si>
  <si>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</si>
  <si>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</si>
  <si>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</si>
  <si>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</si>
  <si>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</si>
  <si>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</si>
  <si>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</si>
  <si>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</si>
  <si>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</si>
  <si>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</si>
  <si>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</si>
  <si>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</si>
  <si>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</si>
  <si>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</si>
  <si>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</si>
  <si>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</si>
  <si>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</si>
  <si>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</si>
  <si>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</si>
  <si>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</si>
  <si>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</si>
  <si>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</si>
  <si>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</si>
  <si>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</si>
  <si>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</si>
  <si>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</si>
  <si>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</si>
  <si>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</si>
  <si>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</si>
  <si>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</si>
  <si>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</si>
  <si>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</si>
  <si>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</si>
  <si>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</si>
  <si>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</si>
  <si>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</si>
  <si>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</si>
  <si>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</si>
  <si>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</si>
  <si>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</si>
  <si>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</si>
  <si>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</si>
  <si>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</si>
  <si>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</si>
  <si>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</si>
  <si>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</si>
  <si>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</si>
  <si>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</si>
  <si>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</si>
  <si>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</si>
  <si>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</si>
  <si>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</si>
  <si>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</si>
  <si>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</si>
  <si>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</si>
  <si>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</si>
  <si>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</si>
  <si>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</si>
  <si>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</si>
  <si>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</si>
  <si>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</si>
  <si>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</si>
  <si>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</si>
  <si>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</si>
  <si>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</si>
  <si>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</si>
  <si>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</si>
  <si>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</si>
  <si>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</si>
  <si>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</si>
  <si>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</si>
  <si>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</si>
  <si>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</si>
  <si>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</si>
  <si>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</si>
  <si>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</si>
  <si>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</si>
  <si>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</si>
  <si>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</si>
  <si>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</si>
  <si>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</si>
  <si>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</si>
  <si>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</si>
  <si>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</si>
  <si>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</si>
  <si>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</si>
  <si>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</si>
  <si>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</si>
  <si>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</si>
  <si>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</si>
  <si>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</si>
  <si>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</si>
  <si>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</si>
  <si>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</si>
  <si>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</si>
  <si>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</si>
  <si>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</si>
  <si>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</si>
  <si>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</si>
  <si>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</si>
  <si>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</si>
  <si>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</si>
  <si>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</si>
  <si>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</si>
  <si>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</si>
  <si>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</si>
  <si>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</si>
  <si>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</si>
  <si>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</si>
  <si>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</si>
  <si>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</si>
  <si>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</si>
  <si>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</si>
  <si>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</si>
  <si>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</si>
  <si>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</si>
  <si>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</si>
  <si>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</si>
  <si>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</si>
  <si>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</si>
  <si>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</si>
  <si>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</si>
  <si>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</si>
  <si>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</si>
  <si>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</si>
  <si>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</si>
  <si>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</si>
  <si>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</si>
  <si>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</si>
  <si>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</si>
  <si>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</si>
  <si>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</si>
  <si>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</si>
  <si>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</si>
  <si>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</si>
  <si>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</si>
  <si>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</si>
  <si>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</si>
  <si>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</si>
  <si>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</si>
  <si>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</si>
  <si>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</si>
  <si>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</si>
  <si>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</si>
  <si>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</si>
  <si>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</si>
  <si>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</si>
  <si>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</si>
  <si>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</si>
  <si>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</si>
  <si>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</si>
  <si>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</si>
  <si>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</si>
  <si>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</si>
  <si>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</si>
  <si>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</si>
  <si>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</si>
  <si>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</si>
  <si>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</si>
  <si>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</si>
  <si>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</si>
  <si>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</si>
  <si>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</si>
  <si>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</si>
  <si>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</si>
  <si>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</si>
  <si>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</si>
  <si>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</si>
  <si>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</si>
  <si>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</si>
  <si>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</si>
  <si>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</si>
  <si>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</si>
  <si>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</si>
  <si>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</si>
  <si>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</si>
  <si>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</si>
  <si>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</si>
  <si>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</si>
  <si>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</si>
  <si>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</si>
  <si>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</si>
  <si>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</si>
  <si>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</si>
  <si>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</si>
  <si>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</si>
  <si>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</si>
  <si>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</si>
  <si>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</si>
  <si>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</si>
  <si>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</si>
  <si>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</si>
  <si>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</si>
  <si>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</si>
  <si>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</si>
  <si>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</si>
  <si>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</si>
  <si>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</si>
  <si>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</si>
  <si>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</si>
  <si>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</si>
  <si>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</si>
  <si>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</si>
  <si>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</si>
  <si>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</si>
  <si>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</si>
  <si>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</si>
  <si>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</si>
  <si>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</si>
  <si>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</si>
  <si>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</si>
  <si>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</si>
  <si>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</si>
  <si>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</si>
  <si>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</si>
  <si>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</si>
  <si>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</si>
  <si>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</si>
  <si>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</si>
  <si>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</si>
  <si>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</si>
  <si>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</si>
  <si>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</si>
  <si>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</si>
  <si>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</si>
  <si>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</si>
  <si>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</si>
  <si>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</si>
  <si>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</si>
  <si>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</si>
  <si>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</si>
  <si>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</si>
  <si>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</si>
  <si>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</si>
  <si>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</si>
  <si>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</si>
  <si>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</si>
  <si>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</si>
  <si>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</si>
  <si>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</si>
  <si>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</si>
  <si>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</si>
  <si>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</si>
  <si>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</si>
  <si>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</si>
  <si>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</si>
  <si>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</si>
  <si>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</si>
  <si>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</si>
  <si>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</si>
  <si>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</si>
  <si>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</si>
  <si>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</si>
  <si>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</si>
  <si>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</si>
  <si>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</si>
  <si>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</si>
  <si>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</si>
  <si>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</si>
  <si>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</si>
  <si>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</si>
  <si>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</si>
  <si>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</si>
  <si>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</si>
  <si>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</si>
  <si>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</si>
  <si>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</si>
  <si>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</si>
  <si>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</si>
  <si>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</si>
  <si>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</si>
  <si>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</si>
  <si>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</si>
  <si>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</si>
  <si>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</si>
  <si>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</si>
  <si>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</si>
  <si>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</si>
  <si>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</si>
  <si>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</si>
  <si>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</si>
  <si>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</si>
  <si>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</si>
  <si>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</si>
  <si>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</si>
  <si>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</si>
  <si>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</si>
  <si>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</si>
  <si>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</si>
  <si>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</si>
  <si>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</si>
  <si>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</si>
  <si>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</si>
  <si>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</si>
  <si>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</si>
  <si>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</si>
  <si>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</si>
  <si>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</si>
  <si>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</si>
  <si>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</si>
  <si>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</si>
  <si>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</si>
  <si>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</si>
  <si>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</si>
  <si>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</si>
  <si>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</si>
  <si>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</si>
  <si>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</si>
  <si>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</si>
  <si>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</si>
  <si>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</si>
  <si>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</si>
  <si>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</si>
  <si>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</si>
  <si>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</si>
  <si>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</si>
  <si>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</si>
  <si>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</si>
  <si>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</si>
  <si>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</si>
  <si>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</si>
  <si>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</si>
  <si>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</si>
  <si>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</si>
  <si>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</si>
  <si>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</si>
  <si>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</si>
  <si>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</si>
  <si>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</si>
  <si>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</si>
  <si>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</si>
  <si>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</si>
  <si>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</si>
  <si>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</si>
  <si>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</si>
  <si>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</si>
  <si>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</si>
  <si>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</si>
  <si>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</si>
  <si>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</si>
  <si>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</si>
  <si>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</si>
  <si>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</si>
  <si>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</si>
  <si>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</si>
  <si>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</si>
  <si>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</si>
  <si>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</si>
  <si>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</si>
  <si>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</si>
  <si>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</si>
  <si>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</si>
  <si>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</si>
  <si>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</si>
  <si>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</si>
  <si>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</si>
  <si>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</si>
  <si>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</si>
  <si>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</si>
  <si>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</si>
  <si>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</si>
  <si>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</si>
  <si>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</si>
  <si>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</si>
  <si>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</si>
  <si>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</si>
  <si>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</si>
  <si>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</si>
  <si>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</si>
  <si>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</si>
  <si>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</si>
  <si>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</si>
  <si>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</si>
  <si>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</si>
  <si>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</si>
  <si>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</si>
  <si>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</si>
  <si>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</si>
  <si>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</si>
  <si>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</si>
  <si>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</si>
  <si>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</si>
  <si>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</si>
  <si>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</si>
  <si>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</si>
  <si>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</si>
  <si>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</si>
  <si>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</si>
  <si>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</si>
  <si>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</si>
  <si>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</si>
  <si>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</si>
  <si>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</si>
  <si>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</si>
  <si>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</si>
  <si>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</si>
  <si>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CURVA 45 GRAUS, EM AÇO, CONEXÃO RANHURADA, DN 80 (3"), INSTALADO EM PRUMADAS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</si>
  <si>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</si>
  <si>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</si>
  <si>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</si>
  <si>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</si>
  <si>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</si>
  <si>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</si>
  <si>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</si>
  <si>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</si>
  <si>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</si>
  <si>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</si>
  <si>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</si>
  <si>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</si>
  <si>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</si>
  <si>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</si>
  <si>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</si>
  <si>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</si>
  <si>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</si>
  <si>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</si>
  <si>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</si>
  <si>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</si>
  <si>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</si>
  <si>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</si>
  <si>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</si>
  <si>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</si>
  <si>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</si>
  <si>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</si>
  <si>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</si>
  <si>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</si>
  <si>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</si>
  <si>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</si>
  <si>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</si>
  <si>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</si>
  <si>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</si>
  <si>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</si>
  <si>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</si>
  <si>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</si>
  <si>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</si>
  <si>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</si>
  <si>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</si>
  <si>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</si>
  <si>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</si>
  <si>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</si>
  <si>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</si>
  <si>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</si>
  <si>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</si>
  <si>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</si>
  <si>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</si>
  <si>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</si>
  <si>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</si>
  <si>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</si>
  <si>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</si>
  <si>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</si>
  <si>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</si>
  <si>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</si>
  <si>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</si>
  <si>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</si>
  <si>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</si>
  <si>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</si>
  <si>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</si>
  <si>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</si>
  <si>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</si>
  <si>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</si>
  <si>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</si>
  <si>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</si>
  <si>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</si>
  <si>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</si>
  <si>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</si>
  <si>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</si>
  <si>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</si>
  <si>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</si>
  <si>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</si>
  <si>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</si>
  <si>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</si>
  <si>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</si>
  <si>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</si>
  <si>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</si>
  <si>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</si>
  <si>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</si>
  <si>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</si>
  <si>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</si>
  <si>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</si>
  <si>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</si>
  <si>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</si>
  <si>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</si>
  <si>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</si>
  <si>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</si>
  <si>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</si>
  <si>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</si>
  <si>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</si>
  <si>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</si>
  <si>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</si>
  <si>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</si>
  <si>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</si>
  <si>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</si>
  <si>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</si>
  <si>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</si>
  <si>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</si>
  <si>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</si>
  <si>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</si>
  <si>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</si>
  <si>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</si>
  <si>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</si>
  <si>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</si>
  <si>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</si>
  <si>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</si>
  <si>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</si>
  <si>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</si>
  <si>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</si>
  <si>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</si>
  <si>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</si>
  <si>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</si>
  <si>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</si>
  <si>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</si>
  <si>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</si>
  <si>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</si>
  <si>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</si>
  <si>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</si>
  <si>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</si>
  <si>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</si>
  <si>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</si>
  <si>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</si>
  <si>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</si>
  <si>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</si>
  <si>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</si>
  <si>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</si>
  <si>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</si>
  <si>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</si>
  <si>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</si>
  <si>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</si>
  <si>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</si>
  <si>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</si>
  <si>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</si>
  <si>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</si>
  <si>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</si>
  <si>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</si>
  <si>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</si>
  <si>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</si>
  <si>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</si>
  <si>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</si>
  <si>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</si>
  <si>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</si>
  <si>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</si>
  <si>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</si>
  <si>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</si>
  <si>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</si>
  <si>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</si>
  <si>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</si>
  <si>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</si>
  <si>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</si>
  <si>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</si>
  <si>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</si>
  <si>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</si>
  <si>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</si>
  <si>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</si>
  <si>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</si>
  <si>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</si>
  <si>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</si>
  <si>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</si>
  <si>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</si>
  <si>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</si>
  <si>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</si>
  <si>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</si>
  <si>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</si>
  <si>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</si>
  <si>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</si>
  <si>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</si>
  <si>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</si>
  <si>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</si>
  <si>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</si>
  <si>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</si>
  <si>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</si>
  <si>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</si>
  <si>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</si>
  <si>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</si>
  <si>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</si>
  <si>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</si>
  <si>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</si>
  <si>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</si>
  <si>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</si>
  <si>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</si>
  <si>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</si>
  <si>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</si>
  <si>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</si>
  <si>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</si>
  <si>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</si>
  <si>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</si>
  <si>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</si>
  <si>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</si>
  <si>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</si>
  <si>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</si>
  <si>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</si>
  <si>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</si>
  <si>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</si>
  <si>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</si>
  <si>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</si>
  <si>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</si>
  <si>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</si>
  <si>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</si>
  <si>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</si>
  <si>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</si>
  <si>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</si>
  <si>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</si>
  <si>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</si>
  <si>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</si>
  <si>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</si>
  <si>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</si>
  <si>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</si>
  <si>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</si>
  <si>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</si>
  <si>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</si>
  <si>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</si>
  <si>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</si>
  <si>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</si>
  <si>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</si>
  <si>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</si>
  <si>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</si>
  <si>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</si>
  <si>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</si>
  <si>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</si>
  <si>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</si>
  <si>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</si>
  <si>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</si>
  <si>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</si>
  <si>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</si>
  <si>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</si>
  <si>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</si>
  <si>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</si>
  <si>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</si>
  <si>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</si>
  <si>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</si>
  <si>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</si>
  <si>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</si>
  <si>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</si>
  <si>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</si>
  <si>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</si>
  <si>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</si>
  <si>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</si>
  <si>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</si>
  <si>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</si>
  <si>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</si>
  <si>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</si>
  <si>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</si>
  <si>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</si>
  <si>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</si>
  <si>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</si>
  <si>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</si>
  <si>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</si>
  <si>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</si>
  <si>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</si>
  <si>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</si>
  <si>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</si>
  <si>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</si>
  <si>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</si>
  <si>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</si>
  <si>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</si>
  <si>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</si>
  <si>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</si>
  <si>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</si>
  <si>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</si>
  <si>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</si>
  <si>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</si>
  <si>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</si>
  <si>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</si>
  <si>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</si>
  <si>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</si>
  <si>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</si>
  <si>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</si>
  <si>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</si>
  <si>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</si>
  <si>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</si>
  <si>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</si>
  <si>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</si>
  <si>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</si>
  <si>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</si>
  <si>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</si>
  <si>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</si>
  <si>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</si>
  <si>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</si>
  <si>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</si>
  <si>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</si>
  <si>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</si>
  <si>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</si>
  <si>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</si>
  <si>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</si>
  <si>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</si>
  <si>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</si>
  <si>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</si>
  <si>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</si>
  <si>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</si>
  <si>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</si>
  <si>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</si>
  <si>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</si>
  <si>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</si>
  <si>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</si>
  <si>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</si>
  <si>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</si>
  <si>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</si>
  <si>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</si>
  <si>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</si>
  <si>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</si>
  <si>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</si>
  <si>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</si>
  <si>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</si>
  <si>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</si>
  <si>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</si>
  <si>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</si>
  <si>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</si>
  <si>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</si>
  <si>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</si>
  <si>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</si>
  <si>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</si>
  <si>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</si>
  <si>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</si>
  <si>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</si>
  <si>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</si>
  <si>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</si>
  <si>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</si>
  <si>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</si>
  <si>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</si>
  <si>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</si>
  <si>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</si>
  <si>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</si>
  <si>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</si>
  <si>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</si>
  <si>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</si>
  <si>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</si>
  <si>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</si>
  <si>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</si>
  <si>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</si>
  <si>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</si>
  <si>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</si>
  <si>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</si>
  <si>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</si>
  <si>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</si>
  <si>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</si>
  <si>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</si>
  <si>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</si>
  <si>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</si>
  <si>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</si>
  <si>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</si>
  <si>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</si>
  <si>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</si>
  <si>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</si>
  <si>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</si>
  <si>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</si>
  <si>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</si>
  <si>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</si>
  <si>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</si>
  <si>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</si>
  <si>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</si>
  <si>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</si>
  <si>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</si>
  <si>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</si>
  <si>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</si>
  <si>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</si>
  <si>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</si>
  <si>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</si>
  <si>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</si>
  <si>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</si>
  <si>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</si>
  <si>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</si>
  <si>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</si>
  <si>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</si>
  <si>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</si>
  <si>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</si>
  <si>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</si>
  <si>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</si>
  <si>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</si>
  <si>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</si>
  <si>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</si>
  <si>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</si>
  <si>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</si>
  <si>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</si>
  <si>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</si>
  <si>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</si>
  <si>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</si>
  <si>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</si>
  <si>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</si>
  <si>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</si>
  <si>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</si>
  <si>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</si>
  <si>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</si>
  <si>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</si>
  <si>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</si>
  <si>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</si>
  <si>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</si>
  <si>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</si>
  <si>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</si>
  <si>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</si>
  <si>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</si>
  <si>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</si>
  <si>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</si>
  <si>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</si>
  <si>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</si>
  <si>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</si>
  <si>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</si>
  <si>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</si>
  <si>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</si>
  <si>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</si>
  <si>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</si>
  <si>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</si>
  <si>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</si>
  <si>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</si>
  <si>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</si>
  <si>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</si>
  <si>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</si>
  <si>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</si>
  <si>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</si>
  <si>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</si>
  <si>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</si>
  <si>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</si>
  <si>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</si>
  <si>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</si>
  <si>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</si>
  <si>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</si>
  <si>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</si>
  <si>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</si>
  <si>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</si>
  <si>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</si>
  <si>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</si>
  <si>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</si>
  <si>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</si>
  <si>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</si>
  <si>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</si>
  <si>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</si>
  <si>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</si>
  <si>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</si>
  <si>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</si>
  <si>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</si>
  <si>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</si>
  <si>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</si>
  <si>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</si>
  <si>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</si>
  <si>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</si>
  <si>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</si>
  <si>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</si>
  <si>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</si>
  <si>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</si>
  <si>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</si>
  <si>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</si>
  <si>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</si>
  <si>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</si>
  <si>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</si>
  <si>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</si>
  <si>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</si>
  <si>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</si>
  <si>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</si>
  <si>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</si>
  <si>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</si>
  <si>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</si>
  <si>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</si>
  <si>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</si>
  <si>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</si>
  <si>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</si>
  <si>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</si>
  <si>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</si>
  <si>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</si>
  <si>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</si>
  <si>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</si>
  <si>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</si>
  <si>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</si>
  <si>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</si>
  <si>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</si>
  <si>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</si>
  <si>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</si>
  <si>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</si>
  <si>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</si>
  <si>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</si>
  <si>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</si>
  <si>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</si>
  <si>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</si>
  <si>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</si>
  <si>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</si>
  <si>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</si>
  <si>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</si>
  <si>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</si>
  <si>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</si>
  <si>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</si>
  <si>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</si>
  <si>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</si>
  <si>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</si>
  <si>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</si>
  <si>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</si>
  <si>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</si>
  <si>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</si>
  <si>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</si>
  <si>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</si>
  <si>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</si>
  <si>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</si>
  <si>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</si>
  <si>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</si>
  <si>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</si>
  <si>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</si>
  <si>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</si>
  <si>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</si>
  <si>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</si>
  <si>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</si>
  <si>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</si>
  <si>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</si>
  <si>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</si>
  <si>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</si>
  <si>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</si>
  <si>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</si>
  <si>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</si>
  <si>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</si>
  <si>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</si>
  <si>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</si>
  <si>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</si>
  <si>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</si>
  <si>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</si>
  <si>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</si>
  <si>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</si>
  <si>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</si>
  <si>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</si>
  <si>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</si>
  <si>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</si>
  <si>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</si>
  <si>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</si>
  <si>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</si>
  <si>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</si>
  <si>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</si>
  <si>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</si>
  <si>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</si>
  <si>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</si>
  <si>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</si>
  <si>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</si>
  <si>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</si>
  <si>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</si>
  <si>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</si>
  <si>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</si>
  <si>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</si>
  <si>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</si>
  <si>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</si>
  <si>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</si>
  <si>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</si>
  <si>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</si>
  <si>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</si>
  <si>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</si>
  <si>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</si>
  <si>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</si>
  <si>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</si>
  <si>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</si>
  <si>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</si>
  <si>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</si>
  <si>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</si>
  <si>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</si>
  <si>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</si>
  <si>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</si>
  <si>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</si>
  <si>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</si>
  <si>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</si>
  <si>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</si>
  <si>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</si>
  <si>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</si>
  <si>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</si>
  <si>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</si>
  <si>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</si>
  <si>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</si>
  <si>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</si>
  <si>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</si>
  <si>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</si>
  <si>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</si>
  <si>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</si>
  <si>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</si>
  <si>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</si>
  <si>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</si>
  <si>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</si>
  <si>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</si>
  <si>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</si>
  <si>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</si>
  <si>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</si>
  <si>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</si>
  <si>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</si>
  <si>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</si>
  <si>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</si>
  <si>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</si>
  <si>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</si>
  <si>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</si>
  <si>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</si>
  <si>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</si>
  <si>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</si>
  <si>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</si>
  <si>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</si>
  <si>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</si>
  <si>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</si>
  <si>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</si>
  <si>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</si>
  <si>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</si>
  <si>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</si>
  <si>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</si>
  <si>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</si>
  <si>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</si>
  <si>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</si>
  <si>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</si>
  <si>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</si>
  <si>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</si>
  <si>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</si>
  <si>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</si>
  <si>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</si>
  <si>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</si>
  <si>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</si>
  <si>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</si>
  <si>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</si>
  <si>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</si>
  <si>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</si>
  <si>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</si>
  <si>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</si>
  <si>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</si>
  <si>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</si>
  <si>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</si>
  <si>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</si>
  <si>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</si>
  <si>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</si>
  <si>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</si>
  <si>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</si>
  <si>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</si>
  <si>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</si>
  <si>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</si>
  <si>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</si>
  <si>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</si>
  <si>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</si>
  <si>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</si>
  <si>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</si>
  <si>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</si>
  <si>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</si>
  <si>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</si>
  <si>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</si>
  <si>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</si>
  <si>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</si>
  <si>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</si>
  <si>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</si>
  <si>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</si>
  <si>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</si>
  <si>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</si>
  <si>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</si>
  <si>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</si>
  <si>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</si>
  <si>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</si>
  <si>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</si>
  <si>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</si>
  <si>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</si>
  <si>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</si>
  <si>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</si>
  <si>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</si>
  <si>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</si>
  <si>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</si>
  <si>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</si>
  <si>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</si>
  <si>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</si>
  <si>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</si>
  <si>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</si>
  <si>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</si>
  <si>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</si>
  <si>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</si>
  <si>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</si>
  <si>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</si>
  <si>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</si>
  <si>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</si>
  <si>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</si>
  <si>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</si>
  <si>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</si>
  <si>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</si>
  <si>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</si>
  <si>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</si>
  <si>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</si>
  <si>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</si>
  <si>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</si>
  <si>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</si>
  <si>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</si>
  <si>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</si>
  <si>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</si>
  <si>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</si>
  <si>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</si>
  <si>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</si>
  <si>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</si>
  <si>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</si>
  <si>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</si>
  <si>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</si>
  <si>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</si>
  <si>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</si>
  <si>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</si>
  <si>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</si>
  <si>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</si>
  <si>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</si>
  <si>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</si>
  <si>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</si>
  <si>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</si>
  <si>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</si>
  <si>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</si>
  <si>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</si>
  <si>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</si>
  <si>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</si>
  <si>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</si>
  <si>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</si>
  <si>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</si>
  <si>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</si>
  <si>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</si>
  <si>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</si>
  <si>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</si>
  <si>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</si>
  <si>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</si>
  <si>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</si>
  <si>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</si>
  <si>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</si>
  <si>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</si>
  <si>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</si>
  <si>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</si>
  <si>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</si>
  <si>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</si>
  <si>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</si>
  <si>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</si>
  <si>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</si>
  <si>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</si>
  <si>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</si>
  <si>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</si>
  <si>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</si>
  <si>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</si>
  <si>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</si>
  <si>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</si>
  <si>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</si>
  <si>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</si>
  <si>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</si>
  <si>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</si>
  <si>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</si>
  <si>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</si>
  <si>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</si>
  <si>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</si>
  <si>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</si>
  <si>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</si>
  <si>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</si>
  <si>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</si>
  <si>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</si>
  <si>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</si>
  <si>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</si>
  <si>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</si>
  <si>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</si>
  <si>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</si>
  <si>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</si>
  <si>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</si>
  <si>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</si>
  <si>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</si>
  <si>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</si>
  <si>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</si>
  <si>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</si>
  <si>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</si>
  <si>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</si>
  <si>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</si>
  <si>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</si>
  <si>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</si>
  <si>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</si>
  <si>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</si>
  <si>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</si>
  <si>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</si>
  <si>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</si>
  <si>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</si>
  <si>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</si>
  <si>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</si>
  <si>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</si>
  <si>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</si>
  <si>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</si>
  <si>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</si>
  <si>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</si>
  <si>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</si>
  <si>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</si>
  <si>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</si>
  <si>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</si>
  <si>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</si>
  <si>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</si>
  <si>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</si>
  <si>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</si>
  <si>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</si>
  <si>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</si>
  <si>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</si>
  <si>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</si>
  <si>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</si>
  <si>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</si>
  <si>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</si>
  <si>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</si>
  <si>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</si>
  <si>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</si>
  <si>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</si>
  <si>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</si>
  <si>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</si>
  <si>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</si>
  <si>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</si>
  <si>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</si>
  <si>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</si>
  <si>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</si>
  <si>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</si>
  <si>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</si>
  <si>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</si>
  <si>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</si>
  <si>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</si>
  <si>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</si>
  <si>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</si>
  <si>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</si>
  <si>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</si>
  <si>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</si>
  <si>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</si>
  <si>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</si>
  <si>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</si>
  <si>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</si>
  <si>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</si>
  <si>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</si>
  <si>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</si>
  <si>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</si>
  <si>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</si>
  <si>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</si>
  <si>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</si>
  <si>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</si>
  <si>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</si>
  <si>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</si>
  <si>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</si>
  <si>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</si>
  <si>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</si>
  <si>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</si>
  <si>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</si>
  <si>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</si>
  <si>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</si>
  <si>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</si>
  <si>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</si>
  <si>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</si>
  <si>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</si>
  <si>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</si>
  <si>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</si>
  <si>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</si>
  <si>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</si>
  <si>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</si>
  <si>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</si>
  <si>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</si>
  <si>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</si>
  <si>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</si>
  <si>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</si>
  <si>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</si>
  <si>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</si>
  <si>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</si>
  <si>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</si>
  <si>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</si>
  <si>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</si>
  <si>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</si>
  <si>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</si>
  <si>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</si>
  <si>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</si>
  <si>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</si>
  <si>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</si>
  <si>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</si>
  <si>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</si>
  <si>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</si>
  <si>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</si>
  <si>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</si>
  <si>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</si>
  <si>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</si>
  <si>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</si>
  <si>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</si>
  <si>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</si>
  <si>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</si>
  <si>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</si>
  <si>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</si>
  <si>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</si>
  <si>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</si>
  <si>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</si>
  <si>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</si>
  <si>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</si>
  <si>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</si>
  <si>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</si>
  <si>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</si>
  <si>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</si>
  <si>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</si>
  <si>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</si>
  <si>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</si>
  <si>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</si>
  <si>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</si>
  <si>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</si>
  <si>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</si>
  <si>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PASSEIO (CALÇADA) OU PISO DE CONCRETO COM CONCRETO MOLDADO IN LOCO, USINADO C25, ACABAMENTO CONVENCIONAL, NÃO ARMADO. AF_03/2023</t>
  </si>
  <si>
    <t>PISO PODOTÁTIL DE ALERTA OU DIRECIONAL, DE CONCRETO, ASSENTADO SOBRE ARGAMASSA. AF_03/2024</t>
  </si>
  <si>
    <t>CONTRAPISO EM ARGAMASSA PRONTA, PREPARO MANUAL, APLICADO EM ÁREAS SECAS SOBRE LAJE, ADERIDO, ACABAMENTO NÃO REFORÇADO, ESPESSURA 2CM. AF_07/2021</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</si>
  <si>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</si>
  <si>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</si>
  <si>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</si>
  <si>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</si>
  <si>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</si>
  <si>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</si>
  <si>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</si>
  <si>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</si>
  <si>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</si>
  <si>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</si>
  <si>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</si>
  <si>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</si>
  <si>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</si>
  <si>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</si>
  <si>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</si>
  <si>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</si>
  <si>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</si>
  <si>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</si>
  <si>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</si>
  <si>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</si>
  <si>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</si>
  <si>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</si>
  <si>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</si>
  <si>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</si>
  <si>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</si>
  <si>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</si>
  <si>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</si>
  <si>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</si>
  <si>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</si>
  <si>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</si>
  <si>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</si>
  <si>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</si>
  <si>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</si>
  <si>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</si>
  <si>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</si>
  <si>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</si>
  <si>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</si>
  <si>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</si>
  <si>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</si>
  <si>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</si>
  <si>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</si>
  <si>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</si>
  <si>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</si>
  <si>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</si>
  <si>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</si>
  <si>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</si>
  <si>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</si>
  <si>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</si>
  <si>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</si>
  <si>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</si>
  <si>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</si>
  <si>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</si>
  <si>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</si>
  <si>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</si>
  <si>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</si>
  <si>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</si>
  <si>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</si>
  <si>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</si>
  <si>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</si>
  <si>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</si>
  <si>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</si>
  <si>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</si>
  <si>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</si>
  <si>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</si>
  <si>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</si>
  <si>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</si>
  <si>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</si>
  <si>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</si>
  <si>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</si>
  <si>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</si>
  <si>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</si>
  <si>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</si>
  <si>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</si>
  <si>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</si>
  <si>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</si>
  <si>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</si>
  <si>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</si>
  <si>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</si>
  <si>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</si>
  <si>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</si>
  <si>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</si>
  <si>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</si>
  <si>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</si>
  <si>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</si>
  <si>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</si>
  <si>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</si>
  <si>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</si>
  <si>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</si>
  <si>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</si>
  <si>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</si>
  <si>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</si>
  <si>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</si>
  <si>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</si>
  <si>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</si>
  <si>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</si>
  <si>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</si>
  <si>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</si>
  <si>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</si>
  <si>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</si>
  <si>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</si>
  <si>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</si>
  <si>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</si>
  <si>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</si>
  <si>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</si>
  <si>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</si>
  <si>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</si>
  <si>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</si>
  <si>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</si>
  <si>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</si>
  <si>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</si>
  <si>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</si>
  <si>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</si>
  <si>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</si>
  <si>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</si>
  <si>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</si>
  <si>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</si>
  <si>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</si>
  <si>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</si>
  <si>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</si>
  <si>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</si>
  <si>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</si>
  <si>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</si>
  <si>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</si>
  <si>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</si>
  <si>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</si>
  <si>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</si>
  <si>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</si>
  <si>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</si>
  <si>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</si>
  <si>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</si>
  <si>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</si>
  <si>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</si>
  <si>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</si>
  <si>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</si>
  <si>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</si>
  <si>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</si>
  <si>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</si>
  <si>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</si>
  <si>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</si>
  <si>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</si>
  <si>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</si>
  <si>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</si>
  <si>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</si>
  <si>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</si>
  <si>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</si>
  <si>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</si>
  <si>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</si>
  <si>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</si>
  <si>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</si>
  <si>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</si>
  <si>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</si>
  <si>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</si>
  <si>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</si>
  <si>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</si>
  <si>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</si>
  <si>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</si>
  <si>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</si>
  <si>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</si>
  <si>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</si>
  <si>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</si>
  <si>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</si>
  <si>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</si>
  <si>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</si>
  <si>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</si>
  <si>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</si>
  <si>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</si>
  <si>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</si>
  <si>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</si>
  <si>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</si>
  <si>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</si>
  <si>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</si>
  <si>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</si>
  <si>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</si>
  <si>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</si>
  <si>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</si>
  <si>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</si>
  <si>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</si>
  <si>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</si>
  <si>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</si>
  <si>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</si>
  <si>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</si>
  <si>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</si>
  <si>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</si>
  <si>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</si>
  <si>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</si>
  <si>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</si>
  <si>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</si>
  <si>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</si>
  <si>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</si>
  <si>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</si>
  <si>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</si>
  <si>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</si>
  <si>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</si>
  <si>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</si>
  <si>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</si>
  <si>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</si>
  <si>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</si>
  <si>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</si>
  <si>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</si>
  <si>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</si>
  <si>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</si>
  <si>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</si>
  <si>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</si>
  <si>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</si>
  <si>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</si>
  <si>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</si>
  <si>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</si>
  <si>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</si>
  <si>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</si>
  <si>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</si>
  <si>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</si>
  <si>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</si>
  <si>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</si>
  <si>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</si>
  <si>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</si>
  <si>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</si>
  <si>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</si>
  <si>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</si>
  <si>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</si>
  <si>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</si>
  <si>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</si>
  <si>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</si>
  <si>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</si>
  <si>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</si>
  <si>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</si>
  <si>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</si>
  <si>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</si>
  <si>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</si>
  <si>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</si>
  <si>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</si>
  <si>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</si>
  <si>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</si>
  <si>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</si>
  <si>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</si>
  <si>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</si>
  <si>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</si>
  <si>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</si>
  <si>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</si>
  <si>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</si>
  <si>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</si>
  <si>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</si>
  <si>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</si>
  <si>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</si>
  <si>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</si>
  <si>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</si>
  <si>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</si>
  <si>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</si>
  <si>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</si>
  <si>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</si>
  <si>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</si>
  <si>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</si>
  <si>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</si>
  <si>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</si>
  <si>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</si>
  <si>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</si>
  <si>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</si>
  <si>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</si>
  <si>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</si>
  <si>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</si>
  <si>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</si>
  <si>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</si>
  <si>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</si>
  <si>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</si>
  <si>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</si>
  <si>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</si>
  <si>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</si>
  <si>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</si>
  <si>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</si>
  <si>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</si>
  <si>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</si>
  <si>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</si>
  <si>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</si>
  <si>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</si>
  <si>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</si>
  <si>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</si>
  <si>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</si>
  <si>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</si>
  <si>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</si>
  <si>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</si>
  <si>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</si>
  <si>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</si>
  <si>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</si>
  <si>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</si>
  <si>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</si>
  <si>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</si>
  <si>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</si>
  <si>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</si>
  <si>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</si>
  <si>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</si>
  <si>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</si>
  <si>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</si>
  <si>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</si>
  <si>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</si>
  <si>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</si>
  <si>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</si>
  <si>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</si>
  <si>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</si>
  <si>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</si>
  <si>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</si>
  <si>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</si>
  <si>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</si>
  <si>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</si>
  <si>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</si>
  <si>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</si>
  <si>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</si>
  <si>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</si>
  <si>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</si>
  <si>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</si>
  <si>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</si>
  <si>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</si>
  <si>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</si>
  <si>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</si>
  <si>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</si>
  <si>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</si>
  <si>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</si>
  <si>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</si>
  <si>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</si>
  <si>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</si>
  <si>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</si>
  <si>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</si>
  <si>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</si>
  <si>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</si>
  <si>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</si>
  <si>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</si>
  <si>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</si>
  <si>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</si>
  <si>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</si>
  <si>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</si>
  <si>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</si>
  <si>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</si>
  <si>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</si>
  <si>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</si>
  <si>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</si>
  <si>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</si>
  <si>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</si>
  <si>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</si>
  <si>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</si>
  <si>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</si>
  <si>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</si>
  <si>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</si>
  <si>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</si>
  <si>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</si>
  <si>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</si>
  <si>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</si>
  <si>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</si>
  <si>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</si>
  <si>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</si>
  <si>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</si>
  <si>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</si>
  <si>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</si>
  <si>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</si>
  <si>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</si>
  <si>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</si>
  <si>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</si>
  <si>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</si>
  <si>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</si>
  <si>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</si>
  <si>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</si>
  <si>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</si>
  <si>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</si>
  <si>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</si>
  <si>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</si>
  <si>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</si>
  <si>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</si>
  <si>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</si>
  <si>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</si>
  <si>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</si>
  <si>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</si>
  <si>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</si>
  <si>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</si>
  <si>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</si>
  <si>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</si>
  <si>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</si>
  <si>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</si>
  <si>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</si>
  <si>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</si>
  <si>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</si>
  <si>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PLANTIO DE GRAMA BATATAIS EM PLACAS. AF_05/2018</t>
  </si>
  <si>
    <t>PLANTIO DE GRAMA ESMERALDA OU SÃO CARLOS OU CURITIBANA, EM PLACAS. AF_05/2022</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</si>
  <si>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</si>
  <si>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</si>
  <si>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</si>
  <si>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</si>
  <si>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</si>
  <si>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</si>
  <si>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</si>
  <si>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</si>
  <si>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</si>
  <si>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</si>
  <si>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</si>
  <si>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</si>
  <si>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</si>
  <si>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</si>
  <si>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</si>
  <si>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</si>
  <si>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MOTORISTA DE VEÍCULO LEVE COM ENCARGOS COMPLEMENTARES</t>
  </si>
  <si>
    <t>ENCARGOS SOCIAIS SOBRE PREÇOS DA MÃO-DE-OBRA: 110,14%(HORA)   70,04%(MÊS)</t>
  </si>
  <si>
    <t xml:space="preserve">ABERTURA PARA ENCAIXE DE CUBA OU LAVATORIO EM BANCADA DE MARMORE/ GRANITO OU OUTRO TIPO DE PEDRA NATURAL                                                                                                                                                                                                                                                                                                                                                                                                  </t>
  </si>
  <si>
    <t>CR</t>
  </si>
  <si>
    <t xml:space="preserve">ABRACADEIRA DE LATAO PARA FIXACAO DE CABO PARA-RAIO, DIMENSOES 32 X 24 X 24 MM                                                                                                                                                                                                                                                                                                                                                                                                                            </t>
  </si>
  <si>
    <t>AS</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</si>
  <si>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</si>
  <si>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</si>
  <si>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</si>
  <si>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</si>
  <si>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C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</si>
  <si>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</si>
  <si>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</si>
  <si>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</si>
  <si>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</si>
  <si>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</si>
  <si>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</si>
  <si>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</si>
  <si>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</si>
  <si>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</si>
  <si>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</si>
  <si>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</si>
  <si>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</si>
  <si>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</si>
  <si>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</si>
  <si>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</si>
  <si>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</si>
  <si>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</si>
  <si>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</si>
  <si>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</si>
  <si>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</si>
  <si>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</si>
  <si>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</si>
  <si>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</si>
  <si>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</si>
  <si>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</si>
  <si>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</si>
  <si>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</si>
  <si>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</si>
  <si>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</si>
  <si>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</si>
  <si>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</si>
  <si>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</si>
  <si>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</si>
  <si>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</si>
  <si>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</si>
  <si>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</si>
  <si>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</si>
  <si>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</si>
  <si>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</si>
  <si>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</si>
  <si>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</si>
  <si>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</si>
  <si>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</si>
  <si>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</si>
  <si>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</si>
  <si>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</si>
  <si>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</si>
  <si>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</si>
  <si>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</si>
  <si>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</si>
  <si>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</si>
  <si>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</si>
  <si>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</si>
  <si>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</si>
  <si>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</si>
  <si>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</si>
  <si>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</si>
  <si>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</si>
  <si>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</si>
  <si>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</si>
  <si>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</si>
  <si>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</si>
  <si>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</si>
  <si>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</si>
  <si>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</si>
  <si>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</si>
  <si>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</si>
  <si>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</si>
  <si>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</si>
  <si>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</si>
  <si>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</si>
  <si>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</si>
  <si>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</si>
  <si>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</si>
  <si>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</si>
  <si>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</si>
  <si>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</si>
  <si>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</si>
  <si>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</si>
  <si>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</si>
  <si>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</si>
  <si>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</si>
  <si>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</si>
  <si>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</si>
  <si>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</si>
  <si>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</si>
  <si>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</si>
  <si>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</si>
  <si>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</si>
  <si>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</si>
  <si>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</si>
  <si>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</si>
  <si>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</si>
  <si>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</si>
  <si>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</si>
  <si>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</si>
  <si>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</si>
  <si>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</si>
  <si>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</si>
  <si>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</si>
  <si>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</si>
  <si>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</si>
  <si>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</si>
  <si>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</si>
  <si>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</si>
  <si>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</si>
  <si>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</si>
  <si>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</si>
  <si>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</si>
  <si>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</si>
  <si>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</si>
  <si>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</si>
  <si>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</si>
  <si>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</si>
  <si>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</si>
  <si>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</si>
  <si>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</si>
  <si>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</si>
  <si>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</si>
  <si>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</si>
  <si>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</si>
  <si>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</si>
  <si>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</si>
  <si>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</si>
  <si>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</si>
  <si>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</si>
  <si>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</si>
  <si>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</si>
  <si>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</si>
  <si>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</si>
  <si>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</si>
  <si>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</si>
  <si>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</si>
  <si>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</si>
  <si>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</si>
  <si>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</si>
  <si>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</si>
  <si>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</si>
  <si>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</si>
  <si>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</si>
  <si>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</si>
  <si>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</si>
  <si>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</si>
  <si>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</si>
  <si>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CRIMPAR RJ11, RJ12 E RJ45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</si>
  <si>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</si>
  <si>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</si>
  <si>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</si>
  <si>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</si>
  <si>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</si>
  <si>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</si>
  <si>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</si>
  <si>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</si>
  <si>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</si>
  <si>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</si>
  <si>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</si>
  <si>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</si>
  <si>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</si>
  <si>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</si>
  <si>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</si>
  <si>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</si>
  <si>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</si>
  <si>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</si>
  <si>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</si>
  <si>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</si>
  <si>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</si>
  <si>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</si>
  <si>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</si>
  <si>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</si>
  <si>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</si>
  <si>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</si>
  <si>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</si>
  <si>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</si>
  <si>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</si>
  <si>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</si>
  <si>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</si>
  <si>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</si>
  <si>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</si>
  <si>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</si>
  <si>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</si>
  <si>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</si>
  <si>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</si>
  <si>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</si>
  <si>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</si>
  <si>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</si>
  <si>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</si>
  <si>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</si>
  <si>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</si>
  <si>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</si>
  <si>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</si>
  <si>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</si>
  <si>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</si>
  <si>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</si>
  <si>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</si>
  <si>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</si>
  <si>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</si>
  <si>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</si>
  <si>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</si>
  <si>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</si>
  <si>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</si>
  <si>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</si>
  <si>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</si>
  <si>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</si>
  <si>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</si>
  <si>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</si>
  <si>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</si>
  <si>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</si>
  <si>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</si>
  <si>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</si>
  <si>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</si>
  <si>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</si>
  <si>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</si>
  <si>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</si>
  <si>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</si>
  <si>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</si>
  <si>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</si>
  <si>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</si>
  <si>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</si>
  <si>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</si>
  <si>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</si>
  <si>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</si>
  <si>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</si>
  <si>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</si>
  <si>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</si>
  <si>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</si>
  <si>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</si>
  <si>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</si>
  <si>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</si>
  <si>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</si>
  <si>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</si>
  <si>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</si>
  <si>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</si>
  <si>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</si>
  <si>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</si>
  <si>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</si>
  <si>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</si>
  <si>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</si>
  <si>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</si>
  <si>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</si>
  <si>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</si>
  <si>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</si>
  <si>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</si>
  <si>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</si>
  <si>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</si>
  <si>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</si>
  <si>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</si>
  <si>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</si>
  <si>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</si>
  <si>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</si>
  <si>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</si>
  <si>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</si>
  <si>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</si>
  <si>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</si>
  <si>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</si>
  <si>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</si>
  <si>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</si>
  <si>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</si>
  <si>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</si>
  <si>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</si>
  <si>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</si>
  <si>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</si>
  <si>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</si>
  <si>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</si>
  <si>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</si>
  <si>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</si>
  <si>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</si>
  <si>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</si>
  <si>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</si>
  <si>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</si>
  <si>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</si>
  <si>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</si>
  <si>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</si>
  <si>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</si>
  <si>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</si>
  <si>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</si>
  <si>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</si>
  <si>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</si>
  <si>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</si>
  <si>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</si>
  <si>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</si>
  <si>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</si>
  <si>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</si>
  <si>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</si>
  <si>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</si>
  <si>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</si>
  <si>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</si>
  <si>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</si>
  <si>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</si>
  <si>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</si>
  <si>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</si>
  <si>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</si>
  <si>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</si>
  <si>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</si>
  <si>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</si>
  <si>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</si>
  <si>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</si>
  <si>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</si>
  <si>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</si>
  <si>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</si>
  <si>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</si>
  <si>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</si>
  <si>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</si>
  <si>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</si>
  <si>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</si>
  <si>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</si>
  <si>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</si>
  <si>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</si>
  <si>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</si>
  <si>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</si>
  <si>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</si>
  <si>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</si>
  <si>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</si>
  <si>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</si>
  <si>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</si>
  <si>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</si>
  <si>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</si>
  <si>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</si>
  <si>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</si>
  <si>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</si>
  <si>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</si>
  <si>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</si>
  <si>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</si>
  <si>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</si>
  <si>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</si>
  <si>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</si>
  <si>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</si>
  <si>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</si>
  <si>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</si>
  <si>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</si>
  <si>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</si>
  <si>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</si>
  <si>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</si>
  <si>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</si>
  <si>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</si>
  <si>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</si>
  <si>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</si>
  <si>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</si>
  <si>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</si>
  <si>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</si>
  <si>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</si>
  <si>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</si>
  <si>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</si>
  <si>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</si>
  <si>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</si>
  <si>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</si>
  <si>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</si>
  <si>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</si>
  <si>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</si>
  <si>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</si>
  <si>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</si>
  <si>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</si>
  <si>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</si>
  <si>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</si>
  <si>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</si>
  <si>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</si>
  <si>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</si>
  <si>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</si>
  <si>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</si>
  <si>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</si>
  <si>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</si>
  <si>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</si>
  <si>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</si>
  <si>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</si>
  <si>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</si>
  <si>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</si>
  <si>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</si>
  <si>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</si>
  <si>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</si>
  <si>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</si>
  <si>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</si>
  <si>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</si>
  <si>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</si>
  <si>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</si>
  <si>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</si>
  <si>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</si>
  <si>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</si>
  <si>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</si>
  <si>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</si>
  <si>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</si>
  <si>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</si>
  <si>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</si>
  <si>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</si>
  <si>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</si>
  <si>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</si>
  <si>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</si>
  <si>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</si>
  <si>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</si>
  <si>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</si>
  <si>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</si>
  <si>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</si>
  <si>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</si>
  <si>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</si>
  <si>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</si>
  <si>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</si>
  <si>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</si>
  <si>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</si>
  <si>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</si>
  <si>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</si>
  <si>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</si>
  <si>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</si>
  <si>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</si>
  <si>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</si>
  <si>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</si>
  <si>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</si>
  <si>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</si>
  <si>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</si>
  <si>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</si>
  <si>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</si>
  <si>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</si>
  <si>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</si>
  <si>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</si>
  <si>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</si>
  <si>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</si>
  <si>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</si>
  <si>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</si>
  <si>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</si>
  <si>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</si>
  <si>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</si>
  <si>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</si>
  <si>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</si>
  <si>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</si>
  <si>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</si>
  <si>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</si>
  <si>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</si>
  <si>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</si>
  <si>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</si>
  <si>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</si>
  <si>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</si>
  <si>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</si>
  <si>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</si>
  <si>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</si>
  <si>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</si>
  <si>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</si>
  <si>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</si>
  <si>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</si>
  <si>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</si>
  <si>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</si>
  <si>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</si>
  <si>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</si>
  <si>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</si>
  <si>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</si>
  <si>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</si>
  <si>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</si>
  <si>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</si>
  <si>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</si>
  <si>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</si>
  <si>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</si>
  <si>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</si>
  <si>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</si>
  <si>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</si>
  <si>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</si>
  <si>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</si>
  <si>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</si>
  <si>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</si>
  <si>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</si>
  <si>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</si>
  <si>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</si>
  <si>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</si>
  <si>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</si>
  <si>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</si>
  <si>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</si>
  <si>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</si>
  <si>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</si>
  <si>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</si>
  <si>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</si>
  <si>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</si>
  <si>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</si>
  <si>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</si>
  <si>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</si>
  <si>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</si>
  <si>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</si>
  <si>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</si>
  <si>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</si>
  <si>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</si>
  <si>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</si>
  <si>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</si>
  <si>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</si>
  <si>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</si>
  <si>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</si>
  <si>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</si>
  <si>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</si>
  <si>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</si>
  <si>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</si>
  <si>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</si>
  <si>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</si>
  <si>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MONOFASICO 0,50 CV DIAMETRO DE SUCCAO X ELEVACAO 3/4" X 3/4", MONOESTAGIO, DIAMETRO DOS ROTORES 114 MM, HM/Q: 2 M / 2,99 M3/H A 24 M / 0,71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</si>
  <si>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</si>
  <si>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</si>
  <si>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</si>
  <si>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</si>
  <si>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</si>
  <si>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</si>
  <si>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</si>
  <si>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</si>
  <si>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</si>
  <si>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</si>
  <si>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</si>
  <si>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</si>
  <si>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</si>
  <si>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</si>
  <si>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</si>
  <si>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</si>
  <si>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</si>
  <si>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</si>
  <si>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</si>
  <si>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</si>
  <si>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</si>
  <si>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</si>
  <si>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</si>
  <si>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</si>
  <si>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</si>
  <si>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</si>
  <si>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</si>
  <si>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</si>
  <si>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</si>
  <si>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</si>
  <si>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</si>
  <si>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</si>
  <si>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</si>
  <si>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</si>
  <si>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</si>
  <si>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</si>
  <si>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</si>
  <si>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</si>
  <si>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</si>
  <si>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</si>
  <si>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</si>
  <si>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</si>
  <si>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</si>
  <si>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</si>
  <si>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</si>
  <si>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</si>
  <si>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</si>
  <si>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</si>
  <si>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</si>
  <si>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</si>
  <si>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</si>
  <si>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</si>
  <si>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</si>
  <si>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</si>
  <si>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</si>
  <si>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</si>
  <si>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</si>
  <si>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</si>
  <si>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</si>
  <si>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</si>
  <si>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</si>
  <si>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</si>
  <si>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</si>
  <si>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</si>
  <si>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</si>
  <si>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</si>
  <si>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</si>
  <si>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</si>
  <si>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</si>
  <si>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</si>
  <si>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</si>
  <si>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</si>
  <si>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</si>
  <si>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</si>
  <si>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</si>
  <si>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</si>
  <si>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</si>
  <si>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</si>
  <si>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</si>
  <si>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</si>
  <si>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</si>
  <si>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</si>
  <si>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</si>
  <si>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</si>
  <si>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</si>
  <si>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</si>
  <si>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</si>
  <si>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</si>
  <si>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</si>
  <si>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</si>
  <si>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</si>
  <si>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</si>
  <si>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</si>
  <si>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</si>
  <si>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</si>
  <si>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</si>
  <si>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</si>
  <si>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</si>
  <si>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</si>
  <si>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</si>
  <si>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</si>
  <si>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</si>
  <si>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</si>
  <si>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</si>
  <si>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</si>
  <si>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</si>
  <si>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</si>
  <si>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</si>
  <si>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</si>
  <si>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</si>
  <si>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</si>
  <si>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</si>
  <si>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</si>
  <si>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</si>
  <si>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</si>
  <si>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</si>
  <si>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</si>
  <si>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</si>
  <si>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</si>
  <si>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</si>
  <si>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</si>
  <si>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</si>
  <si>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</si>
  <si>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</si>
  <si>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</si>
  <si>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</si>
  <si>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</si>
  <si>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</si>
  <si>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</si>
  <si>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</si>
  <si>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</si>
  <si>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</si>
  <si>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</si>
  <si>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</si>
  <si>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</si>
  <si>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</si>
  <si>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</si>
  <si>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</si>
  <si>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</si>
  <si>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</si>
  <si>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</si>
  <si>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</si>
  <si>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</si>
  <si>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</si>
  <si>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</si>
  <si>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</si>
  <si>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</si>
  <si>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</si>
  <si>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</si>
  <si>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</si>
  <si>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</si>
  <si>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</si>
  <si>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</si>
  <si>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</si>
  <si>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</si>
  <si>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</si>
  <si>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</si>
  <si>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</si>
  <si>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</si>
  <si>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</si>
  <si>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</si>
  <si>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</si>
  <si>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</si>
  <si>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</si>
  <si>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</si>
  <si>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</si>
  <si>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</si>
  <si>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</si>
  <si>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</si>
  <si>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</si>
  <si>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</si>
  <si>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</si>
  <si>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</si>
  <si>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</si>
  <si>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</si>
  <si>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</si>
  <si>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</si>
  <si>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</si>
  <si>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</si>
  <si>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</si>
  <si>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</si>
  <si>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</si>
  <si>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</si>
  <si>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</si>
  <si>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</si>
  <si>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</si>
  <si>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</si>
  <si>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</si>
  <si>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</si>
  <si>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</si>
  <si>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</si>
  <si>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</si>
  <si>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</si>
  <si>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</si>
  <si>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</si>
  <si>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</si>
  <si>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</si>
  <si>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</si>
  <si>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</si>
  <si>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</si>
  <si>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</si>
  <si>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</si>
  <si>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</si>
  <si>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</si>
  <si>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</si>
  <si>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</si>
  <si>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</si>
  <si>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</si>
  <si>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</si>
  <si>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</si>
  <si>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</si>
  <si>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</si>
  <si>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</si>
  <si>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</si>
  <si>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</si>
  <si>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</si>
  <si>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</si>
  <si>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</si>
  <si>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</si>
  <si>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</si>
  <si>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</si>
  <si>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</si>
  <si>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</si>
  <si>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</si>
  <si>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</si>
  <si>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</si>
  <si>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</si>
  <si>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</si>
  <si>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</si>
  <si>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</si>
  <si>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</si>
  <si>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</si>
  <si>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</si>
  <si>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</si>
  <si>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</si>
  <si>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</si>
  <si>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</si>
  <si>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</si>
  <si>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</si>
  <si>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</si>
  <si>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</si>
  <si>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</si>
  <si>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</si>
  <si>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</si>
  <si>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</si>
  <si>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</si>
  <si>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</si>
  <si>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</si>
  <si>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</si>
  <si>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</si>
  <si>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</si>
  <si>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</si>
  <si>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</si>
  <si>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</si>
  <si>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</si>
  <si>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</si>
  <si>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</si>
  <si>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</si>
  <si>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</si>
  <si>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</si>
  <si>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</si>
  <si>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</si>
  <si>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</si>
  <si>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</si>
  <si>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</si>
  <si>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</si>
  <si>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</si>
  <si>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</si>
  <si>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</si>
  <si>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</si>
  <si>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</si>
  <si>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</si>
  <si>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</si>
  <si>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</si>
  <si>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</si>
  <si>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</si>
  <si>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</si>
  <si>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</si>
  <si>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</si>
  <si>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</si>
  <si>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</si>
  <si>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</si>
  <si>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</si>
  <si>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</si>
  <si>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</si>
  <si>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</si>
  <si>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</si>
  <si>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</si>
  <si>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</si>
  <si>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</si>
  <si>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</si>
  <si>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</si>
  <si>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</si>
  <si>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</si>
  <si>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</si>
  <si>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</si>
  <si>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</si>
  <si>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</si>
  <si>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</si>
  <si>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</si>
  <si>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</si>
  <si>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</si>
  <si>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</si>
  <si>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</si>
  <si>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</si>
  <si>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</si>
  <si>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</si>
  <si>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</si>
  <si>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</si>
  <si>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</si>
  <si>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</si>
  <si>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</si>
  <si>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</si>
  <si>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</si>
  <si>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</si>
  <si>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</si>
  <si>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</si>
  <si>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</si>
  <si>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</si>
  <si>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</si>
  <si>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</si>
  <si>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</si>
  <si>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</si>
  <si>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</si>
  <si>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</si>
  <si>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</si>
  <si>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</si>
  <si>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</si>
  <si>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</si>
  <si>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</si>
  <si>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</si>
  <si>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</si>
  <si>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</si>
  <si>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</si>
  <si>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</si>
  <si>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</si>
  <si>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</si>
  <si>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</si>
  <si>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</si>
  <si>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</si>
  <si>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</si>
  <si>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</si>
  <si>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</si>
  <si>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</si>
  <si>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</si>
  <si>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</si>
  <si>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</si>
  <si>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</si>
  <si>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</si>
  <si>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</si>
  <si>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</si>
  <si>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</si>
  <si>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</si>
  <si>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</si>
  <si>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</si>
  <si>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</si>
  <si>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</si>
  <si>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</si>
  <si>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</si>
  <si>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</si>
  <si>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</si>
  <si>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</si>
  <si>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</si>
  <si>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</si>
  <si>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</si>
  <si>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</si>
  <si>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</si>
  <si>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</si>
  <si>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</si>
  <si>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</si>
  <si>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</si>
  <si>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</si>
  <si>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</si>
  <si>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</si>
  <si>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</si>
  <si>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</si>
  <si>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</si>
  <si>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</si>
  <si>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</si>
  <si>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</si>
  <si>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</si>
  <si>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</si>
  <si>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</si>
  <si>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</si>
  <si>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</si>
  <si>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</si>
  <si>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</si>
  <si>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</si>
  <si>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</si>
  <si>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</si>
  <si>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</si>
  <si>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</si>
  <si>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</si>
  <si>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</si>
  <si>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</si>
  <si>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</si>
  <si>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</si>
  <si>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</si>
  <si>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</si>
  <si>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</si>
  <si>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</si>
  <si>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</si>
  <si>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</si>
  <si>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</si>
  <si>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</si>
  <si>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</si>
  <si>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</si>
  <si>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</si>
  <si>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</si>
  <si>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</si>
  <si>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</si>
  <si>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</si>
  <si>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</si>
  <si>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</si>
  <si>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</si>
  <si>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</si>
  <si>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</si>
  <si>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</si>
  <si>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</si>
  <si>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</si>
  <si>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</si>
  <si>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</si>
  <si>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</si>
  <si>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</si>
  <si>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</si>
  <si>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</si>
  <si>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</si>
  <si>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</si>
  <si>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</si>
  <si>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</si>
  <si>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</si>
  <si>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</si>
  <si>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</si>
  <si>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</si>
  <si>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</si>
  <si>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</si>
  <si>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</si>
  <si>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</si>
  <si>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</si>
  <si>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</si>
  <si>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</si>
  <si>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</si>
  <si>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</si>
  <si>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</si>
  <si>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</si>
  <si>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</si>
  <si>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</si>
  <si>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</si>
  <si>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</si>
  <si>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</si>
  <si>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</si>
  <si>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</si>
  <si>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</si>
  <si>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</si>
  <si>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</si>
  <si>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</si>
  <si>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</si>
  <si>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</si>
  <si>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</si>
  <si>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</si>
  <si>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</si>
  <si>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</si>
  <si>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</si>
  <si>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</si>
  <si>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</si>
  <si>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</si>
  <si>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</si>
  <si>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</si>
  <si>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</si>
  <si>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</si>
  <si>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</si>
  <si>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</si>
  <si>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</si>
  <si>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</si>
  <si>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</si>
  <si>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</si>
  <si>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</si>
  <si>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</si>
  <si>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</si>
  <si>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</si>
  <si>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</si>
  <si>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</si>
  <si>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</si>
  <si>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</si>
  <si>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</si>
  <si>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</si>
  <si>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</si>
  <si>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</si>
  <si>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</si>
  <si>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</si>
  <si>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</si>
  <si>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</si>
  <si>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</si>
  <si>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</si>
  <si>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</si>
  <si>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</si>
  <si>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</si>
  <si>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</si>
  <si>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</si>
  <si>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</si>
  <si>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</si>
  <si>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</si>
  <si>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</si>
  <si>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</si>
  <si>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</si>
  <si>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</si>
  <si>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</si>
  <si>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</si>
  <si>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</si>
  <si>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</si>
  <si>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</si>
  <si>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</si>
  <si>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</si>
  <si>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</si>
  <si>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</si>
  <si>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</si>
  <si>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</si>
  <si>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SAE 1020, BITOLA 1/4", E = 6,35 MM (49,85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</si>
  <si>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</si>
  <si>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</si>
  <si>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</si>
  <si>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</si>
  <si>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</si>
  <si>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</si>
  <si>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</si>
  <si>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</si>
  <si>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</si>
  <si>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</si>
  <si>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</si>
  <si>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</si>
  <si>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</si>
  <si>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</si>
  <si>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</si>
  <si>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</si>
  <si>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</si>
  <si>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</si>
  <si>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</si>
  <si>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</si>
  <si>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</si>
  <si>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</si>
  <si>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</si>
  <si>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</si>
  <si>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</si>
  <si>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</si>
  <si>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</si>
  <si>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</si>
  <si>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</si>
  <si>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</si>
  <si>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</si>
  <si>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</si>
  <si>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</si>
  <si>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</si>
  <si>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</si>
  <si>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</si>
  <si>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</si>
  <si>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</si>
  <si>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</si>
  <si>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</si>
  <si>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</si>
  <si>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</si>
  <si>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</si>
  <si>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</si>
  <si>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</si>
  <si>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</si>
  <si>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</si>
  <si>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</si>
  <si>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</si>
  <si>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</si>
  <si>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</si>
  <si>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</si>
  <si>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</si>
  <si>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</si>
  <si>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</si>
  <si>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</si>
  <si>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</si>
  <si>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</si>
  <si>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</si>
  <si>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</si>
  <si>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</si>
  <si>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</si>
  <si>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</si>
  <si>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</si>
  <si>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</si>
  <si>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</si>
  <si>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</si>
  <si>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</si>
  <si>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</si>
  <si>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</si>
  <si>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</si>
  <si>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</si>
  <si>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</si>
  <si>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</si>
  <si>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</si>
  <si>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</si>
  <si>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</si>
  <si>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</si>
  <si>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</si>
  <si>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</si>
  <si>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</si>
  <si>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</si>
  <si>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</si>
  <si>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</si>
  <si>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</si>
  <si>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</si>
  <si>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</si>
  <si>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</si>
  <si>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</si>
  <si>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</si>
  <si>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</si>
  <si>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</si>
  <si>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</si>
  <si>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</si>
  <si>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</si>
  <si>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</si>
  <si>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</si>
  <si>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</si>
  <si>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</si>
  <si>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</si>
  <si>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</si>
  <si>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</si>
  <si>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</si>
  <si>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</si>
  <si>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</si>
  <si>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</si>
  <si>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</si>
  <si>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</si>
  <si>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</si>
  <si>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</si>
  <si>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</si>
  <si>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</si>
  <si>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</si>
  <si>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</si>
  <si>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</si>
  <si>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</si>
  <si>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</si>
  <si>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</si>
  <si>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</si>
  <si>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</si>
  <si>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</si>
  <si>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</si>
  <si>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</si>
  <si>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</si>
  <si>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</si>
  <si>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</si>
  <si>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</si>
  <si>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</si>
  <si>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</si>
  <si>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</si>
  <si>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</si>
  <si>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</si>
  <si>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</si>
  <si>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</si>
  <si>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</si>
  <si>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</si>
  <si>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</si>
  <si>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</si>
  <si>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</si>
  <si>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</si>
  <si>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</si>
  <si>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</si>
  <si>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</si>
  <si>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</si>
  <si>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</si>
  <si>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</si>
  <si>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</si>
  <si>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</si>
  <si>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</si>
  <si>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</si>
  <si>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</si>
  <si>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</si>
  <si>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</si>
  <si>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</si>
  <si>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</si>
  <si>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</si>
  <si>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</si>
  <si>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</si>
  <si>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</si>
  <si>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</si>
  <si>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</si>
  <si>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</si>
  <si>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</si>
  <si>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</si>
  <si>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</si>
  <si>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</si>
  <si>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</si>
  <si>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</si>
  <si>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</si>
  <si>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</si>
  <si>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</si>
  <si>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</si>
  <si>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</si>
  <si>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</si>
  <si>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</si>
  <si>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</si>
  <si>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</si>
  <si>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</si>
  <si>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</si>
  <si>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</si>
  <si>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</si>
  <si>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</si>
  <si>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</si>
  <si>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</si>
  <si>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</si>
  <si>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</si>
  <si>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</si>
  <si>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</si>
  <si>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</si>
  <si>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</si>
  <si>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</si>
  <si>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</si>
  <si>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</si>
  <si>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</si>
  <si>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</si>
  <si>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</si>
  <si>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</si>
  <si>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</si>
  <si>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</si>
  <si>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</si>
  <si>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</si>
  <si>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</si>
  <si>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</si>
  <si>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</si>
  <si>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</si>
  <si>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</si>
  <si>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</si>
  <si>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</si>
  <si>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</si>
  <si>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</si>
  <si>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</si>
  <si>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</si>
  <si>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</si>
  <si>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</si>
  <si>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</si>
  <si>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</si>
  <si>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</si>
  <si>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</si>
  <si>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</si>
  <si>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</si>
  <si>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</si>
  <si>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</si>
  <si>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</si>
  <si>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</si>
  <si>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</si>
  <si>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</si>
  <si>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</si>
  <si>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</si>
  <si>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</si>
  <si>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</si>
  <si>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</si>
  <si>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</si>
  <si>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</si>
  <si>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</si>
  <si>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</si>
  <si>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</si>
  <si>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</si>
  <si>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</si>
  <si>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</si>
  <si>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</si>
  <si>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</si>
  <si>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</si>
  <si>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</si>
  <si>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</si>
  <si>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</si>
  <si>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</si>
  <si>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</si>
  <si>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</si>
  <si>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</si>
  <si>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</si>
  <si>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</si>
  <si>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</si>
  <si>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</si>
  <si>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</si>
  <si>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</si>
  <si>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</si>
  <si>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</si>
  <si>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</si>
  <si>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</si>
  <si>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</si>
  <si>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</si>
  <si>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</si>
  <si>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</si>
  <si>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</si>
  <si>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</si>
  <si>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</si>
  <si>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</si>
  <si>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</si>
  <si>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</si>
  <si>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</si>
  <si>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</si>
  <si>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</si>
  <si>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</si>
  <si>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</si>
  <si>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</si>
  <si>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</si>
  <si>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</si>
  <si>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</si>
  <si>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</si>
  <si>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</si>
  <si>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</si>
  <si>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</si>
  <si>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</si>
  <si>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</si>
  <si>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</si>
  <si>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</si>
  <si>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</si>
  <si>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</si>
  <si>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</si>
  <si>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</si>
  <si>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</si>
  <si>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</si>
  <si>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</si>
  <si>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</si>
  <si>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</si>
  <si>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</si>
  <si>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</si>
  <si>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</si>
  <si>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</si>
  <si>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</si>
  <si>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</si>
  <si>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</si>
  <si>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</si>
  <si>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</si>
  <si>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</si>
  <si>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</si>
  <si>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</si>
  <si>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</si>
  <si>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</si>
  <si>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</si>
  <si>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</si>
  <si>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</si>
  <si>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</si>
  <si>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</si>
  <si>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</si>
  <si>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</si>
  <si>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</si>
  <si>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</si>
  <si>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</si>
  <si>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</si>
  <si>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</si>
  <si>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</si>
  <si>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</si>
  <si>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</si>
  <si>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</si>
  <si>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</si>
  <si>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</si>
  <si>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</si>
  <si>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</si>
  <si>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</si>
  <si>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</si>
  <si>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</si>
  <si>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</si>
  <si>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</si>
  <si>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</si>
  <si>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</si>
  <si>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</si>
  <si>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</si>
  <si>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</si>
  <si>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</si>
  <si>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</si>
  <si>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</si>
  <si>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</si>
  <si>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</si>
  <si>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</si>
  <si>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</si>
  <si>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</si>
  <si>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</si>
  <si>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</si>
  <si>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</si>
  <si>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</si>
  <si>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</si>
  <si>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</si>
  <si>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</si>
  <si>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</si>
  <si>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</si>
  <si>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</si>
  <si>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</si>
  <si>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</si>
  <si>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</si>
  <si>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</si>
  <si>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</si>
  <si>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</si>
  <si>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</si>
  <si>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</si>
  <si>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</si>
  <si>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</si>
  <si>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</si>
  <si>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</si>
  <si>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</si>
  <si>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</si>
  <si>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</si>
  <si>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</si>
  <si>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</si>
  <si>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</si>
  <si>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</si>
  <si>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</si>
  <si>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</si>
  <si>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</si>
  <si>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</si>
  <si>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</si>
  <si>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</si>
  <si>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</si>
  <si>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</si>
  <si>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</si>
  <si>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</si>
  <si>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</si>
  <si>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</si>
  <si>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</si>
  <si>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</si>
  <si>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</si>
  <si>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</si>
  <si>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</si>
  <si>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</si>
  <si>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</si>
  <si>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</si>
  <si>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</si>
  <si>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</si>
  <si>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</si>
  <si>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</si>
  <si>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</si>
  <si>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</si>
  <si>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</si>
  <si>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</si>
  <si>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</si>
  <si>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</si>
  <si>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</si>
  <si>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</si>
  <si>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</si>
  <si>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</si>
  <si>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</si>
  <si>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</si>
  <si>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</si>
  <si>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</si>
  <si>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</si>
  <si>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</si>
  <si>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</si>
  <si>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</si>
  <si>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</si>
  <si>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</si>
  <si>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</si>
  <si>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</si>
  <si>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</si>
  <si>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</si>
  <si>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</si>
  <si>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</si>
  <si>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</si>
  <si>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</si>
  <si>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</si>
  <si>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</si>
  <si>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</si>
  <si>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</si>
  <si>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</si>
  <si>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</si>
  <si>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</si>
  <si>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</si>
  <si>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</si>
  <si>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</si>
  <si>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</si>
  <si>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</si>
  <si>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</si>
  <si>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</si>
  <si>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</si>
  <si>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</si>
  <si>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</si>
  <si>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</si>
  <si>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</si>
  <si>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</si>
  <si>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</si>
  <si>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</si>
  <si>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</si>
  <si>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</si>
  <si>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</si>
  <si>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</si>
  <si>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</si>
  <si>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</si>
  <si>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</si>
  <si>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</si>
  <si>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</si>
  <si>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</si>
  <si>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</si>
  <si>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</si>
  <si>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</si>
  <si>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</si>
  <si>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</si>
  <si>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</si>
  <si>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</si>
  <si>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</si>
  <si>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</si>
  <si>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</si>
  <si>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</si>
  <si>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</si>
  <si>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</si>
  <si>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</si>
  <si>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</si>
  <si>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</si>
  <si>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</si>
  <si>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</si>
  <si>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</si>
  <si>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</si>
  <si>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</si>
  <si>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</si>
  <si>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</si>
  <si>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</si>
  <si>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</si>
  <si>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</si>
  <si>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</si>
  <si>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</si>
  <si>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</si>
  <si>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</si>
  <si>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</si>
  <si>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</si>
  <si>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</si>
  <si>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</si>
  <si>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</si>
  <si>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</si>
  <si>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</si>
  <si>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</si>
  <si>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</si>
  <si>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</si>
  <si>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</si>
  <si>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</si>
  <si>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</si>
  <si>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</si>
  <si>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</si>
  <si>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</si>
  <si>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</si>
  <si>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</si>
  <si>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</si>
  <si>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</si>
  <si>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</si>
  <si>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</si>
  <si>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</si>
  <si>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</si>
  <si>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</si>
  <si>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</si>
  <si>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</si>
  <si>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</si>
  <si>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</si>
  <si>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</si>
  <si>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</si>
  <si>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</si>
  <si>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</si>
  <si>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</si>
  <si>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</si>
  <si>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</si>
  <si>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</si>
  <si>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</si>
  <si>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</si>
  <si>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</si>
  <si>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</si>
  <si>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</si>
  <si>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</si>
  <si>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</si>
  <si>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</si>
  <si>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</si>
  <si>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</si>
  <si>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</si>
  <si>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</si>
  <si>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</si>
  <si>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</si>
  <si>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</si>
  <si>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</si>
  <si>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</si>
  <si>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</si>
  <si>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</si>
  <si>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</si>
  <si>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</si>
  <si>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</si>
  <si>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</si>
  <si>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</si>
  <si>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</si>
  <si>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</si>
  <si>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</si>
  <si>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</si>
  <si>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</si>
  <si>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</si>
  <si>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</si>
  <si>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</si>
  <si>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</si>
  <si>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</si>
  <si>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</si>
  <si>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</si>
  <si>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</si>
  <si>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</si>
  <si>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CORTE DIAMANTADO SEGMENTADO PARA CONCRETO, DIAMETRO DE 110 MM, FURO DE 20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</si>
  <si>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</si>
  <si>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</si>
  <si>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</si>
  <si>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</si>
  <si>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</si>
  <si>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</si>
  <si>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</si>
  <si>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</si>
  <si>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</si>
  <si>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</si>
  <si>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</si>
  <si>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</si>
  <si>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</si>
  <si>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</si>
  <si>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</si>
  <si>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</si>
  <si>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</si>
  <si>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</si>
  <si>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</si>
  <si>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</si>
  <si>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</si>
  <si>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</si>
  <si>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</si>
  <si>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</si>
  <si>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</si>
  <si>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</si>
  <si>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</si>
  <si>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</si>
  <si>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</si>
  <si>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</si>
  <si>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</si>
  <si>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</si>
  <si>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</si>
  <si>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</si>
  <si>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</si>
  <si>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</si>
  <si>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</si>
  <si>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</si>
  <si>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</si>
  <si>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</si>
  <si>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</si>
  <si>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</si>
  <si>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</si>
  <si>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</si>
  <si>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</si>
  <si>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</si>
  <si>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</si>
  <si>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</si>
  <si>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</si>
  <si>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</si>
  <si>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</si>
  <si>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</si>
  <si>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</si>
  <si>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</si>
  <si>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</si>
  <si>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</si>
  <si>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</si>
  <si>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</si>
  <si>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</si>
  <si>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</si>
  <si>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</si>
  <si>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</si>
  <si>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</si>
  <si>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</si>
  <si>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</si>
  <si>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</si>
  <si>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</si>
  <si>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</si>
  <si>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</si>
  <si>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</si>
  <si>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DOBRADEIRA ELETROMECANICA DE VERGALHAO, PARA ACO DE DIAMETRO ATE 1 1/2", MOTOR ELETRICO TRIFASICO, POTENCIA DE 3 HP ATE 5 HP                                                                                                                                                                                                                                                                                                                                                                              </t>
  </si>
  <si>
    <t xml:space="preserve">DOBRADICA EM ACO/FERRO, 3" X 2 1/2", E= 1,2 A 1,8 MM, SEM ANEL, CROMADO OU ZINCADO, TAMPA BOLA,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</si>
  <si>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</si>
  <si>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</si>
  <si>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</si>
  <si>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</si>
  <si>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</si>
  <si>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</si>
  <si>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</si>
  <si>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</si>
  <si>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</si>
  <si>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</si>
  <si>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</si>
  <si>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</si>
  <si>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</si>
  <si>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</si>
  <si>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</si>
  <si>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</si>
  <si>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</si>
  <si>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</si>
  <si>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</si>
  <si>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</si>
  <si>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</si>
  <si>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</si>
  <si>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</si>
  <si>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</si>
  <si>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</si>
  <si>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</si>
  <si>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</si>
  <si>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</si>
  <si>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</si>
  <si>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</si>
  <si>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</si>
  <si>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</si>
  <si>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</si>
  <si>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</si>
  <si>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</si>
  <si>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</si>
  <si>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</si>
  <si>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</si>
  <si>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</si>
  <si>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</si>
  <si>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</si>
  <si>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</si>
  <si>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</si>
  <si>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</si>
  <si>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</si>
  <si>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</si>
  <si>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</si>
  <si>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</si>
  <si>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</si>
  <si>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</si>
  <si>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</si>
  <si>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</si>
  <si>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</si>
  <si>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</si>
  <si>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</si>
  <si>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</si>
  <si>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</si>
  <si>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</si>
  <si>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</si>
  <si>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</si>
  <si>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</si>
  <si>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</si>
  <si>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</si>
  <si>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</si>
  <si>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</si>
  <si>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</si>
  <si>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</si>
  <si>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</si>
  <si>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</si>
  <si>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</si>
  <si>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</si>
  <si>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</si>
  <si>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</si>
  <si>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</si>
  <si>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</si>
  <si>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</si>
  <si>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</si>
  <si>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</si>
  <si>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</si>
  <si>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</si>
  <si>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</si>
  <si>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</si>
  <si>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</si>
  <si>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</si>
  <si>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</si>
  <si>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</si>
  <si>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</si>
  <si>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</si>
  <si>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</si>
  <si>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</si>
  <si>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</si>
  <si>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</si>
  <si>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</si>
  <si>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</si>
  <si>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</si>
  <si>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</si>
  <si>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</si>
  <si>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</si>
  <si>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</si>
  <si>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</si>
  <si>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</si>
  <si>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</si>
  <si>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</si>
  <si>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</si>
  <si>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</si>
  <si>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</si>
  <si>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</si>
  <si>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</si>
  <si>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</si>
  <si>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</si>
  <si>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</si>
  <si>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</si>
  <si>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</si>
  <si>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</si>
  <si>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</si>
  <si>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</si>
  <si>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</si>
  <si>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</si>
  <si>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</si>
  <si>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</si>
  <si>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</si>
  <si>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</si>
  <si>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</si>
  <si>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</si>
  <si>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</si>
  <si>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</si>
  <si>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</si>
  <si>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</si>
  <si>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</si>
  <si>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</si>
  <si>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</si>
  <si>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</si>
  <si>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</si>
  <si>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</si>
  <si>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</si>
  <si>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</si>
  <si>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</si>
  <si>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</si>
  <si>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</si>
  <si>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</si>
  <si>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</si>
  <si>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</si>
  <si>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</si>
  <si>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</si>
  <si>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</si>
  <si>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</si>
  <si>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</si>
  <si>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</si>
  <si>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</si>
  <si>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</si>
  <si>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</si>
  <si>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</si>
  <si>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</si>
  <si>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</si>
  <si>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</si>
  <si>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</si>
  <si>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</si>
  <si>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</si>
  <si>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</si>
  <si>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</si>
  <si>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</si>
  <si>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</si>
  <si>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</si>
  <si>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</si>
  <si>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</si>
  <si>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</si>
  <si>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</si>
  <si>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</si>
  <si>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</si>
  <si>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</si>
  <si>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</si>
  <si>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</si>
  <si>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</si>
  <si>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</si>
  <si>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</si>
  <si>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</si>
  <si>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</si>
  <si>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</si>
  <si>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</si>
  <si>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</si>
  <si>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</si>
  <si>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</si>
  <si>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</si>
  <si>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</si>
  <si>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</si>
  <si>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</si>
  <si>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</si>
  <si>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</si>
  <si>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</si>
  <si>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</si>
  <si>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</si>
  <si>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</si>
  <si>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</si>
  <si>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</si>
  <si>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</si>
  <si>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</si>
  <si>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</si>
  <si>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</si>
  <si>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</si>
  <si>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</si>
  <si>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</si>
  <si>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</si>
  <si>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</si>
  <si>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</si>
  <si>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</si>
  <si>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</si>
  <si>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</si>
  <si>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</si>
  <si>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</si>
  <si>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</si>
  <si>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</si>
  <si>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</si>
  <si>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</si>
  <si>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</si>
  <si>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</si>
  <si>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</si>
  <si>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</si>
  <si>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</si>
  <si>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</si>
  <si>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</si>
  <si>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</si>
  <si>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</si>
  <si>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</si>
  <si>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</si>
  <si>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</si>
  <si>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</si>
  <si>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</si>
  <si>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</si>
  <si>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</si>
  <si>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</si>
  <si>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</si>
  <si>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</si>
  <si>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</si>
  <si>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</si>
  <si>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</si>
  <si>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</si>
  <si>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</si>
  <si>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</si>
  <si>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</si>
  <si>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</si>
  <si>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</si>
  <si>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</si>
  <si>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</si>
  <si>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</si>
  <si>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</si>
  <si>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</si>
  <si>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</si>
  <si>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</si>
  <si>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</si>
  <si>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</si>
  <si>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</si>
  <si>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</si>
  <si>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</si>
  <si>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</si>
  <si>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</si>
  <si>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</si>
  <si>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</si>
  <si>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</si>
  <si>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</si>
  <si>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</si>
  <si>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</si>
  <si>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</si>
  <si>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</si>
  <si>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</si>
  <si>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</si>
  <si>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</si>
  <si>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</si>
  <si>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</si>
  <si>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</si>
  <si>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</si>
  <si>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</si>
  <si>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</si>
  <si>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</si>
  <si>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</si>
  <si>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</si>
  <si>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</si>
  <si>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</si>
  <si>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</si>
  <si>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</si>
  <si>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</si>
  <si>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</si>
  <si>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</si>
  <si>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</si>
  <si>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</si>
  <si>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</si>
  <si>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</si>
  <si>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</si>
  <si>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</si>
  <si>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</si>
  <si>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</si>
  <si>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</si>
  <si>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</si>
  <si>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</si>
  <si>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</si>
  <si>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</si>
  <si>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</si>
  <si>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</si>
  <si>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</si>
  <si>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</si>
  <si>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</si>
  <si>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</si>
  <si>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</si>
  <si>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</si>
  <si>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</si>
  <si>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</si>
  <si>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</si>
  <si>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</si>
  <si>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</si>
  <si>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</si>
  <si>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</si>
  <si>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</si>
  <si>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</si>
  <si>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</si>
  <si>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</si>
  <si>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</si>
  <si>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</si>
  <si>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</si>
  <si>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</si>
  <si>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</si>
  <si>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</si>
  <si>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</si>
  <si>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</si>
  <si>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</si>
  <si>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</si>
  <si>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</si>
  <si>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</si>
  <si>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</si>
  <si>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</si>
  <si>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</si>
  <si>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</si>
  <si>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</si>
  <si>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</si>
  <si>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</si>
  <si>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</si>
  <si>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</si>
  <si>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</si>
  <si>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</si>
  <si>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</si>
  <si>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</si>
  <si>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</si>
  <si>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</si>
  <si>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</si>
  <si>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</si>
  <si>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</si>
  <si>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</si>
  <si>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</si>
  <si>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</si>
  <si>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</si>
  <si>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</si>
  <si>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</si>
  <si>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</si>
  <si>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</si>
  <si>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</si>
  <si>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</si>
  <si>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</si>
  <si>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</si>
  <si>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</si>
  <si>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</si>
  <si>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</si>
  <si>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</si>
  <si>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</si>
  <si>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</si>
  <si>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</si>
  <si>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SOBREPOR, EM LATAO / ZAMAC, PARA JANELA PIVOTANTE - INCLUI PARAFUSOS                                                                                                                                                                                                                                                                                                                                                                                                                             </t>
  </si>
  <si>
    <t xml:space="preserve">GRADE DE DISCOS COM CONTROLE REMOTO, REBOCAVEL, COM 24 DISCOS 24" X 6 MM, COM PNEUS PARA TRANSPORTE                                                                                                                                                                                                                                                                                                                                                                                                       </t>
  </si>
  <si>
    <t xml:space="preserve">GRAMA BATATAIS EM PLACAS, SEM PLANTIO                                                                                                                                                                                                                                                                                                                                                                                                                                                                     </t>
  </si>
  <si>
    <t xml:space="preserve">GRAMA ESMERALDA OU SAO CARLOS OU CURITIBANA, EM PLACAS, SEM PLANTIO                                                                                                                                                                                                                                                                                                                                                                                                                                       </t>
  </si>
  <si>
    <t xml:space="preserve">GRAMPO LINHA VIVA DE LATAO ESTANHADO, DIAMETRO DO CONDUTOR PRINCIPAL DE 10 A 120 MM2, DIAMETRO DA DERIVACAO DE 10 A 70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</si>
  <si>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</si>
  <si>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</si>
  <si>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</si>
  <si>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</si>
  <si>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</si>
  <si>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</si>
  <si>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</si>
  <si>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</si>
  <si>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</si>
  <si>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</si>
  <si>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</si>
  <si>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</si>
  <si>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</si>
  <si>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</si>
  <si>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</si>
  <si>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</si>
  <si>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</si>
  <si>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</si>
  <si>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</si>
  <si>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</si>
  <si>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</si>
  <si>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</si>
  <si>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</si>
  <si>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</si>
  <si>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</si>
  <si>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</si>
  <si>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</si>
  <si>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</si>
  <si>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</si>
  <si>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</si>
  <si>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</si>
  <si>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</si>
  <si>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</si>
  <si>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</si>
  <si>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</si>
  <si>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</si>
  <si>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</si>
  <si>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</si>
  <si>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</si>
  <si>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</si>
  <si>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</si>
  <si>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</si>
  <si>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</si>
  <si>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14340 KG, MOMENTO MAXIMO DE CARGA 42,3 TM, ALCANCE MAXIMO HORIZONTAL 16,80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</si>
  <si>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</si>
  <si>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</si>
  <si>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</si>
  <si>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</si>
  <si>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</si>
  <si>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</si>
  <si>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</si>
  <si>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</si>
  <si>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</si>
  <si>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</si>
  <si>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</si>
  <si>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</si>
  <si>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</si>
  <si>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</si>
  <si>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</si>
  <si>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</si>
  <si>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</si>
  <si>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</si>
  <si>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</si>
  <si>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</si>
  <si>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</si>
  <si>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</si>
  <si>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</si>
  <si>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IMPERMEABILIZADOR (HORISTA)                                                                                                                                                                                                                                                                                                                                                                                                                                                                               </t>
  </si>
  <si>
    <t xml:space="preserve">IMPERMEABILIZADOR (MENSALISTA)                                                                                                                                                                                                                                                                                                                                                                                                                                                                            </t>
  </si>
  <si>
    <t xml:space="preserve">IMPERMEABILIZANTE FLEXIVEL BRANCO DE BASE ACRILICA PARA COBERTURAS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</si>
  <si>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</si>
  <si>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</si>
  <si>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</si>
  <si>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</si>
  <si>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</si>
  <si>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</si>
  <si>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</si>
  <si>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</si>
  <si>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</si>
  <si>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</si>
  <si>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</si>
  <si>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</si>
  <si>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</si>
  <si>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</si>
  <si>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</si>
  <si>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</si>
  <si>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</si>
  <si>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</si>
  <si>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</si>
  <si>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</si>
  <si>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</si>
  <si>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</si>
  <si>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</si>
  <si>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</si>
  <si>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</si>
  <si>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</si>
  <si>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</si>
  <si>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</si>
  <si>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</si>
  <si>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</si>
  <si>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</si>
  <si>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</si>
  <si>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</si>
  <si>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</si>
  <si>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</si>
  <si>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</si>
  <si>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</si>
  <si>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</si>
  <si>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</si>
  <si>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</si>
  <si>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</si>
  <si>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</si>
  <si>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</si>
  <si>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</si>
  <si>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</si>
  <si>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</si>
  <si>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</si>
  <si>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</si>
  <si>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</si>
  <si>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</si>
  <si>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</si>
  <si>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</si>
  <si>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</si>
  <si>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</si>
  <si>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</si>
  <si>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</si>
  <si>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</si>
  <si>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</si>
  <si>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</si>
  <si>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</si>
  <si>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</si>
  <si>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</si>
  <si>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</si>
  <si>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</si>
  <si>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</si>
  <si>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</si>
  <si>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</si>
  <si>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</si>
  <si>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</si>
  <si>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</si>
  <si>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</si>
  <si>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</si>
  <si>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</si>
  <si>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</si>
  <si>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</si>
  <si>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</si>
  <si>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</si>
  <si>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</si>
  <si>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</si>
  <si>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</si>
  <si>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</si>
  <si>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</si>
  <si>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</si>
  <si>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</si>
  <si>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</si>
  <si>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</si>
  <si>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</si>
  <si>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</si>
  <si>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</si>
  <si>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</si>
  <si>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</si>
  <si>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</si>
  <si>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</si>
  <si>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</si>
  <si>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</si>
  <si>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</si>
  <si>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</si>
  <si>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</si>
  <si>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</si>
  <si>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</si>
  <si>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</si>
  <si>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</si>
  <si>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</si>
  <si>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</si>
  <si>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</si>
  <si>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</si>
  <si>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</si>
  <si>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</si>
  <si>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</si>
  <si>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</si>
  <si>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</si>
  <si>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</si>
  <si>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</si>
  <si>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</si>
  <si>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</si>
  <si>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</si>
  <si>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</si>
  <si>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</si>
  <si>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</si>
  <si>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</si>
  <si>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</si>
  <si>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</si>
  <si>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</si>
  <si>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</si>
  <si>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</si>
  <si>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</si>
  <si>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</si>
  <si>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</si>
  <si>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</si>
  <si>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</si>
  <si>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</si>
  <si>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</si>
  <si>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</si>
  <si>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</si>
  <si>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</si>
  <si>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</si>
  <si>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</si>
  <si>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</si>
  <si>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</si>
  <si>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</si>
  <si>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</si>
  <si>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</si>
  <si>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</si>
  <si>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</si>
  <si>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</si>
  <si>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</si>
  <si>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</si>
  <si>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</si>
  <si>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</si>
  <si>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</si>
  <si>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</si>
  <si>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</si>
  <si>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</si>
  <si>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</si>
  <si>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</si>
  <si>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</si>
  <si>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</si>
  <si>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</si>
  <si>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</si>
  <si>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</si>
  <si>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</si>
  <si>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</si>
  <si>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</si>
  <si>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</si>
  <si>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</si>
  <si>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</si>
  <si>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</si>
  <si>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</si>
  <si>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</si>
  <si>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</si>
  <si>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</si>
  <si>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</si>
  <si>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</si>
  <si>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</si>
  <si>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</si>
  <si>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</si>
  <si>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</si>
  <si>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</si>
  <si>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</si>
  <si>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</si>
  <si>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</si>
  <si>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</si>
  <si>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</si>
  <si>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</si>
  <si>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</si>
  <si>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</si>
  <si>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</si>
  <si>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</si>
  <si>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</si>
  <si>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</si>
  <si>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</si>
  <si>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</si>
  <si>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</si>
  <si>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</si>
  <si>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</si>
  <si>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</si>
  <si>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</si>
  <si>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</si>
  <si>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</si>
  <si>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</si>
  <si>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</si>
  <si>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</si>
  <si>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</si>
  <si>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</si>
  <si>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</si>
  <si>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</si>
  <si>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</si>
  <si>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</si>
  <si>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</si>
  <si>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</si>
  <si>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</si>
  <si>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</si>
  <si>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</si>
  <si>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</si>
  <si>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</si>
  <si>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</si>
  <si>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</si>
  <si>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</si>
  <si>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</si>
  <si>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</si>
  <si>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</si>
  <si>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</si>
  <si>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</si>
  <si>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</si>
  <si>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</si>
  <si>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</si>
  <si>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</si>
  <si>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</si>
  <si>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</si>
  <si>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</si>
  <si>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</si>
  <si>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</si>
  <si>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</si>
  <si>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</si>
  <si>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</si>
  <si>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</si>
  <si>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</si>
  <si>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</si>
  <si>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</si>
  <si>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</si>
  <si>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</si>
  <si>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</si>
  <si>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</si>
  <si>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</si>
  <si>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</si>
  <si>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</si>
  <si>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</si>
  <si>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</si>
  <si>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</si>
  <si>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</si>
  <si>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</si>
  <si>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</si>
  <si>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</si>
  <si>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</si>
  <si>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</si>
  <si>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</si>
  <si>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</si>
  <si>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</si>
  <si>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</si>
  <si>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</si>
  <si>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</si>
  <si>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</si>
  <si>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</si>
  <si>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</si>
  <si>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</si>
  <si>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</si>
  <si>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</si>
  <si>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</si>
  <si>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</si>
  <si>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</si>
  <si>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</si>
  <si>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</si>
  <si>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</si>
  <si>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</si>
  <si>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</si>
  <si>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</si>
  <si>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</si>
  <si>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</si>
  <si>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</si>
  <si>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</si>
  <si>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</si>
  <si>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</si>
  <si>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</si>
  <si>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</si>
  <si>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</si>
  <si>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</si>
  <si>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</si>
  <si>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</si>
  <si>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</si>
  <si>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</si>
  <si>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</si>
  <si>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</si>
  <si>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</si>
  <si>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</si>
  <si>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</si>
  <si>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</si>
  <si>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</si>
  <si>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</si>
  <si>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</si>
  <si>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</si>
  <si>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</si>
  <si>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</si>
  <si>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</si>
  <si>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</si>
  <si>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</si>
  <si>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</si>
  <si>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</si>
  <si>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</si>
  <si>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</si>
  <si>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</si>
  <si>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</si>
  <si>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</si>
  <si>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</si>
  <si>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</si>
  <si>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</si>
  <si>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</si>
  <si>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</si>
  <si>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</si>
  <si>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</si>
  <si>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</si>
  <si>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</si>
  <si>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</si>
  <si>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</si>
  <si>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</si>
  <si>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</si>
  <si>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</si>
  <si>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</si>
  <si>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</si>
  <si>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</si>
  <si>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</si>
  <si>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</si>
  <si>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</si>
  <si>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</si>
  <si>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</si>
  <si>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</si>
  <si>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</si>
  <si>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</si>
  <si>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</si>
  <si>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</si>
  <si>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</si>
  <si>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</si>
  <si>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</si>
  <si>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</si>
  <si>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</si>
  <si>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</si>
  <si>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</si>
  <si>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</si>
  <si>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</si>
  <si>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</si>
  <si>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</si>
  <si>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</si>
  <si>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</si>
  <si>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</si>
  <si>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</si>
  <si>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</si>
  <si>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</si>
  <si>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</si>
  <si>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</si>
  <si>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</si>
  <si>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</si>
  <si>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</si>
  <si>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</si>
  <si>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</si>
  <si>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</si>
  <si>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</si>
  <si>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</si>
  <si>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</si>
  <si>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</si>
  <si>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</si>
  <si>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</si>
  <si>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</si>
  <si>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</si>
  <si>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</si>
  <si>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</si>
  <si>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</si>
  <si>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</si>
  <si>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</si>
  <si>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</si>
  <si>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</si>
  <si>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</si>
  <si>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</si>
  <si>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</si>
  <si>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</si>
  <si>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</si>
  <si>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</si>
  <si>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</si>
  <si>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</si>
  <si>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</si>
  <si>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</si>
  <si>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</si>
  <si>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</si>
  <si>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</si>
  <si>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</si>
  <si>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</si>
  <si>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</si>
  <si>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</si>
  <si>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</si>
  <si>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</si>
  <si>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</si>
  <si>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</si>
  <si>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</si>
  <si>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</si>
  <si>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</si>
  <si>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</si>
  <si>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</si>
  <si>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</si>
  <si>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</si>
  <si>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</si>
  <si>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</si>
  <si>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</si>
  <si>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</si>
  <si>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</si>
  <si>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</si>
  <si>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</si>
  <si>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</si>
  <si>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</si>
  <si>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</si>
  <si>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</si>
  <si>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</si>
  <si>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</si>
  <si>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</si>
  <si>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</si>
  <si>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</si>
  <si>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</si>
  <si>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</si>
  <si>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</si>
  <si>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</si>
  <si>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</si>
  <si>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</si>
  <si>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</si>
  <si>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</si>
  <si>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</si>
  <si>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</si>
  <si>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</si>
  <si>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</si>
  <si>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</si>
  <si>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</si>
  <si>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</si>
  <si>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</si>
  <si>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</si>
  <si>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</si>
  <si>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</si>
  <si>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</si>
  <si>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</si>
  <si>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</si>
  <si>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</si>
  <si>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</si>
  <si>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</si>
  <si>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</si>
  <si>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</si>
  <si>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</si>
  <si>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</si>
  <si>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</si>
  <si>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</si>
  <si>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</si>
  <si>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</si>
  <si>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</si>
  <si>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</si>
  <si>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</si>
  <si>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</si>
  <si>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</si>
  <si>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</si>
  <si>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</si>
  <si>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</si>
  <si>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</si>
  <si>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</si>
  <si>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</si>
  <si>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</si>
  <si>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</si>
  <si>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</si>
  <si>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</si>
  <si>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</si>
  <si>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</si>
  <si>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</si>
  <si>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</si>
  <si>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</si>
  <si>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</si>
  <si>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</si>
  <si>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</si>
  <si>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</si>
  <si>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</si>
  <si>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</si>
  <si>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</si>
  <si>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</si>
  <si>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</si>
  <si>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</si>
  <si>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</si>
  <si>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</si>
  <si>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</si>
  <si>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</si>
  <si>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</si>
  <si>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</si>
  <si>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</si>
  <si>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</si>
  <si>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</si>
  <si>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</si>
  <si>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</si>
  <si>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</si>
  <si>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</si>
  <si>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</si>
  <si>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</si>
  <si>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</si>
  <si>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</si>
  <si>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</si>
  <si>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</si>
  <si>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</si>
  <si>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</si>
  <si>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</si>
  <si>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</si>
  <si>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</si>
  <si>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</si>
  <si>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</si>
  <si>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</si>
  <si>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</si>
  <si>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</si>
  <si>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</si>
  <si>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</si>
  <si>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</si>
  <si>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</si>
  <si>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</si>
  <si>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</si>
  <si>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</si>
  <si>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</si>
  <si>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</si>
  <si>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</si>
  <si>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</si>
  <si>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</si>
  <si>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</si>
  <si>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</si>
  <si>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</si>
  <si>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</si>
  <si>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</si>
  <si>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</si>
  <si>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</si>
  <si>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</si>
  <si>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</si>
  <si>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</si>
  <si>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</si>
  <si>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</si>
  <si>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</si>
  <si>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</si>
  <si>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</si>
  <si>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</si>
  <si>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</si>
  <si>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</si>
  <si>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</si>
  <si>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</si>
  <si>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</si>
  <si>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</si>
  <si>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</si>
  <si>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</si>
  <si>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</si>
  <si>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</si>
  <si>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</si>
  <si>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</si>
  <si>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</si>
  <si>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</si>
  <si>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</si>
  <si>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</si>
  <si>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</si>
  <si>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</si>
  <si>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</si>
  <si>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</si>
  <si>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</si>
  <si>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</si>
  <si>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</si>
  <si>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</si>
  <si>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</si>
  <si>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</si>
  <si>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</si>
  <si>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</si>
  <si>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</si>
  <si>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</si>
  <si>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</si>
  <si>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</si>
  <si>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</si>
  <si>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GEOTEXTIL TECIDO DE LAMINETES DE POLIPROPILENO, RESISTENCIA A TRACAO = *25* KN/M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</si>
  <si>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</si>
  <si>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</si>
  <si>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</si>
  <si>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</si>
  <si>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</si>
  <si>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</si>
  <si>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</si>
  <si>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</si>
  <si>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</si>
  <si>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</si>
  <si>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</si>
  <si>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</si>
  <si>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</si>
  <si>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</si>
  <si>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</si>
  <si>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</si>
  <si>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</si>
  <si>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</si>
  <si>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</si>
  <si>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</si>
  <si>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</si>
  <si>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</si>
  <si>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</si>
  <si>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</si>
  <si>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</si>
  <si>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</si>
  <si>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</si>
  <si>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</si>
  <si>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</si>
  <si>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</si>
  <si>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</si>
  <si>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</si>
  <si>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</si>
  <si>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</si>
  <si>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</si>
  <si>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</si>
  <si>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</si>
  <si>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</si>
  <si>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</si>
  <si>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</si>
  <si>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</si>
  <si>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</si>
  <si>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</si>
  <si>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</si>
  <si>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</si>
  <si>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</si>
  <si>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</si>
  <si>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</si>
  <si>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</si>
  <si>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</si>
  <si>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</si>
  <si>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</si>
  <si>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</si>
  <si>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</si>
  <si>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</si>
  <si>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</si>
  <si>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</si>
  <si>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</si>
  <si>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</si>
  <si>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</si>
  <si>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</si>
  <si>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</si>
  <si>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</si>
  <si>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</si>
  <si>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</si>
  <si>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</si>
  <si>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</si>
  <si>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</si>
  <si>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</si>
  <si>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</si>
  <si>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</si>
  <si>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</si>
  <si>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</si>
  <si>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</si>
  <si>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</si>
  <si>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</si>
  <si>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</si>
  <si>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</si>
  <si>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</si>
  <si>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</si>
  <si>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</si>
  <si>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</si>
  <si>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</si>
  <si>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</si>
  <si>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</si>
  <si>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</si>
  <si>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</si>
  <si>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</si>
  <si>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</si>
  <si>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</si>
  <si>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</si>
  <si>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</si>
  <si>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</si>
  <si>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</si>
  <si>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</si>
  <si>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</si>
  <si>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</si>
  <si>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</si>
  <si>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</si>
  <si>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</si>
  <si>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</si>
  <si>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</si>
  <si>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</si>
  <si>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</si>
  <si>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</si>
  <si>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</si>
  <si>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</si>
  <si>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</si>
  <si>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</si>
  <si>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</si>
  <si>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</si>
  <si>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</si>
  <si>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</si>
  <si>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</si>
  <si>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</si>
  <si>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</si>
  <si>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</si>
  <si>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</si>
  <si>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</si>
  <si>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</si>
  <si>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</si>
  <si>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</si>
  <si>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</si>
  <si>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</si>
  <si>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</si>
  <si>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</si>
  <si>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</si>
  <si>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</si>
  <si>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</si>
  <si>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</si>
  <si>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</si>
  <si>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</si>
  <si>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</si>
  <si>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</si>
  <si>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</si>
  <si>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</si>
  <si>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</si>
  <si>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</si>
  <si>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</si>
  <si>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</si>
  <si>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</si>
  <si>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</si>
  <si>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</si>
  <si>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</si>
  <si>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</si>
  <si>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</si>
  <si>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</si>
  <si>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</si>
  <si>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</si>
  <si>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</si>
  <si>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</si>
  <si>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</si>
  <si>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</si>
  <si>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</si>
  <si>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</si>
  <si>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</si>
  <si>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</si>
  <si>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</si>
  <si>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</si>
  <si>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</si>
  <si>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</si>
  <si>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</si>
  <si>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</si>
  <si>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</si>
  <si>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</si>
  <si>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</si>
  <si>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</si>
  <si>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</si>
  <si>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</si>
  <si>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</si>
  <si>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</si>
  <si>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</si>
  <si>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</si>
  <si>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</si>
  <si>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</si>
  <si>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</si>
  <si>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</si>
  <si>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</si>
  <si>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</si>
  <si>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</si>
  <si>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</si>
  <si>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</si>
  <si>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</si>
  <si>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</si>
  <si>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</si>
  <si>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</si>
  <si>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</si>
  <si>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</si>
  <si>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</si>
  <si>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</si>
  <si>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</si>
  <si>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</si>
  <si>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</si>
  <si>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</si>
  <si>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</si>
  <si>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</si>
  <si>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</si>
  <si>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</si>
  <si>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</si>
  <si>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</si>
  <si>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</si>
  <si>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</si>
  <si>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</si>
  <si>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</si>
  <si>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</si>
  <si>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</si>
  <si>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</si>
  <si>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</si>
  <si>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</si>
  <si>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</si>
  <si>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</si>
  <si>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</si>
  <si>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</si>
  <si>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</si>
  <si>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</si>
  <si>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</si>
  <si>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</si>
  <si>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</si>
  <si>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</si>
  <si>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</si>
  <si>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</si>
  <si>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</si>
  <si>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</si>
  <si>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</si>
  <si>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</si>
  <si>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</si>
  <si>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</si>
  <si>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</si>
  <si>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</si>
  <si>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</si>
  <si>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</si>
  <si>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</si>
  <si>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</si>
  <si>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</si>
  <si>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</si>
  <si>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</si>
  <si>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</si>
  <si>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</si>
  <si>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</si>
  <si>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</si>
  <si>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</si>
  <si>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</si>
  <si>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</si>
  <si>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</si>
  <si>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</si>
  <si>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</si>
  <si>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</si>
  <si>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</si>
  <si>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</si>
  <si>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</si>
  <si>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</si>
  <si>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</si>
  <si>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</si>
  <si>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</si>
  <si>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</si>
  <si>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</si>
  <si>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</si>
  <si>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</si>
  <si>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</si>
  <si>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</si>
  <si>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</si>
  <si>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</si>
  <si>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</si>
  <si>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</si>
  <si>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</si>
  <si>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</si>
  <si>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</si>
  <si>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</si>
  <si>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</si>
  <si>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</si>
  <si>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</si>
  <si>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</si>
  <si>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</si>
  <si>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</si>
  <si>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</si>
  <si>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</si>
  <si>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</si>
  <si>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</si>
  <si>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</si>
  <si>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</si>
  <si>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</si>
  <si>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</si>
  <si>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</si>
  <si>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</si>
  <si>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</si>
  <si>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</si>
  <si>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</si>
  <si>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</si>
  <si>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</si>
  <si>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</si>
  <si>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</si>
  <si>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</si>
  <si>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</si>
  <si>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</si>
  <si>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</si>
  <si>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</si>
  <si>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</si>
  <si>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</si>
  <si>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</si>
  <si>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</si>
  <si>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</si>
  <si>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</si>
  <si>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</si>
  <si>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</si>
  <si>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</si>
  <si>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</si>
  <si>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</si>
  <si>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</si>
  <si>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</si>
  <si>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</si>
  <si>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</si>
  <si>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</si>
  <si>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</si>
  <si>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</si>
  <si>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</si>
  <si>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</si>
  <si>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</si>
  <si>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</si>
  <si>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</si>
  <si>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</si>
  <si>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</si>
  <si>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</si>
  <si>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</si>
  <si>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</si>
  <si>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</si>
  <si>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</si>
  <si>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</si>
  <si>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</si>
  <si>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</si>
  <si>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</si>
  <si>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</si>
  <si>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</si>
  <si>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</si>
  <si>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</si>
  <si>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</si>
  <si>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BRITADA N. 0, OU PEDRISCO (4,8 A 9,5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</si>
  <si>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</si>
  <si>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</si>
  <si>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</si>
  <si>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</si>
  <si>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PEDREIRO (HORISTA)                                                                                                                                                                                                                                                                                                                                                                                                                                                                                        </t>
  </si>
  <si>
    <t xml:space="preserve">PEDREIRO (MENSALISTA)                                                                                                                                                                                                                                                                                                                                                                                                                                                                                     </t>
  </si>
  <si>
    <t xml:space="preserve">PEITORIL PRE-MOLDADO EM GRANILITE, MARMORITE OU GRANITINA, L = *15* CM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</si>
  <si>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</si>
  <si>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</si>
  <si>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</si>
  <si>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</si>
  <si>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</si>
  <si>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</si>
  <si>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</si>
  <si>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</si>
  <si>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</si>
  <si>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</si>
  <si>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</si>
  <si>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</si>
  <si>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</si>
  <si>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</si>
  <si>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</si>
  <si>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</si>
  <si>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</si>
  <si>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</si>
  <si>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</si>
  <si>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</si>
  <si>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</si>
  <si>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</si>
  <si>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</si>
  <si>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</si>
  <si>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</si>
  <si>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</si>
  <si>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</si>
  <si>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</si>
  <si>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</si>
  <si>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</si>
  <si>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</si>
  <si>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</si>
  <si>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</si>
  <si>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</si>
  <si>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</si>
  <si>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</si>
  <si>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</si>
  <si>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</si>
  <si>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</si>
  <si>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</si>
  <si>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</si>
  <si>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</si>
  <si>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</si>
  <si>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</si>
  <si>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</si>
  <si>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</si>
  <si>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</si>
  <si>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</si>
  <si>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</si>
  <si>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</si>
  <si>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</si>
  <si>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</si>
  <si>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</si>
  <si>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</si>
  <si>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</si>
  <si>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</si>
  <si>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</si>
  <si>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</si>
  <si>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</si>
  <si>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</si>
  <si>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</si>
  <si>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</si>
  <si>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</si>
  <si>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</si>
  <si>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</si>
  <si>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</si>
  <si>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</si>
  <si>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</si>
  <si>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</si>
  <si>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</si>
  <si>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</si>
  <si>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</si>
  <si>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</si>
  <si>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</si>
  <si>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</si>
  <si>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</si>
  <si>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</si>
  <si>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</si>
  <si>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</si>
  <si>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</si>
  <si>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</si>
  <si>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</si>
  <si>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</si>
  <si>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</si>
  <si>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</si>
  <si>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</si>
  <si>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</si>
  <si>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</si>
  <si>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</si>
  <si>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</si>
  <si>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</si>
  <si>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</si>
  <si>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</si>
  <si>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</si>
  <si>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</si>
  <si>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</si>
  <si>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</si>
  <si>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</si>
  <si>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</si>
  <si>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</si>
  <si>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</si>
  <si>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</si>
  <si>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</si>
  <si>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</si>
  <si>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</si>
  <si>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</si>
  <si>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</si>
  <si>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</si>
  <si>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</si>
  <si>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</si>
  <si>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</si>
  <si>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</si>
  <si>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</si>
  <si>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</si>
  <si>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</si>
  <si>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</si>
  <si>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</si>
  <si>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</si>
  <si>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</si>
  <si>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</si>
  <si>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</si>
  <si>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</si>
  <si>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</si>
  <si>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</si>
  <si>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</si>
  <si>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</si>
  <si>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</si>
  <si>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</si>
  <si>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</si>
  <si>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</si>
  <si>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</si>
  <si>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</si>
  <si>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</si>
  <si>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</si>
  <si>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</si>
  <si>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</si>
  <si>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</si>
  <si>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</si>
  <si>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</si>
  <si>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</si>
  <si>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</si>
  <si>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</si>
  <si>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</si>
  <si>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</si>
  <si>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</si>
  <si>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</si>
  <si>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</si>
  <si>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</si>
  <si>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</si>
  <si>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</si>
  <si>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</si>
  <si>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</si>
  <si>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</si>
  <si>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</si>
  <si>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</si>
  <si>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</si>
  <si>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</si>
  <si>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</si>
  <si>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</si>
  <si>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</si>
  <si>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</si>
  <si>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</si>
  <si>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</si>
  <si>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</si>
  <si>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</si>
  <si>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</si>
  <si>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</si>
  <si>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</si>
  <si>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</si>
  <si>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</si>
  <si>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90 X 210 CM, COM FUNDO ANTICORROSIVO/PRIMER DE PROTECAO, INCLUI FECHADURA, MACANETA E PARAFUOSO,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</si>
  <si>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</si>
  <si>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</si>
  <si>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</si>
  <si>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MM X 210 MM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</si>
  <si>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</si>
  <si>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</si>
  <si>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</si>
  <si>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</si>
  <si>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</si>
  <si>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</si>
  <si>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</si>
  <si>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</si>
  <si>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</si>
  <si>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</si>
  <si>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</si>
  <si>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</si>
  <si>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</si>
  <si>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</si>
  <si>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</si>
  <si>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</si>
  <si>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</si>
  <si>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</si>
  <si>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</si>
  <si>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</si>
  <si>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</si>
  <si>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</si>
  <si>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</si>
  <si>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</si>
  <si>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</si>
  <si>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</si>
  <si>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</si>
  <si>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</si>
  <si>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</si>
  <si>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</si>
  <si>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SIMPLES, FLANGEADO, H = 7 M, DIAMETRO INFERIOR = *125*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</si>
  <si>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</si>
  <si>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</si>
  <si>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</si>
  <si>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</si>
  <si>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</si>
  <si>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</si>
  <si>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</si>
  <si>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</si>
  <si>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</si>
  <si>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</si>
  <si>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</si>
  <si>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</si>
  <si>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</si>
  <si>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</si>
  <si>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</si>
  <si>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</si>
  <si>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</si>
  <si>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</si>
  <si>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</si>
  <si>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</si>
  <si>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</si>
  <si>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</si>
  <si>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</si>
  <si>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</si>
  <si>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</si>
  <si>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</si>
  <si>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</si>
  <si>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</si>
  <si>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</si>
  <si>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</si>
  <si>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</si>
  <si>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</si>
  <si>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</si>
  <si>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</si>
  <si>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</si>
  <si>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</si>
  <si>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</si>
  <si>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</si>
  <si>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</si>
  <si>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</si>
  <si>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</si>
  <si>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</si>
  <si>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</si>
  <si>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</si>
  <si>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</si>
  <si>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</si>
  <si>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</si>
  <si>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</si>
  <si>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</si>
  <si>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</si>
  <si>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</si>
  <si>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</si>
  <si>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</si>
  <si>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</si>
  <si>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</si>
  <si>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</si>
  <si>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</si>
  <si>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</si>
  <si>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</si>
  <si>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</si>
  <si>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</si>
  <si>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</si>
  <si>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</si>
  <si>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</si>
  <si>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</si>
  <si>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</si>
  <si>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</si>
  <si>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</si>
  <si>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</si>
  <si>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</si>
  <si>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</si>
  <si>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</si>
  <si>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</si>
  <si>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</si>
  <si>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</si>
  <si>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</si>
  <si>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</si>
  <si>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</si>
  <si>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</si>
  <si>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</si>
  <si>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</si>
  <si>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</si>
  <si>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</si>
  <si>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</si>
  <si>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</si>
  <si>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</si>
  <si>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</si>
  <si>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</si>
  <si>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</si>
  <si>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</si>
  <si>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</si>
  <si>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</si>
  <si>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</si>
  <si>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</si>
  <si>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</si>
  <si>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</si>
  <si>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</si>
  <si>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</si>
  <si>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</si>
  <si>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</si>
  <si>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</si>
  <si>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</si>
  <si>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</si>
  <si>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</si>
  <si>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</si>
  <si>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</si>
  <si>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</si>
  <si>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</si>
  <si>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</si>
  <si>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</si>
  <si>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</si>
  <si>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</si>
  <si>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</si>
  <si>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</si>
  <si>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</si>
  <si>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</si>
  <si>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</si>
  <si>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</si>
  <si>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</si>
  <si>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</si>
  <si>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</si>
  <si>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</si>
  <si>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</si>
  <si>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</si>
  <si>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</si>
  <si>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</si>
  <si>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</si>
  <si>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</si>
  <si>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</si>
  <si>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</si>
  <si>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</si>
  <si>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</si>
  <si>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</si>
  <si>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</si>
  <si>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</si>
  <si>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</si>
  <si>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</si>
  <si>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</si>
  <si>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</si>
  <si>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</si>
  <si>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</si>
  <si>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</si>
  <si>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</si>
  <si>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</si>
  <si>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</si>
  <si>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</si>
  <si>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</si>
  <si>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</si>
  <si>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</si>
  <si>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</si>
  <si>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</si>
  <si>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</si>
  <si>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</si>
  <si>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</si>
  <si>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</si>
  <si>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</si>
  <si>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</si>
  <si>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</si>
  <si>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</si>
  <si>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</si>
  <si>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</si>
  <si>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</si>
  <si>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</si>
  <si>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</si>
  <si>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</si>
  <si>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</si>
  <si>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</si>
  <si>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</si>
  <si>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</si>
  <si>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</si>
  <si>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</si>
  <si>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</si>
  <si>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</si>
  <si>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</si>
  <si>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</si>
  <si>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</si>
  <si>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</si>
  <si>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</si>
  <si>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</si>
  <si>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</si>
  <si>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</si>
  <si>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</si>
  <si>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</si>
  <si>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</si>
  <si>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</si>
  <si>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</si>
  <si>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</si>
  <si>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</si>
  <si>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</si>
  <si>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</si>
  <si>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</si>
  <si>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</si>
  <si>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</si>
  <si>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</si>
  <si>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</si>
  <si>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</si>
  <si>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</si>
  <si>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</si>
  <si>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</si>
  <si>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</si>
  <si>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</si>
  <si>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</si>
  <si>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</si>
  <si>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</si>
  <si>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</si>
  <si>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</si>
  <si>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</si>
  <si>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</si>
  <si>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</si>
  <si>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</si>
  <si>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</si>
  <si>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</si>
  <si>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</si>
  <si>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</si>
  <si>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POLIESTIRENO, BRANCO, H = *5* CM, E = *1,5*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</si>
  <si>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</si>
  <si>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</si>
  <si>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</si>
  <si>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</si>
  <si>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</si>
  <si>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</si>
  <si>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</si>
  <si>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</si>
  <si>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</si>
  <si>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</si>
  <si>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</si>
  <si>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</si>
  <si>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</si>
  <si>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</si>
  <si>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</si>
  <si>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</si>
  <si>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</si>
  <si>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</si>
  <si>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</si>
  <si>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</si>
  <si>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</si>
  <si>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</si>
  <si>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</si>
  <si>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</si>
  <si>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</si>
  <si>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</si>
  <si>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</si>
  <si>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</si>
  <si>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</si>
  <si>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</si>
  <si>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</si>
  <si>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</si>
  <si>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</si>
  <si>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</si>
  <si>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</si>
  <si>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</si>
  <si>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</si>
  <si>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</si>
  <si>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</si>
  <si>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</si>
  <si>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</si>
  <si>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</si>
  <si>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</si>
  <si>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</si>
  <si>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</si>
  <si>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</si>
  <si>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</si>
  <si>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</si>
  <si>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</si>
  <si>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</si>
  <si>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</si>
  <si>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</si>
  <si>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</si>
  <si>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</si>
  <si>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</si>
  <si>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</si>
  <si>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</si>
  <si>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</si>
  <si>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</si>
  <si>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</si>
  <si>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</si>
  <si>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</si>
  <si>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</si>
  <si>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</si>
  <si>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</si>
  <si>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</si>
  <si>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SIFAO / TUBO SINFONADO EXTENSIVEL/SANFONADO, UNIVERSAL/ SIMPLES, ENTRE *50 A 70* CM, DE PLASTICO BRANCO                                                                                                                                                                                                                                                                                                                                                                                                   </t>
  </si>
  <si>
    <t xml:space="preserve">SIFAO PLASTICO EXTENSIVEL UNIVERSAL, TIPO COPO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</si>
  <si>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</si>
  <si>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</si>
  <si>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</si>
  <si>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</si>
  <si>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</si>
  <si>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</si>
  <si>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</si>
  <si>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</si>
  <si>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</si>
  <si>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</si>
  <si>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</si>
  <si>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</si>
  <si>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</si>
  <si>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PRE-MOLDADA EM GRANILITE, MARMORITE OU GRANITINA, L = *15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</si>
  <si>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</si>
  <si>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</si>
  <si>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</si>
  <si>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</si>
  <si>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</si>
  <si>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</si>
  <si>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</si>
  <si>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</si>
  <si>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</si>
  <si>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</si>
  <si>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</si>
  <si>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</si>
  <si>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</si>
  <si>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</si>
  <si>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</si>
  <si>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</si>
  <si>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</si>
  <si>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</si>
  <si>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</si>
  <si>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</si>
  <si>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</si>
  <si>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</si>
  <si>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</si>
  <si>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</si>
  <si>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</si>
  <si>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</si>
  <si>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</si>
  <si>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</si>
  <si>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</si>
  <si>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</si>
  <si>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</si>
  <si>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</si>
  <si>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</si>
  <si>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</si>
  <si>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</si>
  <si>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</si>
  <si>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</si>
  <si>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</si>
  <si>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</si>
  <si>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</si>
  <si>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</si>
  <si>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</si>
  <si>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</si>
  <si>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</si>
  <si>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</si>
  <si>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</si>
  <si>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</si>
  <si>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</si>
  <si>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</si>
  <si>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</si>
  <si>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</si>
  <si>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</si>
  <si>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</si>
  <si>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</si>
  <si>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</si>
  <si>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</si>
  <si>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</si>
  <si>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</si>
  <si>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</si>
  <si>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</si>
  <si>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</si>
  <si>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</si>
  <si>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</si>
  <si>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</si>
  <si>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</si>
  <si>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</si>
  <si>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</si>
  <si>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</si>
  <si>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</si>
  <si>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</si>
  <si>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</si>
  <si>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</si>
  <si>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</si>
  <si>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</si>
  <si>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</si>
  <si>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</si>
  <si>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</si>
  <si>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</si>
  <si>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</si>
  <si>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</si>
  <si>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</si>
  <si>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</si>
  <si>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</si>
  <si>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</si>
  <si>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</si>
  <si>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</si>
  <si>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</si>
  <si>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</si>
  <si>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</si>
  <si>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</si>
  <si>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</si>
  <si>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</si>
  <si>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</si>
  <si>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</si>
  <si>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</si>
  <si>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</si>
  <si>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</si>
  <si>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</si>
  <si>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</si>
  <si>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</si>
  <si>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</si>
  <si>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</si>
  <si>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</si>
  <si>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</si>
  <si>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</si>
  <si>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</si>
  <si>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</si>
  <si>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</si>
  <si>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</si>
  <si>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</si>
  <si>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</si>
  <si>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</si>
  <si>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</si>
  <si>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</si>
  <si>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</si>
  <si>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</si>
  <si>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</si>
  <si>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</si>
  <si>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</si>
  <si>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</si>
  <si>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</si>
  <si>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</si>
  <si>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</si>
  <si>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</si>
  <si>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</si>
  <si>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</si>
  <si>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</si>
  <si>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</si>
  <si>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</si>
  <si>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</si>
  <si>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</si>
  <si>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</si>
  <si>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</si>
  <si>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</si>
  <si>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</si>
  <si>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</si>
  <si>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</si>
  <si>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</si>
  <si>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</si>
  <si>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</si>
  <si>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</si>
  <si>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</si>
  <si>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</si>
  <si>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</si>
  <si>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</si>
  <si>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</si>
  <si>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</si>
  <si>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</si>
  <si>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</si>
  <si>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</si>
  <si>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</si>
  <si>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</si>
  <si>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</si>
  <si>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</si>
  <si>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</si>
  <si>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</si>
  <si>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</si>
  <si>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</si>
  <si>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</si>
  <si>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</si>
  <si>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</si>
  <si>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</si>
  <si>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</si>
  <si>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</si>
  <si>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</si>
  <si>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</si>
  <si>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</si>
  <si>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</si>
  <si>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</si>
  <si>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</si>
  <si>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</si>
  <si>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</si>
  <si>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</si>
  <si>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</si>
  <si>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</si>
  <si>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</si>
  <si>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</si>
  <si>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</si>
  <si>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</si>
  <si>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</si>
  <si>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</si>
  <si>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</si>
  <si>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</si>
  <si>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</si>
  <si>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</si>
  <si>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</si>
  <si>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</si>
  <si>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</si>
  <si>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</si>
  <si>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</si>
  <si>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</si>
  <si>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</si>
  <si>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</si>
  <si>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</si>
  <si>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</si>
  <si>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SOLDAVEL, BBB, 90 GRAUS, DN 40 MM, PARA ESGOTO SECUNDARIO PREDIAL                                                                                                                                                                                                                                                                                                                                                                                                                                  </t>
  </si>
  <si>
    <t xml:space="preserve">TE PVC, ROSCAVEL, 90 GRAUS, 1 1/2",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</si>
  <si>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</si>
  <si>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</si>
  <si>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</si>
  <si>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</si>
  <si>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</si>
  <si>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</si>
  <si>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</si>
  <si>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</si>
  <si>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</si>
  <si>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</si>
  <si>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</si>
  <si>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</si>
  <si>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</si>
  <si>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</si>
  <si>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</si>
  <si>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</si>
  <si>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</si>
  <si>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</si>
  <si>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</si>
  <si>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</si>
  <si>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</si>
  <si>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</si>
  <si>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</si>
  <si>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</si>
  <si>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</si>
  <si>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</si>
  <si>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</si>
  <si>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</si>
  <si>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</si>
  <si>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</si>
  <si>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</si>
  <si>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</si>
  <si>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</si>
  <si>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</si>
  <si>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</si>
  <si>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</si>
  <si>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</si>
  <si>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</si>
  <si>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</si>
  <si>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</si>
  <si>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</si>
  <si>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</si>
  <si>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</si>
  <si>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</si>
  <si>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</si>
  <si>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</si>
  <si>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</si>
  <si>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</si>
  <si>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</si>
  <si>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</si>
  <si>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</si>
  <si>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</si>
  <si>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</si>
  <si>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</si>
  <si>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</si>
  <si>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</si>
  <si>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</si>
  <si>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</si>
  <si>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</si>
  <si>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</si>
  <si>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</si>
  <si>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</si>
  <si>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</si>
  <si>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</si>
  <si>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</si>
  <si>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</si>
  <si>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</si>
  <si>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</si>
  <si>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</si>
  <si>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</si>
  <si>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</si>
  <si>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</si>
  <si>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</si>
  <si>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</si>
  <si>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</si>
  <si>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</si>
  <si>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</si>
  <si>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</si>
  <si>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</si>
  <si>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</si>
  <si>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</si>
  <si>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</si>
  <si>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</si>
  <si>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</si>
  <si>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</si>
  <si>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</si>
  <si>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</si>
  <si>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</si>
  <si>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</si>
  <si>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</si>
  <si>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</si>
  <si>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</si>
  <si>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</si>
  <si>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</si>
  <si>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</si>
  <si>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</si>
  <si>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</si>
  <si>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</si>
  <si>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</si>
  <si>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</si>
  <si>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</si>
  <si>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</si>
  <si>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</si>
  <si>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</si>
  <si>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</si>
  <si>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</si>
  <si>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</si>
  <si>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</si>
  <si>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</si>
  <si>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</si>
  <si>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</si>
  <si>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</si>
  <si>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</si>
  <si>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</si>
  <si>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</si>
  <si>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</si>
  <si>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</si>
  <si>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</si>
  <si>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</si>
  <si>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</si>
  <si>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</si>
  <si>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</si>
  <si>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</si>
  <si>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</si>
  <si>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</si>
  <si>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</si>
  <si>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</si>
  <si>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</si>
  <si>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</si>
  <si>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</si>
  <si>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</si>
  <si>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</si>
  <si>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</si>
  <si>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</si>
  <si>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</si>
  <si>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</si>
  <si>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</si>
  <si>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</si>
  <si>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</si>
  <si>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</si>
  <si>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</si>
  <si>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</si>
  <si>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</si>
  <si>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</si>
  <si>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</si>
  <si>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</si>
  <si>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</si>
  <si>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</si>
  <si>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</si>
  <si>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</si>
  <si>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</si>
  <si>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</si>
  <si>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</si>
  <si>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</si>
  <si>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</si>
  <si>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</si>
  <si>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</si>
  <si>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</si>
  <si>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</si>
  <si>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</si>
  <si>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</si>
  <si>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</si>
  <si>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</si>
  <si>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</si>
  <si>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</si>
  <si>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</si>
  <si>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</si>
  <si>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</si>
  <si>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</si>
  <si>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</si>
  <si>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</si>
  <si>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</si>
  <si>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</si>
  <si>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</si>
  <si>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</si>
  <si>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</si>
  <si>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</si>
  <si>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</si>
  <si>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</si>
  <si>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</si>
  <si>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</si>
  <si>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</si>
  <si>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</si>
  <si>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</si>
  <si>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</si>
  <si>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</si>
  <si>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</si>
  <si>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</si>
  <si>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</si>
  <si>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</si>
  <si>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</si>
  <si>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</si>
  <si>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</si>
  <si>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</si>
  <si>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</si>
  <si>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</si>
  <si>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</si>
  <si>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</si>
  <si>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</si>
  <si>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</si>
  <si>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</si>
  <si>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</si>
  <si>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</si>
  <si>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</si>
  <si>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</si>
  <si>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</si>
  <si>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</si>
  <si>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</si>
  <si>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</si>
  <si>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</si>
  <si>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</si>
  <si>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</si>
  <si>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</si>
  <si>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</si>
  <si>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</si>
  <si>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</si>
  <si>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</si>
  <si>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</si>
  <si>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</si>
  <si>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</si>
  <si>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</si>
  <si>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</si>
  <si>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</si>
  <si>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</si>
  <si>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</si>
  <si>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</si>
  <si>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</si>
  <si>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</si>
  <si>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</si>
  <si>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</si>
  <si>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</si>
  <si>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</si>
  <si>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</si>
  <si>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</si>
  <si>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</si>
  <si>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</si>
  <si>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</si>
  <si>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</si>
  <si>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</si>
  <si>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</si>
  <si>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</si>
  <si>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ELETRICA DE PAREDE, PLASTICA, BICA ALTA, PARA COZINHA, 5500 W (110/220 V)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</si>
  <si>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</si>
  <si>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</si>
  <si>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</si>
  <si>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</si>
  <si>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PLASTICA DE BOIA CONVENCIONAL PARA CAIXA DE AGUA, AGUA FRIA, 3/4 ", COM HASTE METALICA E COM TORNEIRA E BALAO PLASTICOS (PADRAO POPULAR)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</si>
  <si>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</si>
  <si>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</si>
  <si>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</si>
  <si>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</si>
  <si>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</si>
  <si>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</si>
  <si>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</si>
  <si>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</si>
  <si>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</si>
  <si>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</si>
  <si>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</si>
  <si>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</si>
  <si>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</si>
  <si>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</si>
  <si>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</si>
  <si>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</si>
  <si>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</si>
  <si>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</si>
  <si>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</si>
  <si>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</si>
  <si>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</si>
  <si>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</si>
  <si>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</si>
  <si>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</si>
  <si>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</si>
  <si>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</si>
  <si>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</si>
  <si>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</si>
  <si>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</si>
  <si>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</si>
  <si>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</si>
  <si>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</si>
  <si>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</si>
  <si>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</si>
  <si>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</si>
  <si>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</si>
  <si>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</si>
  <si>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</si>
  <si>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</si>
  <si>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</si>
  <si>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</si>
  <si>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</si>
  <si>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</si>
  <si>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</si>
  <si>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</si>
  <si>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</si>
  <si>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</si>
  <si>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</si>
  <si>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</si>
  <si>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</si>
  <si>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</si>
  <si>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</si>
  <si>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</si>
  <si>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</si>
  <si>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</si>
  <si>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</si>
  <si>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</si>
  <si>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</si>
  <si>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</si>
  <si>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8", E= *12,70 MM, SCHEDULE 80, *64,64 KG/M                                                                                                                                                                                                                                                                                                                                                                                                                                   </t>
  </si>
  <si>
    <t xml:space="preserve">TUBO ACO CARBONO SEM COSTURA 8", E= *7,04 MM, SCHEDULE 30, *36,75 KG/M                                                                                                                                                                                                                                                                                                                                                                                                                                    </t>
  </si>
  <si>
    <t xml:space="preserve">TUBO ACO CARBONO SEM COSTURA 8", E= *8,18 MM, SCHEDULE 40, *42,55 KG/M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</si>
  <si>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</si>
  <si>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</si>
  <si>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</si>
  <si>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</si>
  <si>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</si>
  <si>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</si>
  <si>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</si>
  <si>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</si>
  <si>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</si>
  <si>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</si>
  <si>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</si>
  <si>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</si>
  <si>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</si>
  <si>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</si>
  <si>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</si>
  <si>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</si>
  <si>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</si>
  <si>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</si>
  <si>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</si>
  <si>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</si>
  <si>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</si>
  <si>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</si>
  <si>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</si>
  <si>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</si>
  <si>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</si>
  <si>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</si>
  <si>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</si>
  <si>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</si>
  <si>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</si>
  <si>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</si>
  <si>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</si>
  <si>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</si>
  <si>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</si>
  <si>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</si>
  <si>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</si>
  <si>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</si>
  <si>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</si>
  <si>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</si>
  <si>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</si>
  <si>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</si>
  <si>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</si>
  <si>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</si>
  <si>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</si>
  <si>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</si>
  <si>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</si>
  <si>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</si>
  <si>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</si>
  <si>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</si>
  <si>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</si>
  <si>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</si>
  <si>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</si>
  <si>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</si>
  <si>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</si>
  <si>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</si>
  <si>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</si>
  <si>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</si>
  <si>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</si>
  <si>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</si>
  <si>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</si>
  <si>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</si>
  <si>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</si>
  <si>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</si>
  <si>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</si>
  <si>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</si>
  <si>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</si>
  <si>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</si>
  <si>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</si>
  <si>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</si>
  <si>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</si>
  <si>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</si>
  <si>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</si>
  <si>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</si>
  <si>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</si>
  <si>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</si>
  <si>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</si>
  <si>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</si>
  <si>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</si>
  <si>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</si>
  <si>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</si>
  <si>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</si>
  <si>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</si>
  <si>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</si>
  <si>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</si>
  <si>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</si>
  <si>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</si>
  <si>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</si>
  <si>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</si>
  <si>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</si>
  <si>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</si>
  <si>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</si>
  <si>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</si>
  <si>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</si>
  <si>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</si>
  <si>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</si>
  <si>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</si>
  <si>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</si>
  <si>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</si>
  <si>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</si>
  <si>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</si>
  <si>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</si>
  <si>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</si>
  <si>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</si>
  <si>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</si>
  <si>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</si>
  <si>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</si>
  <si>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</si>
  <si>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</si>
  <si>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</si>
  <si>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</si>
  <si>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</si>
  <si>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</si>
  <si>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</si>
  <si>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</si>
  <si>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</si>
  <si>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</si>
  <si>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</si>
  <si>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</si>
  <si>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</si>
  <si>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</si>
  <si>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</si>
  <si>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</si>
  <si>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</si>
  <si>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</si>
  <si>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</si>
  <si>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</si>
  <si>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</si>
  <si>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</si>
  <si>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</si>
  <si>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50 MM X 4,6 MM PAREDE, (SDR 11 - PN 12,5) PARA REDE DE AGUA OU ESGOTO ( NBR 15561)                                                                                                                                                                                                                                                                                                                                                                </t>
  </si>
  <si>
    <t xml:space="preserve">TUBO DE REVESTIMENTO, EM ACO, CORPO SCHEDULE 40, PONTEIRA SCHEDULE 80, ROSQUEAVEL E SEGMENTADO PARA PERFURACAO, DIAMETRO 12" (320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</si>
  <si>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</si>
  <si>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</si>
  <si>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</si>
  <si>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</si>
  <si>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</si>
  <si>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</si>
  <si>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</si>
  <si>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</si>
  <si>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</si>
  <si>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</si>
  <si>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</si>
  <si>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</si>
  <si>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</si>
  <si>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</si>
  <si>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</si>
  <si>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</si>
  <si>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</si>
  <si>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</si>
  <si>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</si>
  <si>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</si>
  <si>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</si>
  <si>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</si>
  <si>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</si>
  <si>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</si>
  <si>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</si>
  <si>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</si>
  <si>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</si>
  <si>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</si>
  <si>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</si>
  <si>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</si>
  <si>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</si>
  <si>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</si>
  <si>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</si>
  <si>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</si>
  <si>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</si>
  <si>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</si>
  <si>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</si>
  <si>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</si>
  <si>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</si>
  <si>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</si>
  <si>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</si>
  <si>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</si>
  <si>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</si>
  <si>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</si>
  <si>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</si>
  <si>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</si>
  <si>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</si>
  <si>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</si>
  <si>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</si>
  <si>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</si>
  <si>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</si>
  <si>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</si>
  <si>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</si>
  <si>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</si>
  <si>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</si>
  <si>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</si>
  <si>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</si>
  <si>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</si>
  <si>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</si>
  <si>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</si>
  <si>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</si>
  <si>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</si>
  <si>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</si>
  <si>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</si>
  <si>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</si>
  <si>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</si>
  <si>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</si>
  <si>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</si>
  <si>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</si>
  <si>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</si>
  <si>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</si>
  <si>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</si>
  <si>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</si>
  <si>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</si>
  <si>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</si>
  <si>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</si>
  <si>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</si>
  <si>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</si>
  <si>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</si>
  <si>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</si>
  <si>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</si>
  <si>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</si>
  <si>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</si>
  <si>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</si>
  <si>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</si>
  <si>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</si>
  <si>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</si>
  <si>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</si>
  <si>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</si>
  <si>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</si>
  <si>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</si>
  <si>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</si>
  <si>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</si>
  <si>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</si>
  <si>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</si>
  <si>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</si>
  <si>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</si>
  <si>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</si>
  <si>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</si>
  <si>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</si>
  <si>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</si>
  <si>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</si>
  <si>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</si>
  <si>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</si>
  <si>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</si>
  <si>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</si>
  <si>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</si>
  <si>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</si>
  <si>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</si>
  <si>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</si>
  <si>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</si>
  <si>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</si>
  <si>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</si>
  <si>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</si>
  <si>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</si>
  <si>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</si>
  <si>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</si>
  <si>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</si>
  <si>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</si>
  <si>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</si>
  <si>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</si>
  <si>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</si>
  <si>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</si>
  <si>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</si>
  <si>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</si>
  <si>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</si>
  <si>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</si>
  <si>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VALVULA DE DESCARGA EM METAL CROMADO PARA MICTORIO COM ACIONAMENTO POR PRESSAO E FECHAMENTO AUTOMATICO                                                                                                                                                                                                                                                                                                                                                                                                    </t>
  </si>
  <si>
    <t xml:space="preserve">VALVULA DE ESCOAMENTO PARA TANQUE, EM METAL CROMADO, 1.1/2 ", SEM LADRAO, COM TAMPAO PLASTICO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</si>
  <si>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</si>
  <si>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</si>
  <si>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</si>
  <si>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</si>
  <si>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</si>
  <si>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</si>
  <si>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</si>
  <si>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</si>
  <si>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</si>
  <si>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</si>
  <si>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</si>
  <si>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</si>
  <si>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</si>
  <si>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</si>
  <si>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</si>
  <si>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</si>
  <si>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</si>
  <si>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</si>
  <si>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</si>
  <si>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</si>
  <si>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</si>
  <si>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</si>
  <si>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</si>
  <si>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</si>
  <si>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</si>
  <si>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</si>
  <si>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PLASTICO BRANCO PARA LAVATORIO 1 ", SEM UNHO, COM LADRAO                                                                                                                                                                                                                                                                                                                                                                                                                                       </t>
  </si>
  <si>
    <t xml:space="preserve">VALVULA EM PLASTICO BRANCO PARA TANQUE OU LAVATORIO 1 ", SEM UNHO E SEM LADRAO                                                                                                                                                                                                                                                                                                                                                                                                                            </t>
  </si>
  <si>
    <t xml:space="preserve">VALVULA EM PLASTICO CROMADO PARA LAVATORIO 1 ", SEM UNHO, COM LADRAO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</si>
  <si>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</si>
  <si>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</si>
  <si>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</si>
  <si>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</si>
  <si>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</si>
  <si>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</si>
  <si>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</si>
  <si>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</si>
  <si>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</si>
  <si>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</si>
  <si>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</si>
  <si>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</si>
  <si>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</si>
  <si>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</si>
  <si>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</si>
  <si>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</si>
  <si>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</si>
  <si>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</si>
  <si>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</si>
  <si>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</si>
  <si>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</si>
  <si>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</si>
  <si>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</si>
  <si>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</si>
  <si>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</si>
  <si>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</si>
  <si>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</si>
  <si>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</si>
  <si>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</si>
  <si>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</si>
  <si>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</si>
  <si>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</si>
  <si>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</si>
  <si>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</si>
  <si>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</si>
  <si>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</si>
  <si>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</si>
  <si>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</si>
  <si>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</si>
  <si>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</si>
  <si>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</si>
  <si>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</si>
  <si>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</si>
  <si>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</si>
  <si>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</si>
  <si>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</si>
  <si>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</si>
  <si>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</si>
  <si>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</si>
  <si>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</si>
  <si>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</si>
  <si>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</si>
  <si>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</si>
  <si>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</si>
  <si>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</si>
  <si>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</si>
  <si>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</si>
  <si>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</si>
  <si>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</si>
  <si>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</si>
  <si>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</si>
  <si>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</si>
  <si>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</si>
  <si>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</si>
  <si>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</si>
  <si>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</si>
  <si>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</si>
  <si>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</si>
  <si>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07.917.384/0001-50</t>
  </si>
  <si>
    <t>ADAFE PRÉ-MOLDADOS</t>
  </si>
  <si>
    <t>ARTEFATOS GARIBALDI</t>
  </si>
  <si>
    <t>JÚLIA FERREIRA</t>
  </si>
  <si>
    <t>34.632.099/0001-66</t>
  </si>
  <si>
    <t>32.423.156/0001-71</t>
  </si>
  <si>
    <t>76.666.478/0001-17</t>
  </si>
  <si>
    <t>31 9237-1119</t>
  </si>
  <si>
    <t>41 3354-7275</t>
  </si>
  <si>
    <t>P - 05.001.1 - M</t>
  </si>
  <si>
    <t>P - 05.001 - M</t>
  </si>
  <si>
    <t>P - 05.001.2 - M</t>
  </si>
  <si>
    <t>CCU - 02.014</t>
  </si>
  <si>
    <t>EXECUÇÃO DE DEPÓSITO EM CANTEIRO DE OBRA EM CHAPA DE MADEIRA COMPENSADA, NÃO INCLUSO MOBILIÁRIO. AF_04/2016</t>
  </si>
  <si>
    <t>REF: 93585 SINAPI DEZ 2023</t>
  </si>
  <si>
    <t>CCU - 02.015</t>
  </si>
  <si>
    <t>EXECUÇÃO DE REFEITÓRIO EM CANTEIRO DE OBRA EM CHAPA DE MADEIRA COMPENSADA, NÃO INCLUSO MOBILIÁRIO E EQUIPAMENTOS. AF_02/2016</t>
  </si>
  <si>
    <t>REF: 93210 SINAPI DEZ 2023</t>
  </si>
  <si>
    <t>CCU - 02.016</t>
  </si>
  <si>
    <t>EXECUÇÃO DE RESERVATÓRIO ELEVADO DE ÁGUA (1000 LITROS) EM CANTEIRO DE OBRA, APOIADO EM ESTRUTURA DE MADEIRA. AF_02/2016_PA</t>
  </si>
  <si>
    <t>REF: 93214 SINAPI DEZ 2023</t>
  </si>
  <si>
    <t>CCU - 02.017</t>
  </si>
  <si>
    <t>LOCAÇÃO DE PONTO PARA REFERÊNCIA TOPOGRÁFICA. AF_10/2018</t>
  </si>
  <si>
    <t>REF: 99058 SINAPI DEZ 2023</t>
  </si>
  <si>
    <t>REF: 96557 SINAPI DEZ 2023 - ADAPTADO</t>
  </si>
  <si>
    <t>CCA - 10.003.1</t>
  </si>
  <si>
    <t>SEMPRE ATUALIZAR OS VALORES MANUALMENTE PARA INSERIR A TRANSFORMAÇÃO DE ENCARGOS HORISTAS EM MENSALISTAS</t>
  </si>
  <si>
    <t>REF: 100289 FOI TRANSFORMADO A HORA DO VIGIA DIURNO EM NOTURNO</t>
  </si>
  <si>
    <t>RETIRADA E RECOLOCAÇÃO DE RIPA EM TELHADOS DE ATÉ 2 ÁGUAS COM TELHA CERÂMICA OU DE CONCRETO DE ENCAIXE, INCLUSO TRANSPORTE VERTICAL. AF_07/2019</t>
  </si>
  <si>
    <t>UNIDADE DE MEDIDA</t>
  </si>
  <si>
    <t>PRECO MEDIANO R$</t>
  </si>
  <si>
    <t>ORIGEM DO PRECO</t>
  </si>
  <si>
    <t>ENCARGOS SOCIAIS (%) HORISTA 110,14  MENSALISTA  70,04</t>
  </si>
  <si>
    <t xml:space="preserve">DISPOSIÇÃO FINAL DE RESÍDUOS SEGREGADOS DE CONSTRUÇÃO CIVIL </t>
  </si>
  <si>
    <t>SLU-2</t>
  </si>
  <si>
    <t>DISPOSIÇÃO FINAL DE RESÍDUOS DE PODAS E GALHADAS</t>
  </si>
  <si>
    <t>PEQUENAS OBRAS (praças, calçadas, ciclovias, meios-fios, quiosques e obras correlatas)</t>
  </si>
  <si>
    <t>Taxa Representativa da Incidênca de Impostos é aplicada sobre o preço de venda da prestação do serviço, enquanto que as demais taxas são aplicadas sobre o custo</t>
  </si>
  <si>
    <t>18,56% (OBRAS DE MENOR COMPLEXIDADE)</t>
  </si>
  <si>
    <t>horista=110,14% / mensalista=70,04%</t>
  </si>
  <si>
    <t>ENG. HERBERT MESQUITA LOIOLA - CREA: 25130/D-DF</t>
  </si>
  <si>
    <t>18,56%
(pequeas obras)</t>
  </si>
  <si>
    <r>
      <t xml:space="preserve"> B.D.I. : 18,56</t>
    </r>
    <r>
      <rPr>
        <sz val="10"/>
        <rFont val="Calibri"/>
        <family val="2"/>
        <scheme val="minor"/>
      </rPr>
      <t>% (pequeas obras)</t>
    </r>
  </si>
  <si>
    <t>ok</t>
  </si>
  <si>
    <t>11455</t>
  </si>
  <si>
    <t>88489</t>
  </si>
  <si>
    <t>91170</t>
  </si>
  <si>
    <t>91173</t>
  </si>
  <si>
    <t>91341</t>
  </si>
  <si>
    <t>91852</t>
  </si>
  <si>
    <t>91862</t>
  </si>
  <si>
    <t>91870</t>
  </si>
  <si>
    <t>91924</t>
  </si>
  <si>
    <t>92023</t>
  </si>
  <si>
    <t>92543</t>
  </si>
  <si>
    <t>93358</t>
  </si>
  <si>
    <t>93382</t>
  </si>
  <si>
    <t>94210</t>
  </si>
  <si>
    <t>94559</t>
  </si>
  <si>
    <t>95240</t>
  </si>
  <si>
    <t>95241</t>
  </si>
  <si>
    <t>95805</t>
  </si>
  <si>
    <t>97586</t>
  </si>
  <si>
    <t>98441</t>
  </si>
  <si>
    <t>98442</t>
  </si>
  <si>
    <t>98445</t>
  </si>
  <si>
    <t>98446</t>
  </si>
  <si>
    <t>101165</t>
  </si>
  <si>
    <t>014.01/2022-SEORÇA-SDS-R02</t>
  </si>
  <si>
    <t>014/2022-SEORÇA-SDS-R02</t>
  </si>
  <si>
    <t>00112-00007828/2021-91</t>
  </si>
  <si>
    <t>PCI.817.01 - CUSTO DE COMPOSIÇÕES - SINTÉTICO                                               DATA DE EMISSÃO: 13/06/2024 23:19:21            DATA DE RT: 13/06/2024</t>
  </si>
  <si>
    <t>ABRANGÊNCIA : NACIONAL                                              LOCALIDADE  : BRASILIA                                                                                                            DATA DE PREÇO   : 05/2024 REFERÊNCIA COLETA : MEDIANO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</si>
  <si>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</si>
  <si>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</si>
  <si>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</si>
  <si>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</si>
  <si>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</si>
  <si>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</si>
  <si>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</si>
  <si>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</si>
  <si>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</si>
  <si>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</si>
  <si>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</si>
  <si>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</si>
  <si>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</si>
  <si>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</si>
  <si>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</si>
  <si>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</si>
  <si>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</si>
  <si>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</si>
  <si>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</si>
  <si>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</si>
  <si>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</si>
  <si>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</si>
  <si>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</si>
  <si>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</si>
  <si>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</si>
  <si>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</si>
  <si>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</si>
  <si>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</si>
  <si>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</si>
  <si>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</si>
  <si>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</si>
  <si>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</si>
  <si>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</si>
  <si>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</si>
  <si>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</si>
  <si>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</si>
  <si>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</si>
  <si>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</si>
  <si>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</si>
  <si>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</si>
  <si>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</si>
  <si>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</si>
  <si>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</si>
  <si>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</si>
  <si>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</si>
  <si>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</si>
  <si>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</si>
  <si>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</si>
  <si>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</si>
  <si>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</si>
  <si>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</si>
  <si>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</si>
  <si>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</si>
  <si>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</si>
  <si>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</si>
  <si>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</si>
  <si>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</si>
  <si>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</si>
  <si>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</si>
  <si>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</si>
  <si>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</si>
  <si>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</si>
  <si>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</si>
  <si>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</si>
  <si>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</si>
  <si>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</si>
  <si>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</si>
  <si>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</si>
  <si>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</si>
  <si>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</si>
  <si>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</si>
  <si>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</si>
  <si>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</si>
  <si>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</si>
  <si>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</si>
  <si>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</si>
  <si>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</si>
  <si>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</si>
  <si>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</si>
  <si>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</si>
  <si>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</si>
  <si>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</si>
  <si>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</si>
  <si>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</si>
  <si>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</si>
  <si>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</si>
  <si>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</si>
  <si>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</si>
  <si>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</si>
  <si>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</si>
  <si>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</si>
  <si>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</si>
  <si>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</si>
  <si>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</si>
  <si>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</si>
  <si>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</si>
  <si>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</si>
  <si>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</si>
  <si>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</si>
  <si>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</si>
  <si>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</si>
  <si>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</si>
  <si>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</si>
  <si>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</si>
  <si>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</si>
  <si>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</si>
  <si>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</si>
  <si>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</si>
  <si>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</si>
  <si>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</si>
  <si>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</si>
  <si>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</si>
  <si>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</si>
  <si>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</si>
  <si>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</si>
  <si>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</si>
  <si>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</si>
  <si>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</si>
  <si>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</si>
  <si>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</si>
  <si>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</si>
  <si>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</si>
  <si>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</si>
  <si>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</si>
  <si>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</si>
  <si>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</si>
  <si>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</si>
  <si>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</si>
  <si>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</si>
  <si>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</si>
  <si>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</si>
  <si>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</si>
  <si>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</si>
  <si>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</si>
  <si>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</si>
  <si>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</si>
  <si>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</si>
  <si>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</si>
  <si>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</si>
  <si>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</si>
  <si>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</si>
  <si>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</si>
  <si>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</si>
  <si>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</si>
  <si>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</si>
  <si>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</si>
  <si>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</si>
  <si>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</si>
  <si>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</si>
  <si>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</si>
  <si>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</si>
  <si>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</si>
  <si>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</si>
  <si>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</si>
  <si>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</si>
  <si>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</si>
  <si>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</si>
  <si>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</si>
  <si>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</si>
  <si>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</si>
  <si>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</si>
  <si>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</si>
  <si>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</si>
  <si>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</si>
  <si>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</si>
  <si>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</si>
  <si>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</si>
  <si>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</si>
  <si>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</si>
  <si>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</si>
  <si>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</si>
  <si>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</si>
  <si>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</si>
  <si>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</si>
  <si>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</si>
  <si>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</si>
  <si>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</si>
  <si>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</si>
  <si>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</si>
  <si>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</si>
  <si>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</si>
  <si>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</si>
  <si>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</si>
  <si>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</si>
  <si>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</si>
  <si>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</si>
  <si>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</si>
  <si>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</si>
  <si>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</si>
  <si>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</si>
  <si>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</si>
  <si>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</si>
  <si>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</si>
  <si>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</si>
  <si>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</si>
  <si>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</si>
  <si>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</si>
  <si>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</si>
  <si>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</si>
  <si>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</si>
  <si>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</si>
  <si>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</si>
  <si>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</si>
  <si>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</si>
  <si>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</si>
  <si>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</si>
  <si>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</si>
  <si>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</si>
  <si>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</si>
  <si>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</si>
  <si>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</si>
  <si>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</si>
  <si>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</si>
  <si>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</si>
  <si>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</si>
  <si>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</si>
  <si>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</si>
  <si>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</si>
  <si>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</si>
  <si>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</si>
  <si>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</si>
  <si>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</si>
  <si>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</si>
  <si>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</si>
  <si>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</si>
  <si>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</si>
  <si>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</si>
  <si>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</si>
  <si>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</si>
  <si>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</si>
  <si>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</si>
  <si>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</si>
  <si>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</si>
  <si>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</si>
  <si>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</si>
  <si>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</si>
  <si>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</si>
  <si>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</si>
  <si>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</si>
  <si>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</si>
  <si>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</si>
  <si>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</si>
  <si>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</si>
  <si>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</si>
  <si>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</si>
  <si>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</si>
  <si>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</si>
  <si>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</si>
  <si>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</si>
  <si>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</si>
  <si>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</si>
  <si>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</si>
  <si>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</si>
  <si>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</si>
  <si>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</si>
  <si>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</si>
  <si>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</si>
  <si>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</si>
  <si>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</si>
  <si>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</si>
  <si>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</si>
  <si>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</si>
  <si>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ELETRODUTO RÍGIDO SOLDÁVEL, PVC, DN 25 MM (3/4"), APARENTE - FORNECIMENTO E INSTALAÇÃO. AF_10/2022_PS</t>
  </si>
  <si>
    <t>ELETRODUTO RÍGIDO SOLDÁVEL, PVC, DN 32 MM (1"), APARENTE - FORNECIMENTO E INSTALAÇÃO. AF_10/2022_PS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</si>
  <si>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</si>
  <si>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</si>
  <si>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</si>
  <si>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</si>
  <si>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</si>
  <si>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</si>
  <si>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</si>
  <si>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</si>
  <si>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</si>
  <si>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</si>
  <si>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</si>
  <si>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VASO SANITARIO SIFONADO CONVENCIONAL COM LOUÇA BRANCA, INCLUSO CONJUNTO DE LIGAÇÃO PARA BACIA SANITÁRIA AJUSTÁVEL - FORNECIMENTO E INSTALAÇÃO. AF_01/2020</t>
  </si>
  <si>
    <t>CONJUNTO DE PONTOS HIDRÁULICOS DE ÁGUA FRIA PARA BANHEIRO (RAMAL/SUB-RAMAL E DISTRIBUIÇÃO) EM PVC, COM TUBOS, CONEXÕES, REGISTROS, CORTES E FIXAÇÕES EM PRÉDIO (PRUMADA INDIVIDUAL), COM TUBULAÇÕES APARENTES OU EMBUTIDAS SEM RASGO. AF_05/2023_PA</t>
  </si>
  <si>
    <t>CONJUNTO DE PONTOS HIDRÁULICOS DE ÁGUA FRIA PARA COZINHA OU SERVIÇO (RAMAL/SUB-RAMAL E DISTRIBUIÇÃO) EM PVC, COM TUBOS, CONEXÕES, REGISTROS, CORTES E FIXAÇÕES EM PRÉDIO (PRUMADA INDIVIDUAL), COM TUBULAÇÕES APARENTES OU EMBUTIDAS SEM RASGO. AF_05/2023_PA</t>
  </si>
  <si>
    <t>CONJUNTO DE PONTOS HIDRÁULICOS DE ÁGUA FRIA PARA BANHEIRO (RAMAL/SUB-RAMAL E DISTRIBUIÇÃO) EM PVC, COM TUBOS, CONEXÕES, REGISTROS, CORTES E FIXAÇÕES EM PRÉDIO (PRUMADA COLETIVA), COM TUBULAÇÕES APARENTES OU EMBUTIDAS SEM RASGO. AF_05/2023_PA</t>
  </si>
  <si>
    <t>CONJUNTO DE PONTOS HIDRÁULICOS DE ÁGUA FRIA PARA COZINHA OU SERVIÇO (RAMAL/SUB-RAMAL E DISTRIBUIÇÃO) EM PVC, COM  TUBOS, CONEXÕES, REGISTROS, CORTES E FIXAÇÕES EM PRÉDIO (PRUMADA COLETIVA) SEM RASGO . AF_05/2023_PA</t>
  </si>
  <si>
    <t>CONJUNTO DE PONTOS HIDRÁULICOS DE ÁGUA QUENTE PARA BANHEIRO(RAMAL/SUB-RAMAL E DISTRIBUIÇÃO) EM CPVC, COM  TUBOS, CONEXÕES, REGISTROS, CORTES E FIXAÇÕES EM PRÉDIO COM TUBULAÇÕES APARENTES OU EMBUTIDAS SEM RASGO. AF_05/2023_PA</t>
  </si>
  <si>
    <t>CONJUNTO DE PONTOS DE COLETA DE ESGOTO PARA BANHEIRO (RAMAL DE ESGOTO SANITÁRIO), EM PVC SÉRIE NORMAL, COM  TUBOS, CONEXÕES, RALOS, CAIXAS SIFONADAS, CORTES E FIXAÇÕES EM PRÉDIO COM PRUMADA DE DESCIDA DE ESGOTO DENTRO DO BANHEIRO. AF_05/2023_PA</t>
  </si>
  <si>
    <t>CONJUNTO DE PONTOS DE COLETA DE ESGOTO PARA BANHEIRO (RAMAL DE ESGOTO SANITÁRIO), EM PVC SÉRIE NORMAL, COM  TUBOS, CONEXÕES, RALOS, CAIXAS SIFONADAS, CORTES E FIXAÇÕES EM PRÉDIO COM PRUMADA DE DESCIDA DE ESGOTO FORA DO BANHEIRO. AF_05/2023_PA</t>
  </si>
  <si>
    <t>CONJUNTO DE PONTOS DE COLETA DE ESGOTO PARA COZINHA (RAMAL DE ESGOTO SANITÁRIO), EM PVC SÉRIE NORMAL, COM  TUBOS, CONEXÕES, CORTES E FIXAÇÕES EM PRÉDIO. AF_05/2023_PA</t>
  </si>
  <si>
    <t>CONJUNTO DE PONTOS DE COLETA DE ESGOTO PARA ÁREA DE SERVIÇO (RAMAL DE ESGOTO SANITÁRIO), EM PVC SÉRIE NORMAL, COM  TUBOS, CONEXÕES, RALOS, CAIXAS SIFONADAS, CORTES E FIXAÇÕES EM PRÉDIO. AF_05/2023_PA</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</si>
  <si>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</si>
  <si>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</si>
  <si>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</si>
  <si>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</si>
  <si>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</si>
  <si>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 xml:space="preserve">        PRECOS DE INSUMOS - BANCO NACIONAL</t>
  </si>
  <si>
    <t>MES DE COLETA: 05/2024</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</si>
  <si>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</si>
  <si>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</si>
  <si>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</si>
  <si>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</si>
  <si>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ADAPTADOR PVC PBA, BOLSA/ROSCA, JE, DN 75 / DE 85 MM                                                                                                                                                                                                                                                                                                                                                                                                                                                      </t>
  </si>
  <si>
    <t xml:space="preserve">ADAPTADOR PVC PBA, PONTA/ROSCA, JE, DN 50 / DE 60 MM                                                                                                                                                                                                                                                                                                                                                                                                                                                      </t>
  </si>
  <si>
    <t xml:space="preserve">ADAPTADOR PVC PBA, PONTA/ROSCA, JE, DN 75 / DE 85 MM                                                                                                                                                                                                                                                                                                                                                                                                                                                      </t>
  </si>
  <si>
    <t xml:space="preserve">ADAPTADOR PVC, ROSCAVEL, COM FLANGES E ANEL DE VEDACAO, 1/2", PARA CAIXA D'AGUA                                                                                                                                                                                                                                                                                                                                                                                                                           </t>
  </si>
  <si>
    <t xml:space="preserve">ADAPTADOR PVC, SOLDAVEL, COM FLANGES LIVRES, 75 MM X 2 1/2",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</si>
  <si>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</si>
  <si>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</si>
  <si>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</si>
  <si>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</si>
  <si>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ALICATE DE CORTE DIAGONAL 6" COM ISOLAMENTO                                                                                                                                                                                                                                                                                                                                                                                                                                                               </t>
  </si>
  <si>
    <t xml:space="preserve">ALICATE DE PRESSAO PARA SOLDA DE CHAPA 18"                                                                                                                                                                                                                                                                                                                                                                                                                                                                </t>
  </si>
  <si>
    <t xml:space="preserve">ALICATE DE PRESSAO 11" PARA SOLDA, TIPO C                                                                                                                                                                                                                                                                                                                                                                                                                                                                 </t>
  </si>
  <si>
    <t xml:space="preserve">ALICATE DE PRESSAO 11" PARA SOLDA, TIPO U                                                                                                                                                                                                                                                                                                                                                                                                                                                                 </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</si>
  <si>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</si>
  <si>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</si>
  <si>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</si>
  <si>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</si>
  <si>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</si>
  <si>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</si>
  <si>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ARAME DE ACO OVALADO 15 X 17 (45,7 KG, 700 KGF), ROLO 1000 M                                                                                                                                                                                                                                                                                                                                                                                                                                              </t>
  </si>
  <si>
    <t xml:space="preserve">ARRUELA EM ACO GALVANIZADO, DIAMETRO EXTERNO = 35MM, ESPESSURA = 3MM, DIAMETRO DO FURO= 18MM                                                                                                                                                                                                                                                                                                                                                                                                              </t>
  </si>
  <si>
    <t xml:space="preserve">ARRUELA EM ALUMINIO, COM ROSCA, DE 1 1/4", PARA ELETRODUTO                                                                                                                                                                                                                                                                                                                                                                                                                                                </t>
  </si>
  <si>
    <t xml:space="preserve">ASSENTO VASO SANITARIO INFANTIL EM PLASTICO BRANCO                                                                                                                                                                                                                                                                                                                                                                                                                                                        </t>
  </si>
  <si>
    <t xml:space="preserve">BACIA SANITARIA (VASO) COM CAIXA ACOPLADA, SIFAO OCULTO / CARENADO, DE LOUCA BRANCA (SEM ASSENTO) - PADRAO ALTO                                                                                                                                                                                                                                                                                                                                                                                           </t>
  </si>
  <si>
    <t xml:space="preserve">BANCADA/ BANCA EM GRANITO, POLIDO, TIPO ANDORINHA/ QUARTZ/ CASTELO/ CORUMBA OU OUTROS EQUIVALENTES DA REGIAO, COM CUBA INOX, FORMATO *120 X 60* CM, E= *2* CM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</si>
  <si>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</si>
  <si>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</si>
  <si>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</si>
  <si>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</si>
  <si>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BETONEIRA CAPACIDADE NOMINAL 400 L, CAPACIDADE DE MISTURA 280 L, MOTOR ELETRICO TRIFASICO 220/380 V POTENCIA 2 CV, SEM CARREGADOR                                                                                                                                                                                                                                                                                                                                                                         </t>
  </si>
  <si>
    <t xml:space="preserve">BETONEIRA, CAPACIDADE NOMINAL 600 L, CAPACIDADE DE MISTURA 360L, MOTOR ELETRICO TRIFASICO 220/380V, POTENCIA 4CV, EXCLUSO CARREGADOR                                                                                                                                                                                                                                                                                                                                                                      </t>
  </si>
  <si>
    <t xml:space="preserve">BLOCO DE POLIETILENO ALTA DENSIDADE, *27* X *30* X *100* CM, ACOMPANHADOS PLACAS TERMINAIS E LONGARINAS, PARA FUNDO DE FILTRO                                                                                                                                                                                                                                                                                                                                                                             </t>
  </si>
  <si>
    <t xml:space="preserve">BLOCO DE VEDACAO DE CONCRETO APARENTE 19 X 19 X 39 CM (CLASSE C - NBR 6136)                                                                                                                                                                                                                                                                                                                                                                                                                               </t>
  </si>
  <si>
    <t xml:space="preserve">BLOCO ESTRUTURAL CERAMICO DE 19 X 19 X 29 CM (L X A X C) E 6,0 MPA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</si>
  <si>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</si>
  <si>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</si>
  <si>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</si>
  <si>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</si>
  <si>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</si>
  <si>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</si>
  <si>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</si>
  <si>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MOTOR ELETRICO TRIFASICO 1,48HP DIAMETRO DE SUCCAO X ELEVACAO 1 1/2" X 1", DIAMETRO DO ROTOR 117 MM, HM/Q: 10 M / 21,9 M3/H A 24 M / 6,1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</si>
  <si>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</si>
  <si>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</si>
  <si>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BRACO / CANO PARA CHUVEIRO ELETRICO, EM ALUMINIO, 30 CM X 1/2"                                                                                                                                                                                                                                                                                                                                                                                                                                            </t>
  </si>
  <si>
    <t xml:space="preserve">BUCHA EM ALUMINIO, COM ROSCA, DE 1 1/2", PARA ELETRODUTO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</si>
  <si>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</si>
  <si>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</si>
  <si>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INSPECAO PARA ATERRAMENTO E PARA RAIOS, EM POLIPROPILENO, DIAMETRO = 300 MM X ALTURA = 400 MM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</si>
  <si>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</si>
  <si>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</si>
  <si>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</si>
  <si>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</si>
  <si>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</si>
  <si>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</si>
  <si>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</si>
  <si>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MODULAR PARA MEDIDOR DE ENERGIA AGRUPADA, EM POLICARBONATO / TERMOPLASTICO, COM SUPORTE PARA DISJUNTOR (PADRAO DA CONCESSIONARIA LOCAL)                                                                                                                                                                                                                                                                                                                                                             </t>
  </si>
  <si>
    <t xml:space="preserve">CANTONEIRA EM ALUMINIO, ABAS IGUAIS, LARGURA DE 50,80 MM (2"), ESPESSURA DE 3,17 MM (1/8") E PESO LINEAR DE APROXIMADAMENTE 0,842 KG/M                                                                                                                                                                                                                                                                                                                                                                    </t>
  </si>
  <si>
    <t xml:space="preserve">CAP PVC, ROSCAVEL, 1", PARA AGUA FRIA PREDIAL                                                                                                                                                                                                                                                                                                                                                                                                                                                             </t>
  </si>
  <si>
    <t xml:space="preserve">CAP PVC, ROSCAVEL, 3/4",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</si>
  <si>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</si>
  <si>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</si>
  <si>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</si>
  <si>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CARPINTEIRO DE FORMAS OU OFICIAL (HORISTA)                                                                                                                                                                                                                                                                                                                                                                                                                                                                </t>
  </si>
  <si>
    <t xml:space="preserve">CARPINTEIRO DE FORMAS OU OFICIAL (MENSALISTA)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</si>
  <si>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</si>
  <si>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</si>
  <si>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</si>
  <si>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</si>
  <si>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</si>
  <si>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</si>
  <si>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</si>
  <si>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XADREZ PARA PISOS, E = 1/4" (6,30 MM) 54,53 KG/M2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</si>
  <si>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</si>
  <si>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</si>
  <si>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</si>
  <si>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</si>
  <si>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</si>
  <si>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</si>
  <si>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CHUMBADOR DE ACO TIPO PARABOLT, * 5/8" X 200* MM, COM PORCA E ARRUELA                                                                                                                                                                                                                                                                                                                                                                                                                                     </t>
  </si>
  <si>
    <t xml:space="preserve">CIMENTO PORTLAND ESTRUTURAL BRANCO CPB - 32 OU CPB - 40                                                                                                                                                                                                                                                                                                                                                                                                                                                   </t>
  </si>
  <si>
    <t xml:space="preserve">CONDULETE DE ALUMINIO TIPO E, PARA ELETRODUTO ROSCAVEL DE 1 1/4", COM TAMPA CEGA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</si>
  <si>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</si>
  <si>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</si>
  <si>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PARA QUADRA DE VOLEI COM POSTES EM TUBO DE ACO GALVANIZADO 3", H = *255* CM, PINTURA EM TINTA ESMALTE SINTETICO, REDE DE NYLON COM 2 MM, MALHA 10 X 10 CM E ANTENAS OFICIAIS EM FIBRA DE VIDRO                                                                                                                                                                                                                                                                                                   </t>
  </si>
  <si>
    <t xml:space="preserve">CORTADEIRA DE PISO DE CONCRETO E ASFALTO, PARA DISCO PADRAO DE DIAMETRO 350 MM (14") OU 450 MM (18"), MOTOR A GASOLINA, POTENCIA 13 HP, SEM DISCO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</si>
  <si>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</si>
  <si>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</si>
  <si>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</si>
  <si>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</si>
  <si>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</si>
  <si>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DISJUNTOR TERMOMAGNETICO TRIPOLAR 3 X 250 A/ICC - 25 KA                                                                                                                                                                                                                                                                                                                                                                                                                                                   </t>
  </si>
  <si>
    <t xml:space="preserve">DISJUNTOR TERMOMAGNETICO TRIPOLAR 3 X 400 A / ICC - 25 KA                                                                                                                                                                                                                                                                                                                                                                                                                                                 </t>
  </si>
  <si>
    <t xml:space="preserve">DISJUNTOR TIPO NEMA, BIPOLAR 10 ATE 50 A, TENSAO MAXIMA 415 V                                                                                                                                                                                                                                                                                                                                                                                                                                             </t>
  </si>
  <si>
    <t xml:space="preserve">DISJUNTOR TIPO NEMA, MONOPOLAR 35 ATE 50 A, TENSAO MAXIMA DE 240 V                                                                                                                                                                                                                                                                                                                                                                                                                                        </t>
  </si>
  <si>
    <t xml:space="preserve">DISJUNTOR TIPO NEMA, TRIPOLAR 10 ATE 50A, TENSAO MAXIMA DE 415 V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</si>
  <si>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</si>
  <si>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</si>
  <si>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</si>
  <si>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</si>
  <si>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</si>
  <si>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</si>
  <si>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</si>
  <si>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</si>
  <si>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DUCHA / CHUVEIRO PLASTICO SIMPLES, 5", BRANCO, PARA ACOPLAR EM HASTE 1/2", AGUA FRIA                                                                                                                                                                                                                                                                                                                                                                                                                      </t>
  </si>
  <si>
    <t xml:space="preserve">DUCHA HIGIENICA PLASTICA COM REGISTRO METALICO 1/2"                                                                                                                                                                                                                                                                                                                                                                                                                                                       </t>
  </si>
  <si>
    <t xml:space="preserve">ELETRODUTO FLEXIVEL PLANO EM PEAD, COR PRETA E LARANJA, DIAMETRO 32 MM                                                                                                                                                                                                                                                                                                                                                                                                                                    </t>
  </si>
  <si>
    <t xml:space="preserve">ELETRODUTO FLEXIVEL PLANO EM PEAD, COR PRETA E LARANJA, DIAMETRO 40 MM                                                                                                                                                                                                                                                                                                                                                                                                                                    </t>
  </si>
  <si>
    <t xml:space="preserve">ELETRODUTO FLEXIVEL, EM FITA DE ACO GALVANIZADO, SEM REVESTIMENTO, DIAMETRO NOMINAL 1"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</si>
  <si>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</si>
  <si>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</si>
  <si>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</si>
  <si>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</si>
  <si>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</si>
  <si>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</si>
  <si>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ESCAVADEIRA HIDRAULICA SOBRE ESTEIRAS, CACAMBA 0,80 M3, PESO OPERACIONAL 17,8 T, POTENCIA LIQUIDA 110 HP                                                                                                                                                                                                                                                                                                                                                                                                  </t>
  </si>
  <si>
    <t xml:space="preserve">ESCOVA CIRCULAR EM ACO LATONADO, 6 X 1" (DIAMETRO X ESPESSURA), FURO DE 1 1/4 ", FIO ONDULADO *0,30* MM                                                                                                                                                                                                                                                                                                                                                                                                   </t>
  </si>
  <si>
    <t xml:space="preserve">ESCOVA DE ACO, COM CABO, *4 X 15* FILEIRAS DE CERDAS                                                                                                                                                                                                                                                                                                                                                                                                                                                      </t>
  </si>
  <si>
    <t xml:space="preserve">ESPARGIDOR DE ASFALTO PRESSURIZADO, REBOCAVEL, TANQUE DE 2500 L, PNEUMATICO, COM MOTOR A GASOLINA 3,4HP                                                                                                                                                                                                                                                                                                                                                                                                   </t>
  </si>
  <si>
    <t xml:space="preserve">ESQUADRO DE ACO 12" (300 MM), CABO DE ALUMINIO                                                                                                                                                                                                                                                                                                                                                                                                                                                            </t>
  </si>
  <si>
    <t xml:space="preserve">FECHADURA ESPELHO PARA PORTA DE BANHEIRO, EM ACO INOX (MAQUINA, TESTA E CONTRA-TESTA) E EM ZAMAC (MACANETA, LINGUETA E TRINCOS) COM ACABAMENTO CROMADO, MAQUINA DE 55 MM, INCLUINDO CHAVE TIPO TRANQUETA (CONJUNTO DE FECHADURAS)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</si>
  <si>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</si>
  <si>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</si>
  <si>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</si>
  <si>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</si>
  <si>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</si>
  <si>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FITA ADESIVA ALUMINIZADA, PARA INSTALACAO DE MANTAS DE SUBCOBERTURA, L = *5* CM                                                                                                                                                                                                                                                                                                                                                                                                                           </t>
  </si>
  <si>
    <t xml:space="preserve">FURO PARA TORNEIRA OU OUTROS ACESSORIOS EM BANCADA DE MARMORE/ GRANITO OU OUTRO TIPO DE PEDRA NATURAL                                                                                                                                                                                                                                                                                                                                                                                                     </t>
  </si>
  <si>
    <t xml:space="preserve">GABIAO SACO MALHA HEXAGONAL 8 X 10 CM (ZN/AL REVESTIDO COM POLIMERO), FIO 2,4 MM, DIMENSOES 3,0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</si>
  <si>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</si>
  <si>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</si>
  <si>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REVESTIDO COM POLIMERO), FIO DE 2,4 MM, DIMENSOES 2,0 X 1,0 X 1,0 M (C X L X A)                                                                                                                                                                                                                                                                                                                                                                       </t>
  </si>
  <si>
    <t xml:space="preserve">GABIAO TIPO CAIXA, MALHA HEXAGONAL 8 X 10 CM (ZN/AL), FIO 2,7 MM, DIMENSOES 2,0 X 1,0 X 0,5 M (C X L X A)                                                                                                                                                                                                                                                                                                                                                                                                 </t>
  </si>
  <si>
    <t xml:space="preserve">GONZO DE EMBUTIR, EM LATAO / ZAMAC, *20 X 48* MM, PARA JANELA BASCULANTE / PIVOTANTE, JOGO COM 4 PECAS (PAR) - INCLUI PARAFUSOS                                                                                                                                                                                                                                                                                                                                                                           </t>
  </si>
  <si>
    <t xml:space="preserve">GRADE DE DISCOS MECANICA 20X24" COM 20 DISCOS 24" X 6MM COM PNEUS PARA TRANSPORTE                                                                                                                                                                                                                                                                                                                                                                                                                         </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</si>
  <si>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</si>
  <si>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</si>
  <si>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</si>
  <si>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</si>
  <si>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</si>
  <si>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</si>
  <si>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</si>
  <si>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</si>
  <si>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</si>
  <si>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 xml:space="preserve">GRANITO PARA BANCADA, POLIDO, TIPO ANDORINHA/ QUARTZ/ CASTELO/ CORUMBA OU OUTROS EQUIVALENTES DA REGIAO, E= *2,5* CM                                                                                                                                                                                                                                                                                                                                                                                      </t>
  </si>
  <si>
    <t xml:space="preserve">GRELHA FOFO SIMPLES COM REQUADRO, CARGA MAXIMA 12,5 T, *300 X 1000* MM, E= *15* MM, AREA ESTACIONAMENTO CARRO PASSEIO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</si>
  <si>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</si>
  <si>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</si>
  <si>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</si>
  <si>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</si>
  <si>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</si>
  <si>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</si>
  <si>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</si>
  <si>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</si>
  <si>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</si>
  <si>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</si>
  <si>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IMPERMEABILIZANTE INCOLOR, BASE SILICONE, PARA TRATAMENTO DE FACHADAS, TELHAS, PEDRAS E OUTRAS SUPERFICIES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</si>
  <si>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</si>
  <si>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</si>
  <si>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</si>
  <si>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</si>
  <si>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</si>
  <si>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</si>
  <si>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MAXIMO-AR, ACO GALVANIZADO PINT. ANTICORROSIVA, COM BATENTE/REQUADRO DE 6 A 14 CM, SEM VIDRO, COM GRADE, 1 FL, 60 X 80 CM (A X L)                                                                                                                                                                                                                                                                                                                                                                  </t>
  </si>
  <si>
    <t xml:space="preserve">JUNCAO DUPLA, PVC SOLDAVEL, DN 100 X 100 X 100 MM, SERIE NORMAL PARA ESGOTO PREDIAL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</si>
  <si>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</si>
  <si>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</si>
  <si>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</si>
  <si>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</si>
  <si>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</si>
  <si>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</si>
  <si>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LAVADORA DE ALTA PRESSAO (LAVA - JATO) PARA AGUA FRIA, PRESSAO DE OPERACAO ENTRE 1400 E 1900 LIB/POL2, VAZAO MAXIMA ENTRE 400 E 700 L/H, POTENCIA DE OPERACAO ENTRE 2,50 E 3,00 CV                                                                                                                                                                                                                                                                                                                        </t>
  </si>
  <si>
    <t xml:space="preserve">LIXADEIRA ELETRICA ANGULAR PARA CONCRETO, POTENCIA 1.400 W, PRATO DIAMANTADO DE 5"                                                                                                                                                                                                                                                                                                                                                                                                                        </t>
  </si>
  <si>
    <t xml:space="preserve">LIXADEIRA ELETRICA ANGULAR, PARA DISCO DE 7" (180 MM), POTENCIA DE 2.200 W, *5.000* RPM, 220 V                                                                                                                                                                                                                                                                                                                                                                                                            </t>
  </si>
  <si>
    <t xml:space="preserve">LOCACAO DE TORRE METALICA COMPLETA PARA UMA CARGA DE 8 TF (80 KN) E PE DIREITO DE 6 M, INCLUINDO MODULOS, DIAGONAIS, SAPATAS E FORCADOS                                                                                                                                                                                                                                                                                                                                                                   </t>
  </si>
  <si>
    <t xml:space="preserve">LUMINARIA LED PLAFON REDONDO DE SOBREPOR BIVOLT 12/13 W, D = *17* CM                                                                                                                                                                                                                                                                                                                                                                                                                                      </t>
  </si>
  <si>
    <t xml:space="preserve">LUVA DE REDUCAO EM ACO CARBONO, COM ENCAIXE PARA SOLDA DN SW, PRESSAO 3.000 LBS, DN 1 1/4" X 1"                                                                                                                                                                                                                                                                                                                                                                                                           </t>
  </si>
  <si>
    <t xml:space="preserve">LUVA DE REDUCAO EM ACO CARBONO, COM ENCAIXE PARA SOLDA DN SW, PRESSAO 3.000 LBS, 3/4" X 1/2"                                                                                                                                                                                                                                                                                                                                                                                                              </t>
  </si>
  <si>
    <t xml:space="preserve">LUVA PARA ELETRODUTO, EM ACO GALVANIZADO ELETROLITICO, COM ROSCA,DIAMETRO DE 50 MM (2")                                                                                                                                                                                                                                                                                                                                                                                                                   </t>
  </si>
  <si>
    <t xml:space="preserve">LUVA PVC, ROSCAVEL, 1 1/2", AGUA FRIA PREDIAL                                                                                                                                                                                                                                                                                                                                                                                                                                                             </t>
  </si>
  <si>
    <t xml:space="preserve">LUVA, PEAD PE 100, DE 400 MM, PARA ELETROFUSAO                                                                                                                                                                                                                                                                                                                                                                                                                                                            </t>
  </si>
  <si>
    <t xml:space="preserve">LUVA, PEAD PE 100, DE 63 MM, PARA ELETROFUSAO                                                                                                                                                                                                                                                                                                                                                                                                                                                             </t>
  </si>
  <si>
    <t xml:space="preserve">MANTA DE POLIETILENO EXPANDIDO, COM 1 FACE METALIZADA PARA SUBCOBERTURA, E = *5* MM                                                                                                                                                                                                                                                                                                                                                                                                                       </t>
  </si>
  <si>
    <t xml:space="preserve">MANTA LIQUIDA DE BASE ASFALTICA MODIFICADA COM A ADICAO DE ELASTOMEROS DILUIDOS EM SOLVENTE ORGANICO, APLICACAO A FRIO (MEMBRANA IMPERMEABILIZANTE ASFALTICA)                                                                                                                                                                                                                                                                                                                                             </t>
  </si>
  <si>
    <t xml:space="preserve">MANTA TERMOPLASTICA, PEAD, GEOMEMBRANA LISA, E = 0,50 MM (NBR 15352)                                                                                                                                                                                                                                                                                                                                                                                                                                      </t>
  </si>
  <si>
    <t xml:space="preserve">MAQUINA PARA CORTE COM DISCO ABRASIVO DE DIAMETRO DE 18" (450 MM), COM MOTOR ELETRICO TRIFASICO DE 10 CV                                                                                                                                                                                                                                                                                                                                                                                                  </t>
  </si>
  <si>
    <t xml:space="preserve">MARTELO DEMOLIDOR PNEUMATICO MANUAL, PESO DE 28 KG, COM SILENCIADOR                                                                                                                                                                                                                                                                                                                                                                                                                                       </t>
  </si>
  <si>
    <t xml:space="preserve">MASSA EPOXI BICOMPONENTE (MASSA + CATALISADOR)                                                                                                                                                                                                                                                                                                                                                                                                                                                            </t>
  </si>
  <si>
    <t xml:space="preserve">MASTRO TELESCOPICO GALVANIZADO 6 METROS (3 M X DN= 2" + 3 M X DN= 1 1/2")                                                                                                                                                                                                                                                                                                                                                                                                                                 </t>
  </si>
  <si>
    <t xml:space="preserve">MEIO BLOCO DE VEDACAO DE CONCRETO APARENTE 14 X 19 X 19 CM (CLASSE C - NBR 6136)                                                                                                                                                                                                                                                                                                                                                                                                                          </t>
  </si>
  <si>
    <t xml:space="preserve">MEIO BLOCO DE VEDACAO DE CONCRETO APARENTE 9 X 19 X 19 CM (CLASSE C - NBR 6136)                                                                                                                                                                                                                                                                                                                                                                                                                           </t>
  </si>
  <si>
    <t xml:space="preserve">MICRO-TRATOR CORTADOR DE GRAMA COM LARGURA DO CORTE DE 107 CM, COM 2 LAMINAS E DESCARTE LATERAL                                                                                                                                                                                                                                                                                                                                                                                                           </t>
  </si>
  <si>
    <t xml:space="preserve">MICTORIO INDIVIDUAL ACO INOX (AISI 304), E = 0,8 MM, DE *50 X 45 X 35* (C X A X P)                                                                                                                                                                                                                                                                                                                                                                                                                        </t>
  </si>
  <si>
    <t xml:space="preserve">MINICAPTOR, EM ACO GALVANIZADO A FOGO,AÂ  FIXACAO COM ROSCA SOBERBA OU MECANICA, H=300 MM X DN=10 MM                                                                                                                                                                                                                                                                                                                                                                                                      </t>
  </si>
  <si>
    <t xml:space="preserve">MINICAPTOR, EM ACO GALVANIZADO A FOGO,AÂ  FIXACAO HORIZONTAL COM BANDEIRA A 20 CM, H=300 MM E X DN=10 MM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</si>
  <si>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</si>
  <si>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</si>
  <si>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</si>
  <si>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MOTONIVELADORA POTENCIA BASICA LIQUIDA (PRIMEIRA MARCHA) 125 HP, PESO BRUTO 13843 KG, LARGURA DA LAMINA DE 3,7 M                                                                                                                                                                                                                                                                                                                                                                                          </t>
  </si>
  <si>
    <t xml:space="preserve">MUDA DE ARVORE ORNAMENTAL, OITI/AROEIRA SALSA/ANGICO/IPE/JACARANDA OU EQUIVALENTE DA REGIAO, H= *1* M                                                                                                                                                                                                                                                                                                                                                                                                     </t>
  </si>
  <si>
    <t xml:space="preserve">MUDA DE ARVORE ORNAMENTAL, OITI/AROEIRA SALSA/ANGICO/IPE/JACARANDA OU EQUIVALENTE DA REGIAO, H= *2* M                                                                                                                                                                                                                                                                                                                                                                                                     </t>
  </si>
  <si>
    <t xml:space="preserve">PARAFUSO FRANCES ZINCADO, DIAMETRO 1/2", COMPRIMENTO 2", COM PORCA E ARRUELA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</si>
  <si>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</si>
  <si>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</si>
  <si>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</si>
  <si>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</si>
  <si>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</si>
  <si>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</si>
  <si>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</si>
  <si>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</si>
  <si>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</si>
  <si>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</si>
  <si>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</si>
  <si>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ASTM A307 - GRAU A, SEXTAVADO, ZINCADO, DIAMETRO 3/8" (9,52 MM), COMPRIMENTO 1" (25,4 MM)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</si>
  <si>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</si>
  <si>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</si>
  <si>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</si>
  <si>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</si>
  <si>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PEDRA ARDOSIA, CINZA, 20 X 40 CM, E= *1 CM                                                                                                                                                                                                                                                                                                                                                                                                                                                                </t>
  </si>
  <si>
    <t xml:space="preserve">PEDRA ARDOSIA, CINZA, 30 X 30, E= *1 CM                                                                                                                                                                                                                                                                                                                                                                                                                                                                   </t>
  </si>
  <si>
    <t xml:space="preserve">PEDRA BRITADA N. 1 (9,5 A 19 MM) POSTO PEDREIRA/FORNECEDOR,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</si>
  <si>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</si>
  <si>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</si>
  <si>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</si>
  <si>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</si>
  <si>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</si>
  <si>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PEITORIL EM MARMORE, POLIDO, BRANCO COMUM, L= *15* CM, E= *2,0* CM, COM PINGADEIRA                                                                                                                                                                                                                                                                                                                                                                                                                        </t>
  </si>
  <si>
    <t xml:space="preserve">PEITORIL EM MARMORE, POLIDO, BRANCO COMUM, L= *15* CM, E= *3* CM, CORTE RETO                                                                                                                                                                                                                                                                                                                                                                                                                              </t>
  </si>
  <si>
    <t xml:space="preserve">PEITORIL/ SOLEIRA EM MARMORE, POLIDO, BRANCO COMUM, L= *25* CM, E= *3* CM, CORTE RETO                                                                                                                                                                                                                                                                                                                                                                                                                     </t>
  </si>
  <si>
    <t xml:space="preserve">PERFIL CARTOLA DE ACO GALVANIZADO, *20 X 30 X 10* MM, E = 0,8 MM                                                                                                                                                                                                                                                                                                                                                                                                                                          </t>
  </si>
  <si>
    <t xml:space="preserve">PERFIL EM ALUMINIO, FORMATO U, ABAS IGUAIS, LARGURA DE 12,70 MM (1/2 POL), ESPESSURA 1,58 MM (1/16 POL) E PESO LINEAR DE APROXIMADAMENTE 0,149 KG/M                                                                                                                                                                                                                                                                                                                                                       </t>
  </si>
  <si>
    <t xml:space="preserve">PERFIL GUIA, FORMATO U, EM ACO ZINCADO, PARA ESTRUTURA PAREDE DRYWALL, E = 0,5 MM, 48 X 3000 MM (L X C)                                                                                                                                                                                                                                                                                                                                                                                                   </t>
  </si>
  <si>
    <t xml:space="preserve">PERFIL TRAVESSA (SECUNDARIO), T CLICADO, EM ACO GALVANIZADO, BRANCO, PARA FORRO REMOVIVEL, 24 X 1250 MM (L X C)                                                                                                                                                                                                                                                                                                                                                                                           </t>
  </si>
  <si>
    <t xml:space="preserve">PINCEL CHATO (TRINCHA) CERDAS GRIS 1.1/2" (38 MM)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</si>
  <si>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</si>
  <si>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</si>
  <si>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</si>
  <si>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</si>
  <si>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</si>
  <si>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PLACA DE ACO ESMALTADA PARA IDENTIFICACAO DE RUA, *45 CM X 20*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</si>
  <si>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</si>
  <si>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PORCA OLHAL M 16, EM ACO GALVANIZADO, DIAMETRO = 16 MM                                                                                                                                                                                                                                                                                                                                                                                                                                                    </t>
  </si>
  <si>
    <t xml:space="preserve">PORTA CADEADO EM ACO GALVANIZADO, COMPRIMENTO DE 3 1/2"                                                                                                                                                                                                                                                                                                                                                                                                                                                   </t>
  </si>
  <si>
    <t xml:space="preserve">PORTA DE ABRIR / GIRO, EM MADEIRA MACICA (ANGELIM OU EQUIVALENTE REGIONAL), QUALQUER DESENHO (VERTICAL/DIAGONAL/HORIZ.), E = *3,5* CM, DIMENSOES 2,10 X 0,70 (SOMENTE FOLHA DE PORTA, ACABAMENTO NATURAL)                                                                                                                                                                                                                                                                                                 </t>
  </si>
  <si>
    <t xml:space="preserve">PORTA DE ABRIR EM ALUMINIO COM DIVISAO HORIZONTAL PARA VIDROS, ACABAMENTO ANODIZADO NATURAL, VIDROS INCLUSOS, SEM GUARNICAO/ALIZAR/VISTA, 87 X 210 CM                                                                                                                                                                                                                                                                                                                                                     </t>
  </si>
  <si>
    <t xml:space="preserve">PORTA DE ENROLAR MANUAL COMPLETA, PERFIL MEIA CANA CEGA, EM ACO GALVANIZADO COM PINTURA ELETROSTATICA, CHAPA NUMERO 24" (SEM INSTALACAO)                                                                                                                                                                                                                                                                                                                                                                  </t>
  </si>
  <si>
    <t xml:space="preserve">PORTAO DE ABRIR / GIRO, EM GRADIL DE METALON REDONDO DE 3/4" VERTICAL, COM REQUADRO, ACABAMENTO NATURAL - COMPLETO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</si>
  <si>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</si>
  <si>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</si>
  <si>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</si>
  <si>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</si>
  <si>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</si>
  <si>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</si>
  <si>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</si>
  <si>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PUXADOR DE EMBUTIR TIPO CONCHA, COM FURO PARA CHAVE, EM LATAO CROMADO, COMPRIMENTO DE APROX *100* MM E LARGURA DE APROX *40* MM                                                                                                                                                                                                                                                                                                                                                                           </t>
  </si>
  <si>
    <t xml:space="preserve">QUADRO DE DISTRIBUICAO, SEM BARRAMENTO, EM PVC, DE SOBREPOR, PARA 3 DISJUNTORES NEMA OU 4 DISJUNTORES DIN                                                                                                                                                                                                                                                                                                                                                                                                 </t>
  </si>
  <si>
    <t xml:space="preserve">RALO SECO CONICO, PVC, 100 X 40 MM, COM GRELHA REDONDA BRANCA                                                                                                                                                                                                                                                                                                                                                                                                                                             </t>
  </si>
  <si>
    <t xml:space="preserve">RALO SIFONADO CILINDRICO, PVC, 100 X 40 MM, COM GRELHA REDONDA BRANCA                                                                                                                                                                                                                                                                                                                                                                                                                                     </t>
  </si>
  <si>
    <t xml:space="preserve">REBOLO ABRASIVO RETO DE USO GERAL GRAO 36, DE 6 X 1" (DIAMETRO X ALTURA)                                                                                                                                                                                                                                                                                                                                                                                                                                  </t>
  </si>
  <si>
    <t xml:space="preserve">REBOLO ABRASIVO RETO DE USO GERAL GRAO 36, DE 6 X 3/4" (DIAMETRO X ALTURA)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</si>
  <si>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</si>
  <si>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</si>
  <si>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</si>
  <si>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</si>
  <si>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</si>
  <si>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</si>
  <si>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</si>
  <si>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</si>
  <si>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</si>
  <si>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</si>
  <si>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</si>
  <si>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</si>
  <si>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</si>
  <si>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</si>
  <si>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</si>
  <si>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</si>
  <si>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</si>
  <si>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</si>
  <si>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</si>
  <si>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</si>
  <si>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</si>
  <si>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RODAPE EM MARMORE, POLIDO, BRANCO COMUM, L= *7* CM, E= *2* CM, CORTE RETO                                                                                                                                                                                                                                                                                                                                                                                                                                 </t>
  </si>
  <si>
    <t xml:space="preserve">RODAPE OU RODABANCADA EM GRANITO, POLIDO, TIPO ANDORINHA/ QUARTZ/ CASTELO/ CORUMBA OU OUTROS EQUIVALENTES DA REGIAO, H= 10 CM, E= *2,0* CM                                                                                                                                                                                                                                                                                                                                                                </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</si>
  <si>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</si>
  <si>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</si>
  <si>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 xml:space="preserve">SACO DE RAFIA PARA ENTULHO, NOVO, LISO (SEM CLICHE), *60 X 90* CM                                                                                                                                                                                                                                                                                                                                                                                                                                         </t>
  </si>
  <si>
    <t xml:space="preserve">SELADOR HORIZONTAL PARA FITA DE ACO 1"                                                                                                                                                                                                                                                                                                                                                                                                                                                                    </t>
  </si>
  <si>
    <t xml:space="preserve">SEMIRREBOQUE COM DOIS EIXOS EM TANDEM TIPO BASCULANTE COM CACAMBA METALICA 14 M3 (INCLUI MONTAGEM, NAO INCLUI CAVALO MECANICO)                                                                                                                                                                                                                                                                                                                                                                            </t>
  </si>
  <si>
    <t xml:space="preserve">SERVICO DE BOMBEAMENTO DE CONCRETO COM CONSUMO MINIMO DE 40 M3, (DISPONIBILIZACAO DE BOMBA), SEM O LANCAMENTO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</si>
  <si>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</si>
  <si>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</si>
  <si>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</si>
  <si>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</si>
  <si>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TIPO COPO PARA PIA AMERICANA 1.1/2 X 1.1/2"                                                                                                                                                                                                                                                                                                                                                                                                                                                </t>
  </si>
  <si>
    <t xml:space="preserve">SIFAO PLASTICO TIPO COPO PARA PIA OU LAVATORIO, 1 X 1.1/2"                                                                                                                                                                                                                                                                                                                                                                                                                                                </t>
  </si>
  <si>
    <t xml:space="preserve">SIFAO PLASTICO TIPO COPO PARA TANQUE, 1.1/4 X 1.1/2"                                                                                                                                                                                                                                                                                                                                                                                                                                                      </t>
  </si>
  <si>
    <t xml:space="preserve">SOLDA EM VARETA FOSCOPER, D = *2,5* MM X COMPRIMENTO 500 MM                                                                                                                                                                                                                                                                                                                                                                                                                                               </t>
  </si>
  <si>
    <t xml:space="preserve">SOLEIRA EM GRANITO, POLIDO, TIPO ANDORINHA/ QUARTZ/ CASTELO/ CORUMBA OU OUTROS EQUIVALENTES DA REGIAO, L= *15* CM, E= *2,0* CM                                                                                                                                                                                                                                                                                                                                                                            </t>
  </si>
  <si>
    <t xml:space="preserve">SOLEIRA/ PEITORIL EM MARMORE, POLIDO, BRANCO COMUM, L= *15* CM, E= *2* CM, CORTE RETO                                                                                                                                                                                                                                                                                                                                                                                                                     </t>
  </si>
  <si>
    <t xml:space="preserve">SOLEIRA/ TABEIRA EM MARMORE, POLIDO, BRANCO COMUM, L= 5 CM, E= *2,0* CM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</si>
  <si>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</si>
  <si>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</si>
  <si>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</si>
  <si>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</si>
  <si>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</si>
  <si>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</si>
  <si>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</si>
  <si>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</si>
  <si>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</si>
  <si>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</si>
  <si>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</si>
  <si>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</si>
  <si>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</si>
  <si>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</si>
  <si>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TARIFA "A" ENTRE 0 E 20M3 FORNECIMENTO D'AGUA                                                                                                                                                                                                                                                                                                                                                                                                                                                             </t>
  </si>
  <si>
    <t xml:space="preserve">TE DE INSPECAO, PVC, 100 X 75 MM, SERIE NORMAL PARA ESGOTO PREDIAL                                                                                                                                                                                                                                                                                                                                                                                                                                        </t>
  </si>
  <si>
    <t xml:space="preserve">TE PVC ROSCAVEL 90 GRAUS, 1", PARA AGUA FRIA PREDIAL                                                                                                                                                                                                                                                                                                                                                                                                                                                      </t>
  </si>
  <si>
    <t xml:space="preserve">TE PVC, ROSCAVEL, 90 GRAUS, 1/2", AGUA FRIA PREDIAL                                                                                                                                                                                                                                                                                                                                                                                                                                                       </t>
  </si>
  <si>
    <t xml:space="preserve">TE PVC, ROSCAVEL, 90 GRAUS, 2", AGUA FRIA PREDIAL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</si>
  <si>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</si>
  <si>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</si>
  <si>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</si>
  <si>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</si>
  <si>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Q-92, (1,48 KG/M2), DIAMETRO DO FIO = 4,2 MM, LARGURA = 2,45 X 60 M DE COMPRIMENTO, ESPACAMENTO DA MALHA = 15 X 15 CM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</si>
  <si>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</si>
  <si>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</si>
  <si>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TELHADOR / TELHADISTA (HORISTA)                                                                                                                                                                                                                                                                                                                                                                                                                                                                           </t>
  </si>
  <si>
    <t xml:space="preserve">TELHADOR / TELHADISTA (MENSALISTA)                                                                                                                                                                                                                                                                                                                                                                                                                                                                        </t>
  </si>
  <si>
    <t xml:space="preserve">TIJOLO CERAMICO MACICO APARENTE 2 FUROS DE *6,5 X 10 X 20* CM (L X A X C)                                                                                                                                                                                                                                                                                                                                                                                                                                 </t>
  </si>
  <si>
    <t xml:space="preserve">TIRANTE EM FERRO GALVANIZADO PARA CONTRAVENTAMENTO DE TELHA CANALETE 90, 1/4" X 400 MM                                                                                                                                                                                                                                                                                                                                                                                                                    </t>
  </si>
  <si>
    <t xml:space="preserve">TOMADA 2P+T 10A, 250V (APENAS MODULO)                                                                                                                                                                                                                                                                                                                                                                                                                                                                     </t>
  </si>
  <si>
    <t xml:space="preserve">TOMADA 2P+T 20A, 250V (APENAS MODULO)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</si>
  <si>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</si>
  <si>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</si>
  <si>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</si>
  <si>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METALICA CROMADA CANO CURTO, SEM BICO, SEM AREJADOR, DE PAREDE, PARA TANQUE E USO GERAL, 1/2" OU 3/4" (REF 1143)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</si>
  <si>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</si>
  <si>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</si>
  <si>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</si>
  <si>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</si>
  <si>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</si>
  <si>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</si>
  <si>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</si>
  <si>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</si>
  <si>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</si>
  <si>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</si>
  <si>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TRATOR DE PNEUS COM POTENCIA DE 85 CV, TURBO, PESO COM LASTRO DE 4900 KG                                                                                                                                                                                                                                                                                                                                                                                                                                  </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</si>
  <si>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</si>
  <si>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</si>
  <si>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</si>
  <si>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</si>
  <si>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</si>
  <si>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</si>
  <si>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</si>
  <si>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</si>
  <si>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</si>
  <si>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</si>
  <si>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</si>
  <si>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</si>
  <si>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COLETOR DE ESGOTO, PVC, JEI, DN 150 MM (NBR 7362)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</si>
  <si>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</si>
  <si>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</si>
  <si>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</si>
  <si>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</si>
  <si>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</si>
  <si>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</si>
  <si>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</si>
  <si>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</si>
  <si>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</si>
  <si>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</si>
  <si>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</si>
  <si>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</si>
  <si>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</si>
  <si>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</si>
  <si>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</si>
  <si>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</si>
  <si>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</si>
  <si>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</si>
  <si>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"I", DN = 1 1/2" (42 MM), PARA INSTALACOES INDUSTRIAIS DE ALTA PRESSAO E VAPOR                                                                                                                                                                                                                                                                                                                                                                                                       </t>
  </si>
  <si>
    <t xml:space="preserve">TUBO DE COBRE CLASSE "I", DN = 1 1/4" (35 MM), PARA INSTALACOES INDUSTRIAIS DE ALTA PRESSAO E VAPOR                                                                                                                                                                                                                                                                                                                                                                                                       </t>
  </si>
  <si>
    <t xml:space="preserve">TUBO DE COBRE CLASSE "I", DN = 1/2" (15 MM), PARA INSTALACOES INDUSTRIAIS DE ALTA PRESSAO E VAPOR                                                                                                                                                                                                                                                                                                                                                                                                         </t>
  </si>
  <si>
    <t xml:space="preserve">TUBO DE COBRE CLASSE "I", DN = 1" (28 MM), PARA INSTALACOES INDUSTRIAIS DE ALTA PRESSAO E VAPOR                                                                                                                                                                                                                                                                                                                                                                                                           </t>
  </si>
  <si>
    <t xml:space="preserve">TUBO DE COBRE CLASSE "I", DN = 2 1/2" (66 MM), PARA INSTALACOES INDUSTRIAIS DE ALTA PRESSAO E VAPOR                                                                                                                                                                                                                                                                                                                                                                                                       </t>
  </si>
  <si>
    <t xml:space="preserve">TUBO DE COBRE CLASSE "I", DN = 2" (54 MM), PARA INSTALACOES INDUSTRIAIS DE ALTA PRESSAO E VAPOR                                                                                                                                                                                                                                                                                                                                                                                                           </t>
  </si>
  <si>
    <t xml:space="preserve">TUBO DE COBRE CLASSE "I", DN = 3/4" (22 MM), PARA INSTALACOES INDUSTRIAIS DE ALTA PRESSAO E VAPOR                                                                                                                                                                                                                                                                                                                                                                                                         </t>
  </si>
  <si>
    <t xml:space="preserve">TUBO DE COBRE CLASSE "I", DN = 3" (79 MM), PARA INSTALACOES INDUSTRIAIS DE ALTA PRESSAO E VAPOR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</si>
  <si>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</si>
  <si>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</si>
  <si>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</si>
  <si>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</si>
  <si>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</si>
  <si>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</si>
  <si>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</si>
  <si>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</si>
  <si>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</si>
  <si>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</si>
  <si>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</si>
  <si>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</si>
  <si>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</si>
  <si>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</si>
  <si>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</si>
  <si>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</si>
  <si>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</si>
  <si>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</si>
  <si>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</si>
  <si>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</si>
  <si>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</si>
  <si>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</si>
  <si>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</si>
  <si>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</si>
  <si>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</si>
  <si>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</si>
  <si>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</si>
  <si>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</si>
  <si>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</si>
  <si>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</si>
  <si>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</si>
  <si>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PVC CORRUGADO, PAREDE DUPLA, JE, DN 300 MM/ DE 315 MM, REDE COLETORA ESGOTO                                                                                                                                                                                                                                                                                                                                                                                                                          </t>
  </si>
  <si>
    <t xml:space="preserve">TUBO PVC DEFOFO, JEI, 1 MPA, DN 150 MM, PARA REDE DE AGUA (NBR 7665)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</si>
  <si>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</si>
  <si>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</si>
  <si>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</si>
  <si>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</si>
  <si>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</si>
  <si>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</si>
  <si>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</si>
  <si>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</si>
  <si>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</si>
  <si>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</si>
  <si>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</si>
  <si>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</si>
  <si>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</si>
  <si>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</si>
  <si>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</si>
  <si>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</si>
  <si>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</si>
  <si>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</si>
  <si>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</si>
  <si>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</si>
  <si>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USINA MISTURADORA DE SOLOS, DOSADORES TRIPLOS, CALHA VIBRATORIA CAPACIDADE DE 200 A 500 T/H, POTENCIA DE 75 KW                                                                                                                                                                                                                                                                                                                                                                                            </t>
  </si>
  <si>
    <t xml:space="preserve">VALVULA DE DESCARGA METALICA, BASE 1 1/2" E ACABAMENTO METALICO CROMADO                                                                                                                                                                                                                                                                                                                                                                                                                                   </t>
  </si>
  <si>
    <t xml:space="preserve">VALVULA DE DESCARGA METALICA, BASE 1 1/4" E ACABAMENTO METALICO CROMADO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</si>
  <si>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</si>
  <si>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</si>
  <si>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</si>
  <si>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</si>
  <si>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</si>
  <si>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</si>
  <si>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EM METAL CROMADO PARA LAVATORIO, 1" SEM LADRAO                                                                                                                                                                                                                                                                                                                                                                                                                                                    </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</si>
  <si>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</si>
  <si>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</si>
  <si>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</si>
  <si>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 xml:space="preserve">VERGALHAO ZINCADO ROSCA TOTAL, 1/4" (6,3 MM)                                                                                                                                                                                                                                                                                                                                                                                                                                                              </t>
  </si>
  <si>
    <t xml:space="preserve">VIDRO COMUM LAMINADO, LISO, INCOLOR, TRIPLO, ESPESSURA TOTAL 12 MM (CADA CAMADA E= 4 MM) - COLOCADO                                                                                                                                                                                                                                                                                                                                                                                                       </t>
  </si>
  <si>
    <t>TOTAL DE INSUMOS : 4827</t>
  </si>
  <si>
    <t>SICRO - JANEIRO 2024</t>
  </si>
  <si>
    <t>SINAPI MAIO 2024</t>
  </si>
  <si>
    <t>SINAPI - DATA DE PREÇO MAIO 2024</t>
  </si>
  <si>
    <t>EPI</t>
  </si>
  <si>
    <t>1 - De acordo com o contido no Despacho - NOVACAP/DE/DETEC/DITEC/SEARQ (81859309), presente no processo SEI-04018-00000386/2020-37, informamos que os Quiosques, Bancos em concreto e lixeiras não fazem parte desta estimativa.
2 - Esta ART 0720240055972 contempla somente a atualização de custos desta estimativa.</t>
  </si>
  <si>
    <t>ENG. GILMAR DA MOTA FERNANDES - CREA: 23785/D-DF ART:0720220018938</t>
  </si>
  <si>
    <t>ENG. HERBERT MESQUITA LOIOLA - CREA: 25130/D-DF ART: 0720240055972</t>
  </si>
  <si>
    <t>ENG. GILMAR DA MOTA FERNANDES
ART: 0720220018938
CREA: 23785/D-DF
Matrícula: 973.113-X</t>
  </si>
  <si>
    <t>ENG. HERBERT MESQUITA LOIOLA
ART: 0720240055972
CREA: 25130/D-DF
Matrícula: 973.299-3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</si>
</sst>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
    <numFmt numFmtId="175" formatCode="#,##0.000000;\-#,##0.000000"/>
    <numFmt numFmtId="176" formatCode="#,##0.000000"/>
    <numFmt numFmtId="177" formatCode="#,##0.00_ ;\-#,##0.00\ "/>
    <numFmt numFmtId="178" formatCode="#,##0.000000_ ;\-#,##0.000000\ "/>
    <numFmt numFmtId="179" formatCode="0.000"/>
    <numFmt numFmtId="180" formatCode="_-* #,##0.00\ [$€]_-;\-* #,##0.00\ [$€]_-;_-* &quot;-&quot;??\ [$€]_-;_-@_-"/>
    <numFmt numFmtId="181" formatCode="#,##0.00\ ;&quot; (&quot;#,##0.00\);&quot; -&quot;#\ ;@\ "/>
    <numFmt numFmtId="182" formatCode="00"/>
    <numFmt numFmtId="183" formatCode="_(* #,##0_);_(* \(#,##0\);_(* &quot;-&quot;_);_(@_)"/>
    <numFmt numFmtId="184" formatCode="_-* #,##0.00_-;\-* #,##0.00_-;_-* \-??_-;_-@_-"/>
    <numFmt numFmtId="185" formatCode="&quot;R$&quot;\ #,##0.00"/>
    <numFmt numFmtId="186" formatCode="0.0000"/>
    <numFmt numFmtId="187" formatCode="_-* #,##0.00000_-;\-* #,##0.00000_-;_-* &quot;-&quot;??_-;_-@_-"/>
    <numFmt numFmtId="188" formatCode="0.00000"/>
  </numFmts>
  <fonts count="139" x14ac:knownFonts="1">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b/>
      <i/>
      <sz val="13"/>
      <name val="Calibri"/>
      <family val="2"/>
    </font>
    <font>
      <sz val="11"/>
      <name val="Calibri"/>
      <family val="2"/>
      <scheme val="minor"/>
    </font>
    <font>
      <sz val="12"/>
      <name val="Calibri"/>
      <family val="2"/>
    </font>
    <font>
      <b/>
      <sz val="11"/>
      <color rgb="FFFF0000"/>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b/>
      <sz val="15"/>
      <color rgb="FF92D050"/>
      <name val="Calibri"/>
      <family val="2"/>
      <scheme val="minor"/>
    </font>
    <font>
      <sz val="12"/>
      <name val="Calibri"/>
      <family val="2"/>
      <scheme val="minor"/>
    </font>
    <font>
      <sz val="8"/>
      <color indexed="8"/>
      <name val="Calibri"/>
      <family val="2"/>
    </font>
    <font>
      <i/>
      <sz val="10"/>
      <name val="Arial"/>
      <family val="2"/>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sz val="10"/>
      <color rgb="FFFF0000"/>
      <name val="Arial"/>
      <family val="2"/>
    </font>
    <font>
      <sz val="9"/>
      <name val="Arial"/>
      <family val="2"/>
    </font>
    <font>
      <b/>
      <sz val="8"/>
      <color indexed="8"/>
      <name val="Arial"/>
      <family val="2"/>
    </font>
    <font>
      <b/>
      <sz val="9"/>
      <name val="Arial"/>
      <family val="2"/>
    </font>
    <font>
      <u/>
      <sz val="11"/>
      <color theme="10"/>
      <name val="Calibri"/>
      <family val="2"/>
    </font>
    <font>
      <sz val="10"/>
      <name val="Arial"/>
      <family val="2"/>
    </font>
    <font>
      <b/>
      <sz val="12"/>
      <name val="Arial"/>
      <family val="2"/>
    </font>
    <font>
      <sz val="10"/>
      <name val="Arial"/>
      <family val="2"/>
    </font>
    <font>
      <sz val="10"/>
      <name val="Courier New"/>
      <family val="3"/>
    </font>
    <font>
      <sz val="11"/>
      <color theme="1"/>
      <name val="Arial"/>
      <family val="2"/>
    </font>
    <font>
      <b/>
      <sz val="11"/>
      <color theme="1"/>
      <name val="Arial"/>
      <family val="2"/>
    </font>
    <font>
      <sz val="8"/>
      <color theme="1"/>
      <name val="Arial"/>
      <family val="2"/>
    </font>
    <font>
      <sz val="11"/>
      <name val="Arial"/>
      <family val="2"/>
    </font>
    <font>
      <sz val="9"/>
      <color theme="0"/>
      <name val="Arial"/>
      <family val="2"/>
    </font>
    <font>
      <b/>
      <sz val="10"/>
      <color theme="1"/>
      <name val="Arial"/>
      <family val="2"/>
    </font>
    <font>
      <sz val="28"/>
      <color theme="1"/>
      <name val="Arial"/>
      <family val="2"/>
    </font>
    <font>
      <u/>
      <sz val="9"/>
      <color theme="1"/>
      <name val="Arial"/>
      <family val="2"/>
    </font>
    <font>
      <sz val="9"/>
      <color theme="1"/>
      <name val="Arial"/>
      <family val="2"/>
    </font>
    <font>
      <b/>
      <sz val="9"/>
      <color theme="1"/>
      <name val="Arial"/>
      <family val="2"/>
    </font>
    <font>
      <sz val="11"/>
      <color rgb="FF000000"/>
      <name val="Calibri"/>
      <family val="2"/>
    </font>
    <font>
      <b/>
      <sz val="14"/>
      <color theme="1"/>
      <name val="Calibri"/>
      <family val="2"/>
      <scheme val="minor"/>
    </font>
    <font>
      <b/>
      <sz val="11"/>
      <color rgb="FFFF0000"/>
      <name val="Arial"/>
      <family val="2"/>
    </font>
    <font>
      <sz val="11"/>
      <color rgb="FFFF0000"/>
      <name val="Arial"/>
      <family val="2"/>
    </font>
    <font>
      <b/>
      <sz val="6"/>
      <color theme="4"/>
      <name val="Arial"/>
      <family val="2"/>
    </font>
    <font>
      <sz val="11"/>
      <color theme="4"/>
      <name val="Arial"/>
      <family val="2"/>
    </font>
    <font>
      <b/>
      <sz val="7"/>
      <color theme="4"/>
      <name val="Arial"/>
      <family val="2"/>
    </font>
    <font>
      <sz val="8"/>
      <color theme="4"/>
      <name val="Arial"/>
      <family val="2"/>
    </font>
    <font>
      <sz val="12"/>
      <color indexed="24"/>
      <name val="Arial"/>
      <family val="2"/>
    </font>
    <font>
      <sz val="7"/>
      <color theme="1"/>
      <name val="Arial"/>
      <family val="2"/>
    </font>
    <font>
      <sz val="12"/>
      <color theme="1"/>
      <name val="Arial"/>
      <family val="2"/>
    </font>
    <font>
      <sz val="6"/>
      <color indexed="8"/>
      <name val="Arial"/>
      <family val="2"/>
    </font>
    <font>
      <sz val="12"/>
      <color indexed="8"/>
      <name val="Arial"/>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sz val="10"/>
      <name val="Courier"/>
      <family val="3"/>
    </font>
    <font>
      <b/>
      <sz val="10"/>
      <name val="Bookman Old Style"/>
      <family val="1"/>
    </font>
    <font>
      <sz val="11"/>
      <color indexed="53"/>
      <name val="Calibri"/>
      <family val="2"/>
    </font>
    <font>
      <sz val="11"/>
      <color indexed="19"/>
      <name val="Calibri"/>
      <family val="2"/>
    </font>
    <font>
      <sz val="10"/>
      <name val="MS Sans Serif"/>
      <family val="2"/>
    </font>
    <font>
      <sz val="10"/>
      <name val="Times New Roman"/>
      <family val="1"/>
    </font>
    <font>
      <b/>
      <sz val="18"/>
      <color indexed="62"/>
      <name val="Cambria"/>
      <family val="2"/>
    </font>
    <font>
      <b/>
      <sz val="18"/>
      <color theme="3"/>
      <name val="Cambria"/>
      <family val="2"/>
    </font>
    <font>
      <sz val="12"/>
      <color indexed="24"/>
      <name val="Arial"/>
      <family val="2"/>
    </font>
    <font>
      <sz val="10"/>
      <name val="Courier New"/>
      <family val="3"/>
    </font>
    <font>
      <sz val="10"/>
      <name val="Calibri"/>
      <family val="2"/>
    </font>
    <font>
      <sz val="10"/>
      <name val="Arial"/>
      <family val="2"/>
    </font>
    <font>
      <b/>
      <sz val="11"/>
      <name val="Courier New"/>
      <family val="3"/>
    </font>
    <font>
      <b/>
      <sz val="8"/>
      <name val="Calibri"/>
      <family val="2"/>
    </font>
    <font>
      <u/>
      <sz val="11"/>
      <color theme="10"/>
      <name val="Calibri"/>
      <family val="2"/>
      <scheme val="minor"/>
    </font>
    <font>
      <sz val="11"/>
      <color rgb="FFC00000"/>
      <name val="Arial"/>
      <family val="2"/>
    </font>
    <font>
      <sz val="10"/>
      <name val="Courier New"/>
      <family val="3"/>
    </font>
  </fonts>
  <fills count="8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rgb="FF00B050"/>
        <bgColor indexed="64"/>
      </patternFill>
    </fill>
    <fill>
      <patternFill patternType="solid">
        <fgColor rgb="FF0070C0"/>
        <bgColor indexed="64"/>
      </patternFill>
    </fill>
    <fill>
      <patternFill patternType="solid">
        <fgColor rgb="FFFFFF00"/>
        <bgColor indexed="64"/>
      </patternFill>
    </fill>
    <fill>
      <patternFill patternType="solid">
        <fgColor theme="9" tint="-0.249977111117893"/>
        <bgColor indexed="64"/>
      </patternFill>
    </fill>
    <fill>
      <patternFill patternType="solid">
        <fgColor theme="9" tint="0.39997558519241921"/>
        <bgColor indexed="64"/>
      </patternFill>
    </fill>
  </fills>
  <borders count="140">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indexed="64"/>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
      <left/>
      <right style="hair">
        <color rgb="FF000000"/>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rgb="FF000000"/>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rgb="FF000000"/>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hair">
        <color rgb="FF000000"/>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style="hair">
        <color rgb="FF000000"/>
      </left>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hair">
        <color rgb="FF000000"/>
      </left>
      <right style="hair">
        <color indexed="64"/>
      </right>
      <top style="hair">
        <color rgb="FF000000"/>
      </top>
      <bottom style="hair">
        <color rgb="FF000000"/>
      </bottom>
      <diagonal/>
    </border>
    <border>
      <left style="hair">
        <color rgb="FF000000"/>
      </left>
      <right style="hair">
        <color indexed="64"/>
      </right>
      <top/>
      <bottom style="hair">
        <color rgb="FF000000"/>
      </bottom>
      <diagonal/>
    </border>
    <border>
      <left style="hair">
        <color indexed="64"/>
      </left>
      <right style="medium">
        <color indexed="64"/>
      </right>
      <top style="medium">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medium">
        <color indexed="64"/>
      </bottom>
      <diagonal/>
    </border>
  </borders>
  <cellStyleXfs count="295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19" fillId="0" borderId="0">
      <alignment vertical="center" wrapText="1"/>
      <protection locked="0"/>
    </xf>
    <xf numFmtId="0" fontId="20" fillId="0" borderId="0"/>
    <xf numFmtId="0" fontId="20" fillId="0" borderId="0"/>
    <xf numFmtId="165" fontId="20" fillId="0" borderId="0" applyFont="0" applyFill="0" applyBorder="0" applyAlignment="0" applyProtection="0"/>
    <xf numFmtId="0" fontId="23" fillId="0" borderId="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165" fontId="20" fillId="0" borderId="0" applyFont="0" applyFill="0" applyBorder="0" applyAlignment="0" applyProtection="0"/>
    <xf numFmtId="0" fontId="19" fillId="0" borderId="0" applyFont="0" applyFill="0" applyBorder="0" applyAlignment="0" applyProtection="0"/>
    <xf numFmtId="4" fontId="33" fillId="0" borderId="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2" fontId="19" fillId="0" borderId="0" applyFont="0" applyFill="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37" fillId="0" borderId="0"/>
    <xf numFmtId="0" fontId="37" fillId="0" borderId="0"/>
    <xf numFmtId="0" fontId="37" fillId="0" borderId="0"/>
    <xf numFmtId="0" fontId="37" fillId="0" borderId="0"/>
    <xf numFmtId="0" fontId="2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39" fillId="0" borderId="0"/>
    <xf numFmtId="0" fontId="39" fillId="0" borderId="0"/>
    <xf numFmtId="0" fontId="39" fillId="0" borderId="0"/>
    <xf numFmtId="0" fontId="39" fillId="0" borderId="0"/>
    <xf numFmtId="0" fontId="39" fillId="0" borderId="0"/>
    <xf numFmtId="0" fontId="38" fillId="0" borderId="0"/>
    <xf numFmtId="0" fontId="25" fillId="0" borderId="0"/>
    <xf numFmtId="0" fontId="25" fillId="0" borderId="0"/>
    <xf numFmtId="0" fontId="25" fillId="0" borderId="0"/>
    <xf numFmtId="0" fontId="25" fillId="0" borderId="0"/>
    <xf numFmtId="0" fontId="3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9" fillId="0" borderId="0"/>
    <xf numFmtId="0" fontId="39" fillId="0" borderId="0"/>
    <xf numFmtId="0" fontId="39" fillId="0" borderId="0"/>
    <xf numFmtId="0" fontId="39" fillId="0" borderId="0"/>
    <xf numFmtId="0" fontId="39" fillId="0" borderId="0"/>
    <xf numFmtId="0" fontId="38" fillId="0" borderId="0"/>
    <xf numFmtId="0" fontId="39" fillId="0" borderId="0"/>
    <xf numFmtId="0" fontId="39" fillId="0" borderId="0"/>
    <xf numFmtId="0" fontId="39" fillId="0" borderId="0"/>
    <xf numFmtId="0" fontId="20"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7" fillId="0" borderId="0"/>
    <xf numFmtId="0" fontId="37" fillId="0" borderId="0"/>
    <xf numFmtId="0" fontId="38" fillId="0" borderId="0"/>
    <xf numFmtId="0" fontId="38" fillId="0" borderId="0"/>
    <xf numFmtId="0" fontId="38" fillId="0" borderId="0"/>
    <xf numFmtId="0" fontId="38"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38" fillId="0" borderId="0"/>
    <xf numFmtId="0" fontId="40" fillId="0" borderId="0" applyBorder="0" applyAlignment="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6" fillId="0" borderId="0" applyNumberFormat="0" applyFill="0" applyBorder="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165" fontId="20" fillId="0" borderId="0" applyFont="0" applyFill="0" applyBorder="0" applyAlignment="0" applyProtection="0"/>
    <xf numFmtId="3" fontId="19" fillId="0" borderId="0" applyFont="0" applyFill="0" applyBorder="0" applyAlignment="0" applyProtection="0"/>
    <xf numFmtId="9" fontId="1" fillId="0" borderId="0" applyFont="0" applyFill="0" applyBorder="0" applyAlignment="0" applyProtection="0"/>
    <xf numFmtId="0" fontId="53" fillId="0" borderId="0"/>
    <xf numFmtId="166" fontId="20" fillId="0" borderId="0" applyFont="0" applyFill="0" applyBorder="0" applyAlignment="0" applyProtection="0"/>
    <xf numFmtId="0" fontId="25" fillId="0" borderId="0"/>
    <xf numFmtId="0" fontId="20" fillId="0" borderId="0"/>
    <xf numFmtId="0" fontId="20" fillId="0" borderId="0"/>
    <xf numFmtId="9"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4" fontId="1" fillId="0" borderId="0" applyFont="0" applyFill="0" applyBorder="0" applyAlignment="0" applyProtection="0"/>
    <xf numFmtId="0" fontId="88" fillId="0" borderId="0"/>
    <xf numFmtId="44" fontId="25" fillId="0" borderId="0" applyFont="0" applyFill="0" applyBorder="0" applyAlignment="0" applyProtection="0"/>
    <xf numFmtId="0" fontId="87" fillId="0" borderId="0" applyNumberFormat="0" applyFill="0" applyBorder="0" applyAlignment="0" applyProtection="0">
      <alignment vertical="top"/>
      <protection locked="0"/>
    </xf>
    <xf numFmtId="167" fontId="20" fillId="0" borderId="0" applyFont="0" applyFill="0" applyBorder="0" applyAlignment="0" applyProtection="0"/>
    <xf numFmtId="43" fontId="1" fillId="0" borderId="0" applyFont="0" applyFill="0" applyBorder="0" applyAlignment="0" applyProtection="0"/>
    <xf numFmtId="0" fontId="90" fillId="0" borderId="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1" fillId="0" borderId="0" applyFont="0" applyFill="0" applyBorder="0" applyAlignment="0" applyProtection="0"/>
    <xf numFmtId="0" fontId="20" fillId="0" borderId="0"/>
    <xf numFmtId="44" fontId="25"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38" fillId="0" borderId="0"/>
    <xf numFmtId="0" fontId="1" fillId="0" borderId="0"/>
    <xf numFmtId="4" fontId="19" fillId="0" borderId="0">
      <alignment vertical="center" wrapText="1"/>
      <protection locked="0"/>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2" fillId="0" borderId="0"/>
    <xf numFmtId="4" fontId="110" fillId="0" borderId="0">
      <alignment vertical="center" wrapText="1"/>
      <protection locked="0"/>
    </xf>
    <xf numFmtId="0" fontId="25" fillId="34" borderId="0" applyNumberFormat="0" applyBorder="0" applyAlignment="0" applyProtection="0"/>
    <xf numFmtId="0" fontId="25" fillId="35" borderId="0" applyNumberFormat="0" applyBorder="0" applyAlignment="0" applyProtection="0"/>
    <xf numFmtId="0" fontId="25" fillId="36"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55" borderId="0" applyNumberFormat="0" applyBorder="0" applyAlignment="0" applyProtection="0"/>
    <xf numFmtId="0" fontId="25" fillId="39" borderId="0" applyNumberFormat="0" applyBorder="0" applyAlignment="0" applyProtection="0"/>
    <xf numFmtId="0" fontId="25" fillId="55"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3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25" fillId="38" borderId="0" applyNumberFormat="0" applyBorder="0" applyAlignment="0" applyProtection="0"/>
    <xf numFmtId="0" fontId="25" fillId="54" borderId="0" applyNumberFormat="0" applyBorder="0" applyAlignment="0" applyProtection="0"/>
    <xf numFmtId="0" fontId="25" fillId="35" borderId="0" applyNumberFormat="0" applyBorder="0" applyAlignment="0" applyProtection="0"/>
    <xf numFmtId="0" fontId="25" fillId="38" borderId="0" applyNumberFormat="0" applyBorder="0" applyAlignment="0" applyProtection="0"/>
    <xf numFmtId="0" fontId="25" fillId="55"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38"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35" borderId="0" applyNumberFormat="0" applyBorder="0" applyAlignment="0" applyProtection="0"/>
    <xf numFmtId="0" fontId="26" fillId="38" borderId="0" applyNumberFormat="0" applyBorder="0" applyAlignment="0" applyProtection="0"/>
    <xf numFmtId="0" fontId="26" fillId="41"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65" borderId="0" applyNumberFormat="0" applyBorder="0" applyAlignment="0" applyProtection="0"/>
    <xf numFmtId="0" fontId="25" fillId="66" borderId="0" applyNumberFormat="0" applyBorder="0" applyAlignment="0" applyProtection="0"/>
    <xf numFmtId="0" fontId="25" fillId="67" borderId="0" applyNumberFormat="0" applyBorder="0" applyAlignment="0" applyProtection="0"/>
    <xf numFmtId="0" fontId="26" fillId="68" borderId="0" applyNumberFormat="0" applyBorder="0" applyAlignment="0" applyProtection="0"/>
    <xf numFmtId="0" fontId="26" fillId="68" borderId="0" applyNumberFormat="0" applyBorder="0" applyAlignment="0" applyProtection="0"/>
    <xf numFmtId="0" fontId="25" fillId="66" borderId="0" applyNumberFormat="0" applyBorder="0" applyAlignment="0" applyProtection="0"/>
    <xf numFmtId="0" fontId="25" fillId="69" borderId="0" applyNumberFormat="0" applyBorder="0" applyAlignment="0" applyProtection="0"/>
    <xf numFmtId="0" fontId="26" fillId="67"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7" borderId="0" applyNumberFormat="0" applyBorder="0" applyAlignment="0" applyProtection="0"/>
    <xf numFmtId="0" fontId="26" fillId="67" borderId="0" applyNumberFormat="0" applyBorder="0" applyAlignment="0" applyProtection="0"/>
    <xf numFmtId="0" fontId="26" fillId="70" borderId="0" applyNumberFormat="0" applyBorder="0" applyAlignment="0" applyProtection="0"/>
    <xf numFmtId="0" fontId="25" fillId="71"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72" borderId="0" applyNumberFormat="0" applyBorder="0" applyAlignment="0" applyProtection="0"/>
    <xf numFmtId="0" fontId="25" fillId="66" borderId="0" applyNumberFormat="0" applyBorder="0" applyAlignment="0" applyProtection="0"/>
    <xf numFmtId="0" fontId="25" fillId="73" borderId="0" applyNumberFormat="0" applyBorder="0" applyAlignment="0" applyProtection="0"/>
    <xf numFmtId="0" fontId="26" fillId="73" borderId="0" applyNumberFormat="0" applyBorder="0" applyAlignment="0" applyProtection="0"/>
    <xf numFmtId="0" fontId="115" fillId="74" borderId="0" applyNumberFormat="0" applyBorder="0" applyAlignment="0" applyProtection="0"/>
    <xf numFmtId="0" fontId="27" fillId="38" borderId="0" applyNumberFormat="0" applyBorder="0" applyAlignment="0" applyProtection="0"/>
    <xf numFmtId="0" fontId="116" fillId="75" borderId="14" applyNumberFormat="0" applyAlignment="0" applyProtection="0"/>
    <xf numFmtId="0" fontId="117" fillId="76" borderId="14" applyNumberFormat="0" applyAlignment="0" applyProtection="0"/>
    <xf numFmtId="0" fontId="43" fillId="0" borderId="92" applyNumberFormat="0" applyFill="0" applyAlignment="0" applyProtection="0"/>
    <xf numFmtId="0" fontId="31" fillId="68" borderId="15" applyNumberFormat="0" applyAlignment="0" applyProtection="0"/>
    <xf numFmtId="0" fontId="49" fillId="77" borderId="0" applyNumberFormat="0" applyBorder="0" applyAlignment="0" applyProtection="0"/>
    <xf numFmtId="0" fontId="49" fillId="78" borderId="0" applyNumberFormat="0" applyBorder="0" applyAlignment="0" applyProtection="0"/>
    <xf numFmtId="0" fontId="49" fillId="79" borderId="0" applyNumberFormat="0" applyBorder="0" applyAlignment="0" applyProtection="0"/>
    <xf numFmtId="0" fontId="26" fillId="80"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81" borderId="0" applyNumberFormat="0" applyBorder="0" applyAlignment="0" applyProtection="0"/>
    <xf numFmtId="0" fontId="26" fillId="51" borderId="0" applyNumberFormat="0" applyBorder="0" applyAlignment="0" applyProtection="0"/>
    <xf numFmtId="0" fontId="34" fillId="54" borderId="14" applyNumberFormat="0" applyAlignment="0" applyProtection="0"/>
    <xf numFmtId="180" fontId="20" fillId="0" borderId="0" applyFont="0" applyFill="0" applyBorder="0" applyAlignment="0" applyProtection="0"/>
    <xf numFmtId="180" fontId="20" fillId="0" borderId="0" applyFont="0" applyFill="0" applyBorder="0" applyAlignment="0" applyProtection="0"/>
    <xf numFmtId="181" fontId="20" fillId="0" borderId="0" applyFill="0" applyBorder="0" applyAlignment="0" applyProtection="0"/>
    <xf numFmtId="0" fontId="44" fillId="0" borderId="0" applyNumberFormat="0" applyFill="0" applyBorder="0" applyAlignment="0" applyProtection="0"/>
    <xf numFmtId="0" fontId="27" fillId="69" borderId="0" applyNumberFormat="0" applyBorder="0" applyAlignment="0" applyProtection="0"/>
    <xf numFmtId="4" fontId="19" fillId="0" borderId="0" applyNumberFormat="0" applyFont="0" applyFill="0" applyBorder="0" applyAlignment="0" applyProtection="0">
      <alignment vertical="center" wrapText="1"/>
      <protection locked="0"/>
    </xf>
    <xf numFmtId="0" fontId="118" fillId="0" borderId="93" applyNumberFormat="0" applyFill="0" applyAlignment="0" applyProtection="0"/>
    <xf numFmtId="0" fontId="119" fillId="0" borderId="20" applyNumberFormat="0" applyFill="0" applyAlignment="0" applyProtection="0"/>
    <xf numFmtId="0" fontId="120" fillId="0" borderId="94" applyNumberFormat="0" applyFill="0" applyAlignment="0" applyProtection="0"/>
    <xf numFmtId="0" fontId="120" fillId="0" borderId="0" applyNumberFormat="0" applyFill="0" applyBorder="0" applyAlignment="0" applyProtection="0"/>
    <xf numFmtId="0" fontId="121" fillId="0" borderId="0" applyNumberFormat="0" applyFill="0" applyBorder="0" applyAlignment="0" applyProtection="0">
      <alignment vertical="top"/>
      <protection locked="0"/>
    </xf>
    <xf numFmtId="0" fontId="35" fillId="37" borderId="0" applyNumberFormat="0" applyBorder="0" applyAlignment="0" applyProtection="0"/>
    <xf numFmtId="0" fontId="122" fillId="0" borderId="0"/>
    <xf numFmtId="0" fontId="34" fillId="73" borderId="14" applyNumberFormat="0" applyAlignment="0" applyProtection="0"/>
    <xf numFmtId="182" fontId="123" fillId="0" borderId="0"/>
    <xf numFmtId="0" fontId="124" fillId="0" borderId="16" applyNumberFormat="0" applyFill="0" applyAlignment="0" applyProtection="0"/>
    <xf numFmtId="0" fontId="125" fillId="54" borderId="0" applyNumberFormat="0" applyBorder="0" applyAlignment="0" applyProtection="0"/>
    <xf numFmtId="0" fontId="36" fillId="82"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20" fillId="0" borderId="0"/>
    <xf numFmtId="0" fontId="20" fillId="0" borderId="0"/>
    <xf numFmtId="0" fontId="25"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applyBorder="0" applyAlignment="0">
      <alignment horizontal="left"/>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66" borderId="17" applyNumberFormat="0" applyFont="0" applyAlignment="0" applyProtection="0"/>
    <xf numFmtId="0" fontId="20" fillId="66" borderId="17" applyNumberFormat="0" applyFont="0" applyAlignment="0" applyProtection="0"/>
    <xf numFmtId="0" fontId="42" fillId="75" borderId="18" applyNumberFormat="0" applyAlignment="0" applyProtection="0"/>
    <xf numFmtId="10" fontId="24" fillId="0" borderId="95">
      <alignment horizontal="center"/>
    </xf>
    <xf numFmtId="9" fontId="20"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9" fontId="126"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0" fontId="42" fillId="76" borderId="18" applyNumberFormat="0" applyAlignment="0" applyProtection="0"/>
    <xf numFmtId="183" fontId="127" fillId="0" borderId="0" applyFont="0" applyFill="0" applyBorder="0" applyAlignment="0" applyProtection="0"/>
    <xf numFmtId="184" fontId="20" fillId="0" borderId="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28" fillId="0" borderId="0" applyNumberFormat="0" applyFill="0" applyBorder="0" applyAlignment="0" applyProtection="0"/>
    <xf numFmtId="0" fontId="46"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18" fillId="0" borderId="96" applyNumberFormat="0" applyFill="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18" fillId="0" borderId="96" applyNumberFormat="0" applyFill="0" applyAlignment="0" applyProtection="0"/>
    <xf numFmtId="0" fontId="128" fillId="0" borderId="0" applyNumberFormat="0" applyFill="0" applyBorder="0" applyAlignment="0" applyProtection="0"/>
    <xf numFmtId="0" fontId="46" fillId="0" borderId="0" applyNumberFormat="0" applyFill="0" applyBorder="0" applyAlignment="0" applyProtection="0"/>
    <xf numFmtId="0" fontId="45" fillId="0" borderId="97" applyNumberFormat="0" applyFill="0" applyAlignment="0" applyProtection="0"/>
    <xf numFmtId="0" fontId="118" fillId="0" borderId="98" applyNumberFormat="0" applyFill="0" applyAlignment="0" applyProtection="0"/>
    <xf numFmtId="0" fontId="119" fillId="0" borderId="99" applyNumberFormat="0" applyFill="0" applyAlignment="0" applyProtection="0"/>
    <xf numFmtId="0" fontId="120" fillId="0" borderId="100" applyNumberFormat="0" applyFill="0" applyAlignment="0" applyProtection="0"/>
    <xf numFmtId="0" fontId="120" fillId="0" borderId="0" applyNumberFormat="0" applyFill="0" applyBorder="0" applyAlignment="0" applyProtection="0"/>
    <xf numFmtId="0" fontId="129" fillId="0" borderId="0" applyNumberFormat="0" applyFill="0" applyBorder="0" applyAlignment="0" applyProtection="0"/>
    <xf numFmtId="0" fontId="128" fillId="0" borderId="0" applyNumberFormat="0" applyFill="0" applyBorder="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43" fillId="0" borderId="0" applyNumberFormat="0" applyFill="0" applyBorder="0" applyAlignment="0" applyProtection="0"/>
    <xf numFmtId="4" fontId="19" fillId="0" borderId="0">
      <alignment vertical="center" wrapText="1"/>
      <protection locked="0"/>
    </xf>
    <xf numFmtId="0" fontId="1" fillId="0" borderId="0"/>
    <xf numFmtId="0" fontId="20" fillId="0" borderId="0"/>
    <xf numFmtId="0" fontId="136" fillId="0" borderId="0" applyNumberFormat="0" applyFill="0" applyBorder="0" applyAlignment="0" applyProtection="0"/>
  </cellStyleXfs>
  <cellXfs count="728">
    <xf numFmtId="0" fontId="0" fillId="0" borderId="0" xfId="0"/>
    <xf numFmtId="4" fontId="0" fillId="0" borderId="0" xfId="0" applyNumberFormat="1" applyAlignment="1">
      <alignment wrapText="1"/>
    </xf>
    <xf numFmtId="49" fontId="21" fillId="0" borderId="1" xfId="42" applyNumberFormat="1" applyFont="1" applyBorder="1" applyAlignment="1" applyProtection="1">
      <alignment horizontal="center" vertical="center" wrapText="1"/>
    </xf>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57" fillId="0" borderId="28" xfId="0" applyFont="1" applyBorder="1" applyAlignment="1">
      <alignment horizontal="center"/>
    </xf>
    <xf numFmtId="0" fontId="20" fillId="0" borderId="27" xfId="0" applyFont="1" applyBorder="1"/>
    <xf numFmtId="0" fontId="61" fillId="0" borderId="28" xfId="0" applyFont="1" applyBorder="1" applyAlignment="1">
      <alignment horizontal="left"/>
    </xf>
    <xf numFmtId="0" fontId="20" fillId="0" borderId="0" xfId="0" applyFont="1"/>
    <xf numFmtId="0" fontId="59" fillId="0" borderId="27" xfId="0" applyFont="1" applyBorder="1" applyAlignment="1">
      <alignment horizontal="left" vertical="center"/>
    </xf>
    <xf numFmtId="0" fontId="61" fillId="0" borderId="28" xfId="0" applyFont="1" applyBorder="1" applyAlignment="1">
      <alignment horizontal="center" wrapText="1"/>
    </xf>
    <xf numFmtId="0" fontId="20" fillId="0" borderId="28" xfId="0" applyFont="1" applyBorder="1"/>
    <xf numFmtId="0" fontId="62" fillId="0" borderId="27" xfId="0" applyFont="1" applyBorder="1"/>
    <xf numFmtId="0" fontId="62" fillId="0" borderId="28" xfId="0" applyFont="1" applyBorder="1"/>
    <xf numFmtId="0" fontId="62" fillId="0" borderId="0" xfId="0" applyFont="1"/>
    <xf numFmtId="166" fontId="54" fillId="0" borderId="31" xfId="1665" applyFont="1" applyFill="1" applyBorder="1" applyAlignment="1" applyProtection="1">
      <alignment vertical="center"/>
    </xf>
    <xf numFmtId="166" fontId="20" fillId="0" borderId="0" xfId="1665" applyFont="1" applyBorder="1" applyProtection="1"/>
    <xf numFmtId="0" fontId="59" fillId="0" borderId="32" xfId="0" applyFont="1" applyBorder="1" applyAlignment="1">
      <alignment horizontal="left" vertical="top"/>
    </xf>
    <xf numFmtId="0" fontId="20" fillId="0" borderId="29" xfId="0" applyFont="1" applyBorder="1"/>
    <xf numFmtId="0" fontId="20" fillId="0" borderId="30" xfId="0" applyFont="1" applyBorder="1"/>
    <xf numFmtId="0" fontId="20" fillId="0" borderId="31" xfId="0" applyFont="1" applyBorder="1"/>
    <xf numFmtId="170" fontId="0" fillId="0" borderId="0" xfId="0" applyNumberFormat="1"/>
    <xf numFmtId="4" fontId="0" fillId="0" borderId="0" xfId="0" applyNumberFormat="1" applyAlignment="1">
      <alignment vertical="top" wrapText="1"/>
    </xf>
    <xf numFmtId="170" fontId="67" fillId="0" borderId="0" xfId="0" applyNumberFormat="1" applyFont="1"/>
    <xf numFmtId="4" fontId="0" fillId="0" borderId="0" xfId="0" applyNumberFormat="1"/>
    <xf numFmtId="0" fontId="1" fillId="0" borderId="0" xfId="799" applyAlignment="1">
      <alignment vertical="center"/>
    </xf>
    <xf numFmtId="0" fontId="1" fillId="0" borderId="0" xfId="799"/>
    <xf numFmtId="0" fontId="74" fillId="0" borderId="0" xfId="0" applyFont="1" applyAlignment="1">
      <alignment vertical="top"/>
    </xf>
    <xf numFmtId="0" fontId="1" fillId="0" borderId="0" xfId="799" applyAlignment="1">
      <alignment horizontal="center" vertical="center"/>
    </xf>
    <xf numFmtId="0" fontId="75" fillId="0" borderId="0" xfId="799" applyFont="1" applyAlignment="1">
      <alignment horizontal="center" vertical="center"/>
    </xf>
    <xf numFmtId="0" fontId="1" fillId="0" borderId="0" xfId="799" applyAlignment="1">
      <alignment horizontal="left" vertical="center"/>
    </xf>
    <xf numFmtId="0" fontId="1" fillId="0" borderId="0" xfId="799" applyAlignment="1">
      <alignment vertical="center" wrapText="1"/>
    </xf>
    <xf numFmtId="0" fontId="1" fillId="0" borderId="0" xfId="799" applyAlignment="1">
      <alignment horizontal="right" vertical="center"/>
    </xf>
    <xf numFmtId="14" fontId="1" fillId="0" borderId="0" xfId="799" applyNumberFormat="1" applyAlignment="1">
      <alignment horizontal="left" vertical="center"/>
    </xf>
    <xf numFmtId="0" fontId="24" fillId="0" borderId="0" xfId="799" applyFont="1" applyAlignment="1">
      <alignment vertical="center"/>
    </xf>
    <xf numFmtId="14" fontId="1" fillId="0" borderId="0" xfId="799" applyNumberFormat="1" applyAlignment="1">
      <alignment vertical="center"/>
    </xf>
    <xf numFmtId="0" fontId="24" fillId="0" borderId="0" xfId="799" applyFont="1" applyAlignment="1">
      <alignment vertical="center" wrapText="1"/>
    </xf>
    <xf numFmtId="0" fontId="76" fillId="0" borderId="0" xfId="799" applyFont="1" applyAlignment="1">
      <alignment vertical="center"/>
    </xf>
    <xf numFmtId="4" fontId="1" fillId="0" borderId="0" xfId="799" applyNumberFormat="1" applyAlignment="1">
      <alignment vertical="center"/>
    </xf>
    <xf numFmtId="0" fontId="20" fillId="0" borderId="0" xfId="799" applyFont="1" applyAlignment="1">
      <alignment horizontal="center" vertical="center"/>
    </xf>
    <xf numFmtId="4" fontId="20" fillId="0" borderId="0" xfId="799" applyNumberFormat="1" applyFont="1" applyAlignment="1">
      <alignment vertical="center"/>
    </xf>
    <xf numFmtId="4" fontId="24" fillId="0" borderId="0" xfId="799" applyNumberFormat="1" applyFont="1" applyAlignment="1">
      <alignment vertical="center"/>
    </xf>
    <xf numFmtId="0" fontId="1" fillId="56" borderId="0" xfId="799" applyFill="1" applyAlignment="1">
      <alignment vertical="center"/>
    </xf>
    <xf numFmtId="0" fontId="24" fillId="0" borderId="0" xfId="799" applyFont="1" applyAlignment="1">
      <alignment horizontal="center" vertical="top"/>
    </xf>
    <xf numFmtId="0" fontId="1" fillId="56" borderId="0" xfId="799" applyFill="1" applyAlignment="1">
      <alignment horizontal="center" vertical="center"/>
    </xf>
    <xf numFmtId="0" fontId="1" fillId="56" borderId="0" xfId="799" applyFill="1" applyAlignment="1">
      <alignment vertical="center" wrapText="1"/>
    </xf>
    <xf numFmtId="0" fontId="60" fillId="0" borderId="0" xfId="0" applyFont="1"/>
    <xf numFmtId="0" fontId="78" fillId="0" borderId="0" xfId="0" applyFont="1"/>
    <xf numFmtId="0" fontId="59" fillId="0" borderId="0" xfId="0" applyFont="1" applyAlignment="1">
      <alignment vertical="top" wrapText="1"/>
    </xf>
    <xf numFmtId="0" fontId="79" fillId="0" borderId="0" xfId="0" applyFont="1" applyAlignment="1">
      <alignment vertical="top"/>
    </xf>
    <xf numFmtId="0" fontId="60" fillId="0" borderId="0" xfId="0" applyFont="1" applyAlignment="1">
      <alignment vertical="top"/>
    </xf>
    <xf numFmtId="0" fontId="37" fillId="0" borderId="0" xfId="902" applyFont="1"/>
    <xf numFmtId="2" fontId="24" fillId="0" borderId="0" xfId="0" applyNumberFormat="1" applyFont="1" applyAlignment="1">
      <alignment horizontal="right" vertical="top"/>
    </xf>
    <xf numFmtId="0" fontId="22" fillId="0" borderId="0" xfId="0" applyFont="1"/>
    <xf numFmtId="0" fontId="20" fillId="0" borderId="0" xfId="0" applyFont="1" applyAlignment="1">
      <alignment horizontal="center" vertical="top"/>
    </xf>
    <xf numFmtId="166" fontId="65" fillId="0" borderId="28" xfId="1665" applyFont="1" applyFill="1" applyBorder="1" applyAlignment="1" applyProtection="1">
      <alignment vertical="center"/>
    </xf>
    <xf numFmtId="165" fontId="20" fillId="0" borderId="0" xfId="0" applyNumberFormat="1" applyFont="1"/>
    <xf numFmtId="4" fontId="81" fillId="0" borderId="0" xfId="42" applyFont="1">
      <alignment vertical="center" wrapText="1"/>
      <protection locked="0"/>
    </xf>
    <xf numFmtId="0" fontId="82" fillId="0" borderId="0" xfId="0" applyFont="1" applyAlignment="1">
      <alignment vertical="top" wrapText="1"/>
    </xf>
    <xf numFmtId="0" fontId="37" fillId="0" borderId="0" xfId="0" applyFont="1"/>
    <xf numFmtId="0" fontId="83" fillId="0" borderId="0" xfId="0" applyFont="1" applyAlignment="1">
      <alignment vertical="top"/>
    </xf>
    <xf numFmtId="0" fontId="83" fillId="0" borderId="0" xfId="0" applyFont="1"/>
    <xf numFmtId="166" fontId="0" fillId="0" borderId="0" xfId="0" applyNumberFormat="1"/>
    <xf numFmtId="0" fontId="22" fillId="0" borderId="0" xfId="43" applyFont="1" applyAlignment="1">
      <alignment vertical="top"/>
    </xf>
    <xf numFmtId="0" fontId="22" fillId="0" borderId="0" xfId="43" applyFont="1"/>
    <xf numFmtId="2" fontId="22" fillId="0" borderId="0" xfId="43" applyNumberFormat="1" applyFont="1" applyAlignment="1">
      <alignment horizontal="center" vertical="top"/>
    </xf>
    <xf numFmtId="0" fontId="20" fillId="0" borderId="0" xfId="43" applyAlignment="1">
      <alignment horizontal="left" vertical="top" wrapText="1"/>
    </xf>
    <xf numFmtId="172" fontId="22" fillId="0" borderId="0" xfId="43" applyNumberFormat="1" applyFont="1" applyAlignment="1">
      <alignment vertical="top"/>
    </xf>
    <xf numFmtId="0" fontId="22" fillId="0" borderId="0" xfId="893" applyFont="1"/>
    <xf numFmtId="0" fontId="22" fillId="0" borderId="0" xfId="1057" applyFont="1" applyAlignment="1">
      <alignment vertical="top"/>
    </xf>
    <xf numFmtId="4" fontId="22" fillId="0" borderId="0" xfId="1057" applyNumberFormat="1" applyFont="1" applyAlignment="1">
      <alignment vertical="top"/>
    </xf>
    <xf numFmtId="10" fontId="22" fillId="0" borderId="0" xfId="1188" applyNumberFormat="1" applyFont="1" applyFill="1" applyAlignment="1">
      <alignment vertical="top"/>
    </xf>
    <xf numFmtId="173" fontId="20" fillId="0" borderId="0" xfId="1057" applyNumberFormat="1" applyAlignment="1">
      <alignment horizontal="center" vertical="center" wrapText="1"/>
    </xf>
    <xf numFmtId="0" fontId="20" fillId="57" borderId="0" xfId="0" applyFont="1" applyFill="1"/>
    <xf numFmtId="4" fontId="86" fillId="57" borderId="0" xfId="0" applyNumberFormat="1" applyFont="1" applyFill="1" applyAlignment="1">
      <alignment horizontal="center" vertical="center" wrapText="1"/>
    </xf>
    <xf numFmtId="0" fontId="84" fillId="57" borderId="0" xfId="0" applyFont="1" applyFill="1" applyAlignment="1">
      <alignment vertical="center"/>
    </xf>
    <xf numFmtId="175" fontId="22" fillId="0" borderId="0" xfId="1057" applyNumberFormat="1" applyFont="1" applyAlignment="1">
      <alignment vertical="top"/>
    </xf>
    <xf numFmtId="0" fontId="59" fillId="0" borderId="24" xfId="0" applyFont="1" applyBorder="1" applyAlignment="1">
      <alignment horizontal="left" vertical="center"/>
    </xf>
    <xf numFmtId="0" fontId="59" fillId="0" borderId="27" xfId="0" applyFont="1" applyBorder="1" applyAlignment="1">
      <alignment horizontal="left" vertical="center" wrapText="1"/>
    </xf>
    <xf numFmtId="0" fontId="59" fillId="0" borderId="29" xfId="0" applyFont="1" applyBorder="1" applyAlignment="1">
      <alignment horizontal="left" vertical="center"/>
    </xf>
    <xf numFmtId="0" fontId="20" fillId="0" borderId="0" xfId="0" applyFont="1" applyAlignment="1">
      <alignment vertical="center"/>
    </xf>
    <xf numFmtId="49" fontId="21" fillId="33" borderId="13" xfId="42" applyNumberFormat="1" applyFont="1" applyFill="1" applyBorder="1" applyAlignment="1" applyProtection="1">
      <alignment horizontal="center" vertical="center" wrapText="1"/>
    </xf>
    <xf numFmtId="0" fontId="21" fillId="33" borderId="13" xfId="42" applyNumberFormat="1" applyFont="1" applyFill="1" applyBorder="1" applyAlignment="1" applyProtection="1">
      <alignment horizontal="center" vertical="center" wrapText="1"/>
    </xf>
    <xf numFmtId="4" fontId="22" fillId="0" borderId="0" xfId="42" applyFont="1">
      <alignment vertical="center" wrapText="1"/>
      <protection locked="0"/>
    </xf>
    <xf numFmtId="4" fontId="22" fillId="0" borderId="0" xfId="43" applyNumberFormat="1" applyFont="1" applyAlignment="1" applyProtection="1">
      <alignment vertical="center" wrapText="1"/>
      <protection locked="0"/>
    </xf>
    <xf numFmtId="4" fontId="81" fillId="0" borderId="0" xfId="42" applyFont="1" applyAlignment="1">
      <alignment horizontal="center" vertical="center" wrapText="1"/>
      <protection locked="0"/>
    </xf>
    <xf numFmtId="4" fontId="22" fillId="0" borderId="0" xfId="42" applyFont="1" applyAlignment="1">
      <alignment horizontal="center" vertical="center" wrapText="1"/>
      <protection locked="0"/>
    </xf>
    <xf numFmtId="4" fontId="22" fillId="0" borderId="0" xfId="43" applyNumberFormat="1" applyFont="1" applyAlignment="1" applyProtection="1">
      <alignment horizontal="center" vertical="center" wrapText="1"/>
      <protection locked="0"/>
    </xf>
    <xf numFmtId="0" fontId="82" fillId="0" borderId="0" xfId="0" applyFont="1" applyAlignment="1">
      <alignment horizontal="center" vertical="center" wrapText="1"/>
    </xf>
    <xf numFmtId="0" fontId="74" fillId="0" borderId="0" xfId="0" applyFont="1" applyAlignment="1">
      <alignment horizontal="center" vertical="center"/>
    </xf>
    <xf numFmtId="0" fontId="60" fillId="0" borderId="0" xfId="0" applyFont="1" applyAlignment="1">
      <alignment horizontal="center" vertical="center"/>
    </xf>
    <xf numFmtId="2" fontId="59" fillId="0" borderId="0" xfId="0" applyNumberFormat="1" applyFont="1" applyAlignment="1">
      <alignment horizontal="center" vertical="center"/>
    </xf>
    <xf numFmtId="0" fontId="78" fillId="0" borderId="0" xfId="0" applyFont="1" applyAlignment="1">
      <alignment horizontal="center" vertical="center"/>
    </xf>
    <xf numFmtId="0" fontId="77" fillId="0" borderId="0" xfId="0" applyFont="1" applyAlignment="1">
      <alignment vertical="center"/>
    </xf>
    <xf numFmtId="44" fontId="20" fillId="0" borderId="0" xfId="0" applyNumberFormat="1" applyFont="1"/>
    <xf numFmtId="166" fontId="20" fillId="0" borderId="0" xfId="0" applyNumberFormat="1" applyFont="1"/>
    <xf numFmtId="44" fontId="0" fillId="0" borderId="0" xfId="1956" applyFont="1" applyProtection="1"/>
    <xf numFmtId="44" fontId="0" fillId="0" borderId="0" xfId="0" applyNumberFormat="1"/>
    <xf numFmtId="0" fontId="90" fillId="0" borderId="0" xfId="1962"/>
    <xf numFmtId="0" fontId="90" fillId="0" borderId="0" xfId="1962" applyAlignment="1">
      <alignment wrapText="1"/>
    </xf>
    <xf numFmtId="0" fontId="20" fillId="0" borderId="3" xfId="43" applyBorder="1" applyAlignment="1">
      <alignment horizontal="left" vertical="top" wrapText="1"/>
    </xf>
    <xf numFmtId="0" fontId="24" fillId="0" borderId="0" xfId="799" applyFont="1" applyAlignment="1">
      <alignment horizontal="center" vertical="center"/>
    </xf>
    <xf numFmtId="0" fontId="24" fillId="0" borderId="0" xfId="799" applyFont="1" applyAlignment="1">
      <alignment horizontal="center" vertical="center" wrapText="1"/>
    </xf>
    <xf numFmtId="0" fontId="92" fillId="57" borderId="0" xfId="0" applyFont="1" applyFill="1"/>
    <xf numFmtId="0" fontId="92" fillId="0" borderId="0" xfId="0" applyFont="1"/>
    <xf numFmtId="0" fontId="93" fillId="57" borderId="0" xfId="0" applyFont="1" applyFill="1" applyAlignment="1">
      <alignment vertical="center"/>
    </xf>
    <xf numFmtId="0" fontId="96" fillId="57" borderId="0" xfId="0" applyFont="1" applyFill="1" applyAlignment="1" applyProtection="1">
      <alignment horizontal="center" vertical="center"/>
      <protection locked="0"/>
    </xf>
    <xf numFmtId="0" fontId="97" fillId="58" borderId="66" xfId="0" applyFont="1" applyFill="1" applyBorder="1" applyAlignment="1">
      <alignment horizontal="center" vertical="center"/>
    </xf>
    <xf numFmtId="0" fontId="97" fillId="58" borderId="67" xfId="0" applyFont="1" applyFill="1" applyBorder="1" applyAlignment="1">
      <alignment horizontal="center" vertical="center"/>
    </xf>
    <xf numFmtId="10" fontId="18" fillId="0" borderId="69" xfId="1663" applyNumberFormat="1" applyFont="1" applyFill="1" applyBorder="1" applyAlignment="1">
      <alignment horizontal="center" vertical="center"/>
    </xf>
    <xf numFmtId="10" fontId="97" fillId="0" borderId="75" xfId="0" applyNumberFormat="1" applyFont="1" applyBorder="1" applyAlignment="1">
      <alignment horizontal="center" vertical="center"/>
    </xf>
    <xf numFmtId="10" fontId="18" fillId="0" borderId="76" xfId="1663" applyNumberFormat="1" applyFont="1" applyFill="1" applyBorder="1" applyAlignment="1">
      <alignment horizontal="center" vertical="center"/>
    </xf>
    <xf numFmtId="10" fontId="18" fillId="0" borderId="77" xfId="1663" applyNumberFormat="1" applyFont="1" applyFill="1" applyBorder="1" applyAlignment="1">
      <alignment horizontal="center" vertical="center"/>
    </xf>
    <xf numFmtId="0" fontId="18" fillId="0" borderId="65" xfId="0" applyFont="1" applyBorder="1" applyAlignment="1">
      <alignment horizontal="center" vertical="center"/>
    </xf>
    <xf numFmtId="10" fontId="97" fillId="58" borderId="81" xfId="1663" applyNumberFormat="1" applyFont="1" applyFill="1" applyBorder="1" applyAlignment="1">
      <alignment horizontal="center" vertical="center"/>
    </xf>
    <xf numFmtId="0" fontId="92" fillId="57" borderId="0" xfId="0" applyFont="1" applyFill="1" applyAlignment="1">
      <alignment vertical="center"/>
    </xf>
    <xf numFmtId="0" fontId="99" fillId="57" borderId="0" xfId="0" applyFont="1" applyFill="1" applyAlignment="1">
      <alignment horizontal="center"/>
    </xf>
    <xf numFmtId="0" fontId="100" fillId="57" borderId="0" xfId="0" applyFont="1" applyFill="1" applyAlignment="1">
      <alignment horizontal="center" vertical="top"/>
    </xf>
    <xf numFmtId="0" fontId="100" fillId="57" borderId="0" xfId="0" applyFont="1" applyFill="1" applyAlignment="1">
      <alignment horizontal="center" vertical="center"/>
    </xf>
    <xf numFmtId="0" fontId="92" fillId="57" borderId="0" xfId="0" applyFont="1" applyFill="1" applyAlignment="1">
      <alignment horizontal="left"/>
    </xf>
    <xf numFmtId="0" fontId="92" fillId="0" borderId="0" xfId="0" applyFont="1" applyAlignment="1">
      <alignment horizontal="left"/>
    </xf>
    <xf numFmtId="0" fontId="100" fillId="0" borderId="0" xfId="0" applyFont="1"/>
    <xf numFmtId="0" fontId="101" fillId="0" borderId="0" xfId="0" applyFont="1" applyAlignment="1">
      <alignment horizontal="center" vertical="center"/>
    </xf>
    <xf numFmtId="0" fontId="37" fillId="59" borderId="0" xfId="0" applyFont="1" applyFill="1"/>
    <xf numFmtId="49" fontId="22" fillId="0" borderId="47" xfId="42" applyNumberFormat="1" applyFont="1" applyBorder="1" applyAlignment="1">
      <alignment horizontal="center" vertical="center" wrapText="1"/>
      <protection locked="0"/>
    </xf>
    <xf numFmtId="0" fontId="20" fillId="0" borderId="0" xfId="0" applyFont="1" applyAlignment="1">
      <alignment vertical="top"/>
    </xf>
    <xf numFmtId="4" fontId="65" fillId="0" borderId="0" xfId="0" applyNumberFormat="1" applyFont="1" applyAlignment="1">
      <alignment vertical="top" wrapText="1"/>
    </xf>
    <xf numFmtId="49" fontId="22" fillId="0" borderId="48" xfId="42" applyNumberFormat="1" applyFont="1" applyBorder="1" applyAlignment="1">
      <alignment horizontal="center" vertical="center" wrapText="1"/>
      <protection locked="0"/>
    </xf>
    <xf numFmtId="178" fontId="22" fillId="0" borderId="0" xfId="1057" applyNumberFormat="1" applyFont="1" applyAlignment="1">
      <alignment vertical="top"/>
    </xf>
    <xf numFmtId="0" fontId="59" fillId="0" borderId="27" xfId="0" applyFont="1" applyBorder="1" applyAlignment="1">
      <alignment vertical="center"/>
    </xf>
    <xf numFmtId="0" fontId="60" fillId="0" borderId="28" xfId="0" applyFont="1" applyBorder="1" applyAlignment="1">
      <alignment horizontal="justify" vertical="center" wrapText="1"/>
    </xf>
    <xf numFmtId="49" fontId="17" fillId="33" borderId="3" xfId="0" applyNumberFormat="1" applyFont="1" applyFill="1" applyBorder="1" applyAlignment="1">
      <alignment horizontal="center" vertical="center" wrapText="1"/>
    </xf>
    <xf numFmtId="4" fontId="85" fillId="33" borderId="0" xfId="43" applyNumberFormat="1" applyFont="1" applyFill="1" applyAlignment="1">
      <alignment horizontal="center" vertical="center" wrapText="1"/>
    </xf>
    <xf numFmtId="4" fontId="21" fillId="33" borderId="0" xfId="43" applyNumberFormat="1" applyFont="1" applyFill="1" applyAlignment="1">
      <alignment horizontal="center" vertical="center" wrapText="1"/>
    </xf>
    <xf numFmtId="0" fontId="21" fillId="33" borderId="0" xfId="43" applyFont="1" applyFill="1" applyAlignment="1">
      <alignment horizontal="center" vertical="center" wrapText="1"/>
    </xf>
    <xf numFmtId="0" fontId="21" fillId="33" borderId="0" xfId="43" applyFont="1" applyFill="1" applyAlignment="1">
      <alignment horizontal="left" vertical="center" wrapText="1"/>
    </xf>
    <xf numFmtId="44" fontId="90" fillId="0" borderId="0" xfId="1956" applyFont="1" applyAlignment="1">
      <alignment wrapText="1"/>
    </xf>
    <xf numFmtId="0" fontId="20" fillId="0" borderId="0" xfId="1962" applyFont="1" applyAlignment="1">
      <alignment wrapText="1"/>
    </xf>
    <xf numFmtId="14" fontId="60" fillId="0" borderId="28" xfId="0" applyNumberFormat="1" applyFont="1" applyBorder="1" applyAlignment="1">
      <alignment vertical="center"/>
    </xf>
    <xf numFmtId="0" fontId="1" fillId="0" borderId="0" xfId="2270"/>
    <xf numFmtId="0" fontId="92" fillId="0" borderId="83" xfId="2272" applyFont="1" applyBorder="1"/>
    <xf numFmtId="0" fontId="105" fillId="61" borderId="84" xfId="2272" applyFont="1" applyFill="1" applyBorder="1"/>
    <xf numFmtId="0" fontId="92" fillId="0" borderId="65" xfId="2272" applyFont="1" applyBorder="1"/>
    <xf numFmtId="0" fontId="92" fillId="0" borderId="13" xfId="2272" applyFont="1" applyBorder="1"/>
    <xf numFmtId="0" fontId="106" fillId="0" borderId="85" xfId="2272" applyFont="1" applyBorder="1" applyAlignment="1">
      <alignment vertical="center"/>
    </xf>
    <xf numFmtId="49" fontId="109" fillId="0" borderId="65" xfId="2272" applyNumberFormat="1" applyFont="1" applyBorder="1" applyAlignment="1">
      <alignment horizontal="right"/>
    </xf>
    <xf numFmtId="0" fontId="92" fillId="0" borderId="85" xfId="2272" applyFont="1" applyBorder="1"/>
    <xf numFmtId="179" fontId="92" fillId="0" borderId="13" xfId="2272" applyNumberFormat="1" applyFont="1" applyBorder="1"/>
    <xf numFmtId="0" fontId="92" fillId="0" borderId="0" xfId="2272" applyFont="1"/>
    <xf numFmtId="0" fontId="111" fillId="0" borderId="88" xfId="2272" applyFont="1" applyBorder="1" applyAlignment="1">
      <alignment horizontal="center" vertical="center"/>
    </xf>
    <xf numFmtId="0" fontId="92" fillId="0" borderId="89" xfId="2272" applyFont="1" applyBorder="1" applyAlignment="1">
      <alignment vertical="center" wrapText="1"/>
    </xf>
    <xf numFmtId="0" fontId="92" fillId="0" borderId="88" xfId="2272" applyFont="1" applyBorder="1" applyAlignment="1">
      <alignment vertical="center"/>
    </xf>
    <xf numFmtId="0" fontId="92" fillId="0" borderId="89" xfId="2272" applyFont="1" applyBorder="1" applyAlignment="1">
      <alignment vertical="center"/>
    </xf>
    <xf numFmtId="0" fontId="92" fillId="0" borderId="88" xfId="2272" applyFont="1" applyBorder="1" applyAlignment="1">
      <alignment horizontal="center" vertical="center"/>
    </xf>
    <xf numFmtId="0" fontId="112" fillId="0" borderId="88" xfId="2272" applyFont="1" applyBorder="1" applyAlignment="1">
      <alignment horizontal="center" vertical="center"/>
    </xf>
    <xf numFmtId="9" fontId="1" fillId="0" borderId="0" xfId="1663"/>
    <xf numFmtId="0" fontId="105" fillId="0" borderId="88" xfId="2272" applyFont="1" applyBorder="1" applyAlignment="1">
      <alignment horizontal="center" vertical="center"/>
    </xf>
    <xf numFmtId="176" fontId="1" fillId="0" borderId="0" xfId="2270" applyNumberFormat="1"/>
    <xf numFmtId="0" fontId="17" fillId="0" borderId="0" xfId="2270" applyFont="1" applyAlignment="1">
      <alignment horizontal="center" vertical="center"/>
    </xf>
    <xf numFmtId="0" fontId="92" fillId="0" borderId="101" xfId="2272" applyFont="1" applyBorder="1"/>
    <xf numFmtId="0" fontId="104" fillId="61" borderId="102" xfId="2272" applyFont="1" applyFill="1" applyBorder="1" applyAlignment="1">
      <alignment vertical="center"/>
    </xf>
    <xf numFmtId="0" fontId="106" fillId="0" borderId="103" xfId="2272" applyFont="1" applyBorder="1" applyAlignment="1">
      <alignment vertical="center"/>
    </xf>
    <xf numFmtId="0" fontId="105" fillId="61" borderId="102" xfId="2272" applyFont="1" applyFill="1" applyBorder="1" applyAlignment="1">
      <alignment vertical="center"/>
    </xf>
    <xf numFmtId="0" fontId="106" fillId="0" borderId="83" xfId="2272" applyFont="1" applyBorder="1" applyAlignment="1">
      <alignment vertical="center"/>
    </xf>
    <xf numFmtId="0" fontId="105" fillId="61" borderId="105" xfId="2272" applyFont="1" applyFill="1" applyBorder="1" applyAlignment="1">
      <alignment vertical="center"/>
    </xf>
    <xf numFmtId="0" fontId="107" fillId="0" borderId="106" xfId="2272" applyFont="1" applyBorder="1" applyAlignment="1">
      <alignment vertical="center"/>
    </xf>
    <xf numFmtId="0" fontId="105" fillId="61" borderId="83" xfId="2272" applyFont="1" applyFill="1" applyBorder="1"/>
    <xf numFmtId="0" fontId="105" fillId="61" borderId="103" xfId="2272" applyFont="1" applyFill="1" applyBorder="1"/>
    <xf numFmtId="0" fontId="106" fillId="0" borderId="104" xfId="2272" applyFont="1" applyBorder="1" applyAlignment="1">
      <alignment vertical="center"/>
    </xf>
    <xf numFmtId="0" fontId="85" fillId="33" borderId="107" xfId="1057" applyFont="1" applyFill="1" applyBorder="1" applyAlignment="1">
      <alignment horizontal="center" vertical="center" wrapText="1"/>
    </xf>
    <xf numFmtId="0" fontId="85" fillId="33" borderId="108" xfId="1057" applyFont="1" applyFill="1" applyBorder="1" applyAlignment="1">
      <alignment horizontal="center" vertical="center" wrapText="1"/>
    </xf>
    <xf numFmtId="4" fontId="85" fillId="33" borderId="109" xfId="1057" applyNumberFormat="1" applyFont="1" applyFill="1" applyBorder="1" applyAlignment="1">
      <alignment horizontal="center" vertical="center" wrapText="1"/>
    </xf>
    <xf numFmtId="0" fontId="37" fillId="0" borderId="52" xfId="0" applyFont="1" applyBorder="1" applyAlignment="1">
      <alignment vertical="center" wrapText="1"/>
    </xf>
    <xf numFmtId="0" fontId="37" fillId="0" borderId="52" xfId="0" applyFont="1" applyBorder="1" applyAlignment="1">
      <alignment horizontal="center" vertical="center" wrapText="1"/>
    </xf>
    <xf numFmtId="0" fontId="80" fillId="58" borderId="44" xfId="0" applyFont="1" applyFill="1" applyBorder="1" applyAlignment="1">
      <alignment horizontal="left" vertical="center" wrapText="1"/>
    </xf>
    <xf numFmtId="0" fontId="80" fillId="58" borderId="44" xfId="0" applyFont="1" applyFill="1" applyBorder="1" applyAlignment="1">
      <alignment horizontal="center" vertical="center" wrapText="1"/>
    </xf>
    <xf numFmtId="171" fontId="80" fillId="58" borderId="44" xfId="0" applyNumberFormat="1" applyFont="1" applyFill="1" applyBorder="1" applyAlignment="1">
      <alignment horizontal="center" vertical="center" wrapText="1"/>
    </xf>
    <xf numFmtId="4" fontId="80" fillId="58" borderId="44" xfId="0" applyNumberFormat="1" applyFont="1" applyFill="1" applyBorder="1" applyAlignment="1">
      <alignment horizontal="center" vertical="center" wrapText="1"/>
    </xf>
    <xf numFmtId="4" fontId="80" fillId="58" borderId="45" xfId="0" applyNumberFormat="1" applyFont="1" applyFill="1" applyBorder="1" applyAlignment="1">
      <alignment horizontal="center" vertical="center" wrapText="1"/>
    </xf>
    <xf numFmtId="0" fontId="37" fillId="58" borderId="0" xfId="0" applyFont="1" applyFill="1"/>
    <xf numFmtId="0" fontId="83" fillId="58" borderId="0" xfId="0" applyFont="1" applyFill="1"/>
    <xf numFmtId="0" fontId="37" fillId="0" borderId="41" xfId="0" applyFont="1" applyBorder="1" applyAlignment="1">
      <alignment vertical="center"/>
    </xf>
    <xf numFmtId="0" fontId="92" fillId="0" borderId="119" xfId="2272" applyFont="1" applyBorder="1"/>
    <xf numFmtId="0" fontId="108" fillId="0" borderId="120" xfId="2272" applyFont="1" applyBorder="1" applyAlignment="1">
      <alignment vertical="center"/>
    </xf>
    <xf numFmtId="0" fontId="108" fillId="0" borderId="68" xfId="2272" applyFont="1" applyBorder="1" applyAlignment="1">
      <alignment vertical="center"/>
    </xf>
    <xf numFmtId="0" fontId="94" fillId="60" borderId="24" xfId="2272" applyFont="1" applyFill="1" applyBorder="1" applyAlignment="1">
      <alignment horizontal="center" vertical="center"/>
    </xf>
    <xf numFmtId="0" fontId="94" fillId="60" borderId="68" xfId="2272" applyFont="1" applyFill="1" applyBorder="1" applyAlignment="1">
      <alignment horizontal="center" vertical="center"/>
    </xf>
    <xf numFmtId="0" fontId="108" fillId="0" borderId="76" xfId="2272" applyFont="1" applyBorder="1" applyAlignment="1">
      <alignment vertical="center"/>
    </xf>
    <xf numFmtId="4" fontId="19" fillId="0" borderId="0" xfId="2953">
      <alignment vertical="center" wrapText="1"/>
      <protection locked="0"/>
    </xf>
    <xf numFmtId="4" fontId="130" fillId="0" borderId="0" xfId="2273" applyFont="1">
      <alignment vertical="center" wrapText="1"/>
      <protection locked="0"/>
    </xf>
    <xf numFmtId="0" fontId="105" fillId="0" borderId="89" xfId="2272" applyFont="1" applyBorder="1" applyAlignment="1">
      <alignment vertical="center"/>
    </xf>
    <xf numFmtId="4" fontId="19" fillId="0" borderId="0" xfId="2273">
      <alignment vertical="center" wrapText="1"/>
      <protection locked="0"/>
    </xf>
    <xf numFmtId="49" fontId="109" fillId="0" borderId="121" xfId="2272" applyNumberFormat="1" applyFont="1" applyBorder="1" applyAlignment="1">
      <alignment horizontal="right"/>
    </xf>
    <xf numFmtId="179" fontId="92" fillId="0" borderId="95" xfId="2272" applyNumberFormat="1" applyFont="1" applyBorder="1"/>
    <xf numFmtId="0" fontId="92" fillId="0" borderId="95" xfId="2272" applyFont="1" applyBorder="1"/>
    <xf numFmtId="0" fontId="92" fillId="0" borderId="81" xfId="2272" applyFont="1" applyBorder="1"/>
    <xf numFmtId="0" fontId="37" fillId="0" borderId="0" xfId="0" applyFont="1" applyAlignment="1">
      <alignment horizontal="center" vertical="center"/>
    </xf>
    <xf numFmtId="0" fontId="0" fillId="0" borderId="0" xfId="0" applyAlignment="1">
      <alignment vertical="center"/>
    </xf>
    <xf numFmtId="0" fontId="90" fillId="0" borderId="0" xfId="1962" applyAlignment="1">
      <alignment vertical="center" wrapText="1"/>
    </xf>
    <xf numFmtId="0" fontId="20" fillId="0" borderId="0" xfId="1962" applyFont="1" applyAlignment="1">
      <alignment vertical="center" wrapText="1"/>
    </xf>
    <xf numFmtId="0" fontId="90" fillId="0" borderId="0" xfId="1962" applyAlignment="1">
      <alignment horizontal="right" vertical="center" wrapText="1"/>
    </xf>
    <xf numFmtId="0" fontId="90" fillId="0" borderId="0" xfId="1962" applyAlignment="1">
      <alignment vertical="center"/>
    </xf>
    <xf numFmtId="0" fontId="131" fillId="0" borderId="0" xfId="0" applyFont="1" applyAlignment="1">
      <alignment horizontal="left"/>
    </xf>
    <xf numFmtId="0" fontId="80" fillId="0" borderId="40" xfId="0" applyFont="1" applyBorder="1" applyAlignment="1">
      <alignment horizontal="center" vertical="center" wrapText="1"/>
    </xf>
    <xf numFmtId="0" fontId="37" fillId="0" borderId="40" xfId="0" applyFont="1" applyBorder="1" applyAlignment="1">
      <alignment horizontal="center" vertical="center" wrapText="1"/>
    </xf>
    <xf numFmtId="0" fontId="37" fillId="0" borderId="56" xfId="0" applyFont="1" applyBorder="1" applyAlignment="1">
      <alignment horizontal="center" vertical="center" wrapText="1"/>
    </xf>
    <xf numFmtId="49" fontId="60" fillId="0" borderId="0" xfId="0" applyNumberFormat="1" applyFont="1" applyAlignment="1">
      <alignment vertical="center"/>
    </xf>
    <xf numFmtId="0" fontId="60" fillId="0" borderId="0" xfId="0" applyFont="1" applyAlignment="1">
      <alignment vertical="center"/>
    </xf>
    <xf numFmtId="49" fontId="60" fillId="0" borderId="0" xfId="0" applyNumberFormat="1" applyFont="1" applyAlignment="1">
      <alignment horizontal="center" vertical="center" wrapText="1"/>
    </xf>
    <xf numFmtId="0" fontId="60" fillId="0" borderId="0" xfId="0" applyFont="1" applyAlignment="1">
      <alignment horizontal="center" vertical="center" wrapText="1"/>
    </xf>
    <xf numFmtId="0" fontId="37" fillId="0" borderId="0" xfId="0" applyFont="1" applyAlignment="1">
      <alignment vertical="center"/>
    </xf>
    <xf numFmtId="4" fontId="86" fillId="57" borderId="0" xfId="0" applyNumberFormat="1" applyFont="1" applyFill="1" applyAlignment="1">
      <alignment horizontal="center" vertical="center"/>
    </xf>
    <xf numFmtId="0" fontId="20" fillId="57" borderId="0" xfId="0" applyFont="1" applyFill="1" applyAlignment="1">
      <alignment horizontal="center" vertical="center"/>
    </xf>
    <xf numFmtId="49" fontId="60" fillId="0" borderId="0" xfId="0" applyNumberFormat="1" applyFont="1" applyAlignment="1">
      <alignment horizontal="center" vertical="center"/>
    </xf>
    <xf numFmtId="0" fontId="21" fillId="0" borderId="51" xfId="1057" applyFont="1" applyBorder="1" applyAlignment="1">
      <alignment horizontal="center" vertical="center" wrapText="1"/>
    </xf>
    <xf numFmtId="0" fontId="21" fillId="0" borderId="55" xfId="1057" applyFont="1" applyBorder="1" applyAlignment="1">
      <alignment horizontal="center" vertical="center"/>
    </xf>
    <xf numFmtId="0" fontId="22" fillId="0" borderId="0" xfId="1057" applyFont="1" applyAlignment="1">
      <alignment horizontal="center" vertical="center"/>
    </xf>
    <xf numFmtId="0" fontId="60" fillId="0" borderId="0" xfId="0" applyFont="1" applyAlignment="1">
      <alignment horizontal="left" vertical="center"/>
    </xf>
    <xf numFmtId="0" fontId="59" fillId="0" borderId="0" xfId="0" applyFont="1" applyAlignment="1">
      <alignment horizontal="center" vertical="center" wrapText="1"/>
    </xf>
    <xf numFmtId="0" fontId="22" fillId="0" borderId="110" xfId="1057" applyFont="1" applyBorder="1" applyAlignment="1">
      <alignment horizontal="center" vertical="center" wrapText="1"/>
    </xf>
    <xf numFmtId="0" fontId="22" fillId="0" borderId="53" xfId="1057" applyFont="1" applyBorder="1" applyAlignment="1">
      <alignment horizontal="center" vertical="center"/>
    </xf>
    <xf numFmtId="0" fontId="22" fillId="0" borderId="54" xfId="1057" applyFont="1" applyBorder="1" applyAlignment="1">
      <alignment horizontal="center" vertical="center"/>
    </xf>
    <xf numFmtId="10" fontId="20" fillId="0" borderId="112" xfId="1187" applyNumberFormat="1" applyFont="1" applyFill="1" applyBorder="1" applyAlignment="1">
      <alignment horizontal="center" vertical="center"/>
    </xf>
    <xf numFmtId="10" fontId="20" fillId="0" borderId="113" xfId="1187" applyNumberFormat="1" applyFont="1" applyFill="1" applyBorder="1" applyAlignment="1">
      <alignment horizontal="center" vertical="center"/>
    </xf>
    <xf numFmtId="10" fontId="20" fillId="0" borderId="57" xfId="1187" applyNumberFormat="1" applyFont="1" applyFill="1" applyBorder="1" applyAlignment="1">
      <alignment horizontal="center" vertical="center"/>
    </xf>
    <xf numFmtId="10" fontId="86" fillId="0" borderId="57" xfId="1187" applyNumberFormat="1" applyFont="1" applyFill="1" applyBorder="1" applyAlignment="1">
      <alignment horizontal="center" vertical="center" wrapText="1"/>
    </xf>
    <xf numFmtId="4" fontId="86" fillId="0" borderId="47" xfId="1057" applyNumberFormat="1" applyFont="1" applyBorder="1" applyAlignment="1">
      <alignment horizontal="center" vertical="center"/>
    </xf>
    <xf numFmtId="10" fontId="86" fillId="0" borderId="47" xfId="1187" applyNumberFormat="1" applyFont="1" applyFill="1" applyBorder="1" applyAlignment="1">
      <alignment horizontal="center" vertical="center" wrapText="1"/>
    </xf>
    <xf numFmtId="10" fontId="86" fillId="0" borderId="63" xfId="1187" applyNumberFormat="1" applyFont="1" applyFill="1" applyBorder="1" applyAlignment="1">
      <alignment horizontal="center" vertical="center" wrapText="1"/>
    </xf>
    <xf numFmtId="4" fontId="86" fillId="0" borderId="64" xfId="1057" applyNumberFormat="1" applyFont="1" applyBorder="1" applyAlignment="1">
      <alignment horizontal="center" vertical="center"/>
    </xf>
    <xf numFmtId="0" fontId="79" fillId="0" borderId="0" xfId="0" applyFont="1" applyAlignment="1">
      <alignment horizontal="center" vertical="center"/>
    </xf>
    <xf numFmtId="14" fontId="60" fillId="0" borderId="0" xfId="0" applyNumberFormat="1" applyFont="1" applyAlignment="1">
      <alignment horizontal="center" vertical="center"/>
    </xf>
    <xf numFmtId="49" fontId="59" fillId="0" borderId="0" xfId="0" applyNumberFormat="1" applyFont="1" applyAlignment="1">
      <alignment horizontal="center" vertical="center"/>
    </xf>
    <xf numFmtId="0" fontId="20" fillId="58" borderId="47" xfId="1057" applyFill="1" applyBorder="1" applyAlignment="1">
      <alignment horizontal="center" vertical="center"/>
    </xf>
    <xf numFmtId="0" fontId="20" fillId="0" borderId="47" xfId="1057" applyBorder="1" applyAlignment="1">
      <alignment horizontal="center" vertical="center"/>
    </xf>
    <xf numFmtId="177" fontId="22" fillId="0" borderId="0" xfId="1057" applyNumberFormat="1" applyFont="1" applyAlignment="1">
      <alignment horizontal="center" vertical="center"/>
    </xf>
    <xf numFmtId="4" fontId="22" fillId="0" borderId="0" xfId="1057" applyNumberFormat="1" applyFont="1" applyAlignment="1">
      <alignment horizontal="center" vertical="center"/>
    </xf>
    <xf numFmtId="39" fontId="22" fillId="0" borderId="0" xfId="1057" applyNumberFormat="1" applyFont="1" applyAlignment="1">
      <alignment horizontal="center" vertical="center"/>
    </xf>
    <xf numFmtId="0" fontId="20" fillId="0" borderId="0" xfId="43" applyAlignment="1">
      <alignment horizontal="center" vertical="center" wrapText="1"/>
    </xf>
    <xf numFmtId="0" fontId="20" fillId="0" borderId="3" xfId="43" applyBorder="1" applyAlignment="1">
      <alignment horizontal="center" vertical="center" wrapText="1"/>
    </xf>
    <xf numFmtId="0" fontId="22" fillId="0" borderId="0" xfId="43" applyFont="1" applyAlignment="1">
      <alignment horizontal="center" vertical="center"/>
    </xf>
    <xf numFmtId="0" fontId="59" fillId="0" borderId="0" xfId="0" applyFont="1" applyAlignment="1">
      <alignment horizontal="center" vertical="center"/>
    </xf>
    <xf numFmtId="4" fontId="41" fillId="0" borderId="0" xfId="43" applyNumberFormat="1" applyFont="1" applyAlignment="1">
      <alignment horizontal="center" vertical="center" wrapText="1"/>
    </xf>
    <xf numFmtId="4" fontId="20" fillId="0" borderId="0" xfId="43" applyNumberFormat="1" applyAlignment="1">
      <alignment horizontal="center" vertical="center" wrapText="1"/>
    </xf>
    <xf numFmtId="4" fontId="20" fillId="0" borderId="0" xfId="43" applyNumberFormat="1" applyAlignment="1">
      <alignment horizontal="center" vertical="center"/>
    </xf>
    <xf numFmtId="4" fontId="41" fillId="0" borderId="3" xfId="43" applyNumberFormat="1" applyFont="1" applyBorder="1" applyAlignment="1">
      <alignment horizontal="center" vertical="center" wrapText="1"/>
    </xf>
    <xf numFmtId="10" fontId="20" fillId="0" borderId="3" xfId="1663" applyNumberFormat="1" applyFont="1" applyFill="1" applyBorder="1" applyAlignment="1">
      <alignment horizontal="center" vertical="center" wrapText="1"/>
    </xf>
    <xf numFmtId="4" fontId="20" fillId="0" borderId="3" xfId="43" applyNumberFormat="1" applyBorder="1" applyAlignment="1">
      <alignment horizontal="center" vertical="center" wrapText="1"/>
    </xf>
    <xf numFmtId="172" fontId="20" fillId="0" borderId="3" xfId="1663" applyNumberFormat="1" applyFont="1" applyFill="1" applyBorder="1" applyAlignment="1">
      <alignment horizontal="center" vertical="center"/>
    </xf>
    <xf numFmtId="0" fontId="20" fillId="0" borderId="0" xfId="43" applyAlignment="1">
      <alignment horizontal="center" vertical="center"/>
    </xf>
    <xf numFmtId="0" fontId="24" fillId="0" borderId="0" xfId="43" applyFont="1" applyAlignment="1">
      <alignment horizontal="center" vertical="center"/>
    </xf>
    <xf numFmtId="4" fontId="24" fillId="0" borderId="0" xfId="43" applyNumberFormat="1" applyFont="1" applyAlignment="1">
      <alignment horizontal="center" vertical="center"/>
    </xf>
    <xf numFmtId="10" fontId="24" fillId="0" borderId="0" xfId="1183" applyNumberFormat="1" applyFont="1" applyFill="1" applyBorder="1" applyAlignment="1">
      <alignment horizontal="center" vertical="center"/>
    </xf>
    <xf numFmtId="49" fontId="81" fillId="0" borderId="0" xfId="42" applyNumberFormat="1" applyFont="1" applyAlignment="1">
      <alignment horizontal="center" vertical="center" wrapText="1"/>
      <protection locked="0"/>
    </xf>
    <xf numFmtId="0" fontId="59" fillId="0" borderId="30" xfId="0" applyFont="1" applyBorder="1" applyAlignment="1">
      <alignment horizontal="center" vertical="center" wrapText="1"/>
    </xf>
    <xf numFmtId="49" fontId="21" fillId="58" borderId="3" xfId="43" applyNumberFormat="1" applyFont="1" applyFill="1" applyBorder="1" applyAlignment="1">
      <alignment horizontal="center" vertical="center" wrapText="1"/>
    </xf>
    <xf numFmtId="4" fontId="89" fillId="0" borderId="0" xfId="42" applyFont="1" applyAlignment="1">
      <alignment horizontal="center" vertical="center" wrapText="1"/>
      <protection locked="0"/>
    </xf>
    <xf numFmtId="44" fontId="21" fillId="58" borderId="3" xfId="1956" applyFont="1" applyFill="1" applyBorder="1" applyAlignment="1" applyProtection="1">
      <alignment horizontal="center" vertical="center" wrapText="1"/>
    </xf>
    <xf numFmtId="0" fontId="21" fillId="58" borderId="3" xfId="43" applyFont="1" applyFill="1" applyBorder="1" applyAlignment="1">
      <alignment horizontal="center" vertical="center" wrapText="1"/>
    </xf>
    <xf numFmtId="0" fontId="22" fillId="0" borderId="0" xfId="0" applyFont="1" applyAlignment="1">
      <alignment horizontal="center" vertical="center"/>
    </xf>
    <xf numFmtId="0" fontId="80" fillId="58" borderId="40" xfId="0" applyFont="1" applyFill="1" applyBorder="1" applyAlignment="1">
      <alignment horizontal="center" vertical="center" wrapText="1"/>
    </xf>
    <xf numFmtId="0" fontId="37" fillId="58" borderId="0" xfId="0" applyFont="1" applyFill="1" applyAlignment="1">
      <alignment horizontal="center" vertical="center"/>
    </xf>
    <xf numFmtId="4" fontId="0" fillId="0" borderId="0" xfId="0" applyNumberFormat="1" applyAlignment="1">
      <alignment horizontal="center" vertical="center" wrapText="1"/>
    </xf>
    <xf numFmtId="0" fontId="60" fillId="0" borderId="0" xfId="0" applyFont="1" applyAlignment="1">
      <alignment vertical="center" wrapText="1"/>
    </xf>
    <xf numFmtId="4" fontId="0" fillId="0" borderId="0" xfId="0" applyNumberFormat="1" applyAlignment="1">
      <alignment vertical="center" wrapText="1"/>
    </xf>
    <xf numFmtId="0" fontId="78" fillId="0" borderId="0" xfId="0" applyFont="1" applyAlignment="1">
      <alignment vertical="center"/>
    </xf>
    <xf numFmtId="0" fontId="37" fillId="0" borderId="46" xfId="0" applyFont="1" applyBorder="1" applyAlignment="1">
      <alignment horizontal="center" vertical="center" wrapText="1"/>
    </xf>
    <xf numFmtId="0" fontId="37" fillId="0" borderId="42" xfId="0" applyFont="1" applyBorder="1" applyAlignment="1">
      <alignment horizontal="center" vertical="center" wrapText="1"/>
    </xf>
    <xf numFmtId="0" fontId="37" fillId="0" borderId="43" xfId="0" applyFont="1" applyBorder="1" applyAlignment="1">
      <alignment horizontal="center" vertical="center" wrapText="1"/>
    </xf>
    <xf numFmtId="0" fontId="80" fillId="0" borderId="36" xfId="0" applyFont="1" applyBorder="1" applyAlignment="1">
      <alignment horizontal="center" vertical="center" wrapText="1"/>
    </xf>
    <xf numFmtId="0" fontId="37" fillId="0" borderId="48" xfId="0" applyFont="1" applyBorder="1" applyAlignment="1">
      <alignment horizontal="center" vertical="center" wrapText="1"/>
    </xf>
    <xf numFmtId="0" fontId="80" fillId="0" borderId="47" xfId="0" applyFont="1" applyBorder="1" applyAlignment="1">
      <alignment horizontal="center" vertical="center"/>
    </xf>
    <xf numFmtId="0" fontId="80" fillId="0" borderId="48" xfId="0" applyFont="1" applyBorder="1" applyAlignment="1">
      <alignment horizontal="center" vertical="center"/>
    </xf>
    <xf numFmtId="0" fontId="37" fillId="0" borderId="0" xfId="902" applyFont="1" applyAlignment="1">
      <alignment horizontal="center" vertical="center"/>
    </xf>
    <xf numFmtId="0" fontId="80" fillId="0" borderId="48" xfId="902" applyFont="1" applyBorder="1" applyAlignment="1">
      <alignment horizontal="center" vertical="center"/>
    </xf>
    <xf numFmtId="0" fontId="80" fillId="0" borderId="37" xfId="0" applyFont="1" applyBorder="1" applyAlignment="1">
      <alignment vertical="center" wrapText="1"/>
    </xf>
    <xf numFmtId="0" fontId="80" fillId="0" borderId="41" xfId="0" applyFont="1" applyBorder="1" applyAlignment="1">
      <alignment vertical="center" wrapText="1"/>
    </xf>
    <xf numFmtId="0" fontId="37" fillId="0" borderId="48" xfId="0" applyFont="1" applyBorder="1" applyAlignment="1">
      <alignment horizontal="left" vertical="center" wrapText="1"/>
    </xf>
    <xf numFmtId="0" fontId="80" fillId="0" borderId="48" xfId="0" applyFont="1" applyBorder="1" applyAlignment="1">
      <alignment vertical="center"/>
    </xf>
    <xf numFmtId="0" fontId="80" fillId="0" borderId="48" xfId="902" applyFont="1" applyBorder="1" applyAlignment="1">
      <alignment vertical="center"/>
    </xf>
    <xf numFmtId="0" fontId="37" fillId="0" borderId="0" xfId="902" applyFont="1" applyAlignment="1">
      <alignment vertical="center"/>
    </xf>
    <xf numFmtId="4" fontId="37" fillId="0" borderId="0" xfId="902" applyNumberFormat="1" applyFont="1" applyAlignment="1">
      <alignment vertical="center"/>
    </xf>
    <xf numFmtId="10" fontId="60" fillId="0" borderId="0" xfId="1663" applyNumberFormat="1" applyFont="1" applyFill="1" applyBorder="1" applyAlignment="1">
      <alignment horizontal="center" vertical="center"/>
    </xf>
    <xf numFmtId="0" fontId="80" fillId="0" borderId="38" xfId="0" applyFont="1" applyBorder="1" applyAlignment="1">
      <alignment horizontal="center" vertical="center" wrapText="1"/>
    </xf>
    <xf numFmtId="0" fontId="80" fillId="0" borderId="39" xfId="0" applyFont="1" applyBorder="1" applyAlignment="1">
      <alignment horizontal="center" vertical="center" wrapText="1"/>
    </xf>
    <xf numFmtId="0" fontId="80" fillId="0" borderId="42" xfId="0" applyFont="1" applyBorder="1" applyAlignment="1">
      <alignment horizontal="center" vertical="center" wrapText="1"/>
    </xf>
    <xf numFmtId="0" fontId="80" fillId="0" borderId="43" xfId="0" applyFont="1" applyBorder="1" applyAlignment="1">
      <alignment horizontal="center" vertical="center" wrapText="1"/>
    </xf>
    <xf numFmtId="4" fontId="37" fillId="0" borderId="48" xfId="0" applyNumberFormat="1" applyFont="1" applyBorder="1" applyAlignment="1">
      <alignment horizontal="center" vertical="center" wrapText="1"/>
    </xf>
    <xf numFmtId="4" fontId="80" fillId="0" borderId="48" xfId="0" applyNumberFormat="1" applyFont="1" applyBorder="1" applyAlignment="1">
      <alignment horizontal="center" vertical="center" wrapText="1"/>
    </xf>
    <xf numFmtId="0" fontId="80" fillId="0" borderId="82" xfId="0" applyFont="1" applyBorder="1" applyAlignment="1">
      <alignment horizontal="center" vertical="center"/>
    </xf>
    <xf numFmtId="4" fontId="80" fillId="0" borderId="45" xfId="0" applyNumberFormat="1" applyFont="1" applyBorder="1" applyAlignment="1">
      <alignment horizontal="center" vertical="center"/>
    </xf>
    <xf numFmtId="4" fontId="80" fillId="0" borderId="45" xfId="902" applyNumberFormat="1" applyFont="1" applyBorder="1" applyAlignment="1">
      <alignment horizontal="center" vertical="center"/>
    </xf>
    <xf numFmtId="0" fontId="80" fillId="0" borderId="63" xfId="0" applyFont="1" applyBorder="1" applyAlignment="1">
      <alignment horizontal="center" vertical="center"/>
    </xf>
    <xf numFmtId="0" fontId="80" fillId="0" borderId="62" xfId="902" applyFont="1" applyBorder="1" applyAlignment="1">
      <alignment horizontal="center" vertical="center"/>
    </xf>
    <xf numFmtId="0" fontId="80" fillId="0" borderId="82" xfId="902" applyFont="1" applyBorder="1" applyAlignment="1">
      <alignment horizontal="center" vertical="center"/>
    </xf>
    <xf numFmtId="0" fontId="80" fillId="0" borderId="60" xfId="902" applyFont="1" applyBorder="1" applyAlignment="1">
      <alignment horizontal="center" vertical="center"/>
    </xf>
    <xf numFmtId="4" fontId="37" fillId="0" borderId="0" xfId="902" applyNumberFormat="1" applyFont="1" applyAlignment="1">
      <alignment horizontal="center" vertical="center"/>
    </xf>
    <xf numFmtId="4" fontId="37" fillId="0" borderId="2" xfId="902" applyNumberFormat="1" applyFont="1" applyBorder="1" applyAlignment="1">
      <alignment horizontal="center" vertical="center"/>
    </xf>
    <xf numFmtId="2" fontId="80" fillId="0" borderId="38" xfId="0" applyNumberFormat="1" applyFont="1" applyBorder="1" applyAlignment="1">
      <alignment horizontal="center" vertical="center" wrapText="1"/>
    </xf>
    <xf numFmtId="2" fontId="80" fillId="0" borderId="42" xfId="0" applyNumberFormat="1" applyFont="1" applyBorder="1" applyAlignment="1">
      <alignment horizontal="center" vertical="center" wrapText="1"/>
    </xf>
    <xf numFmtId="2" fontId="37" fillId="0" borderId="48" xfId="0" applyNumberFormat="1" applyFont="1" applyBorder="1" applyAlignment="1">
      <alignment horizontal="center" vertical="center" wrapText="1"/>
    </xf>
    <xf numFmtId="0" fontId="82" fillId="0" borderId="0" xfId="0" applyFont="1" applyAlignment="1">
      <alignment vertical="center" wrapText="1"/>
    </xf>
    <xf numFmtId="0" fontId="74" fillId="0" borderId="0" xfId="0" applyFont="1" applyAlignment="1">
      <alignment vertical="center"/>
    </xf>
    <xf numFmtId="2" fontId="59" fillId="0" borderId="0" xfId="0" applyNumberFormat="1" applyFont="1" applyAlignment="1">
      <alignment horizontal="right" vertical="center"/>
    </xf>
    <xf numFmtId="43" fontId="37" fillId="0" borderId="0" xfId="0" applyNumberFormat="1" applyFont="1" applyAlignment="1">
      <alignment vertical="center"/>
    </xf>
    <xf numFmtId="43" fontId="37" fillId="0" borderId="0" xfId="902" applyNumberFormat="1" applyFont="1" applyAlignment="1">
      <alignment vertical="center"/>
    </xf>
    <xf numFmtId="43" fontId="37" fillId="59" borderId="0" xfId="0" applyNumberFormat="1" applyFont="1" applyFill="1" applyAlignment="1">
      <alignment vertical="center"/>
    </xf>
    <xf numFmtId="0" fontId="0" fillId="0" borderId="25" xfId="0" applyBorder="1" applyAlignment="1">
      <alignment vertical="center"/>
    </xf>
    <xf numFmtId="0" fontId="20" fillId="0" borderId="30" xfId="0" applyFont="1" applyBorder="1" applyAlignment="1">
      <alignment vertical="center"/>
    </xf>
    <xf numFmtId="166" fontId="0" fillId="0" borderId="0" xfId="0" applyNumberFormat="1" applyAlignment="1">
      <alignment horizontal="center" vertical="center"/>
    </xf>
    <xf numFmtId="10" fontId="0" fillId="0" borderId="0" xfId="1663" applyNumberFormat="1" applyFont="1" applyAlignment="1" applyProtection="1">
      <alignment horizontal="center" vertical="center"/>
    </xf>
    <xf numFmtId="164" fontId="0" fillId="0" borderId="0" xfId="0" applyNumberFormat="1" applyAlignment="1">
      <alignment vertical="center"/>
    </xf>
    <xf numFmtId="4" fontId="80" fillId="0" borderId="62" xfId="0" applyNumberFormat="1" applyFont="1" applyBorder="1" applyAlignment="1">
      <alignment horizontal="center" vertical="center"/>
    </xf>
    <xf numFmtId="4" fontId="80" fillId="0" borderId="38" xfId="0" applyNumberFormat="1" applyFont="1" applyBorder="1" applyAlignment="1">
      <alignment horizontal="center" vertical="center" wrapText="1"/>
    </xf>
    <xf numFmtId="4" fontId="80" fillId="0" borderId="42" xfId="0" applyNumberFormat="1" applyFont="1" applyBorder="1" applyAlignment="1">
      <alignment horizontal="center" vertical="center" wrapText="1"/>
    </xf>
    <xf numFmtId="0" fontId="37" fillId="0" borderId="0" xfId="0" applyFont="1" applyAlignment="1">
      <alignment vertical="top"/>
    </xf>
    <xf numFmtId="185" fontId="18" fillId="0" borderId="0" xfId="0" applyNumberFormat="1" applyFont="1"/>
    <xf numFmtId="10" fontId="22" fillId="0" borderId="0" xfId="1663" applyNumberFormat="1" applyFont="1" applyFill="1" applyAlignment="1">
      <alignment horizontal="center" vertical="center"/>
    </xf>
    <xf numFmtId="2" fontId="21" fillId="58" borderId="3" xfId="43" applyNumberFormat="1" applyFont="1" applyFill="1" applyBorder="1" applyAlignment="1">
      <alignment horizontal="center" vertical="center" wrapText="1"/>
    </xf>
    <xf numFmtId="49" fontId="21" fillId="0" borderId="2" xfId="42" applyNumberFormat="1" applyFont="1" applyBorder="1" applyAlignment="1" applyProtection="1">
      <alignment horizontal="center" vertical="center" wrapText="1"/>
    </xf>
    <xf numFmtId="0" fontId="37" fillId="83" borderId="0" xfId="0" applyFont="1" applyFill="1" applyAlignment="1">
      <alignment horizontal="center" vertical="center"/>
    </xf>
    <xf numFmtId="0" fontId="20" fillId="0" borderId="0" xfId="2530" applyAlignment="1">
      <alignment vertical="center" wrapText="1"/>
    </xf>
    <xf numFmtId="0" fontId="20" fillId="0" borderId="0" xfId="2530" applyAlignment="1">
      <alignment horizontal="right" vertical="center" wrapText="1"/>
    </xf>
    <xf numFmtId="0" fontId="90" fillId="0" borderId="0" xfId="1962" applyAlignment="1">
      <alignment horizontal="center" vertical="center" wrapText="1"/>
    </xf>
    <xf numFmtId="0" fontId="20" fillId="0" borderId="0" xfId="2530" applyAlignment="1">
      <alignment wrapText="1"/>
    </xf>
    <xf numFmtId="44" fontId="20" fillId="0" borderId="0" xfId="1956" applyFont="1" applyFill="1" applyProtection="1"/>
    <xf numFmtId="0" fontId="21" fillId="0" borderId="3" xfId="1057" applyFont="1" applyBorder="1" applyAlignment="1">
      <alignment horizontal="center" vertical="center"/>
    </xf>
    <xf numFmtId="0" fontId="83" fillId="0" borderId="0" xfId="0" applyFont="1" applyAlignment="1">
      <alignment vertical="center"/>
    </xf>
    <xf numFmtId="0" fontId="37" fillId="0" borderId="0" xfId="0" applyFont="1" applyAlignment="1">
      <alignment horizontal="left" vertical="center"/>
    </xf>
    <xf numFmtId="0" fontId="37" fillId="84" borderId="0" xfId="0" applyFont="1" applyFill="1" applyAlignment="1">
      <alignment horizontal="center" vertical="center"/>
    </xf>
    <xf numFmtId="0" fontId="21" fillId="33" borderId="13" xfId="42" applyNumberFormat="1" applyFont="1" applyFill="1" applyBorder="1" applyAlignment="1" applyProtection="1">
      <alignment horizontal="left" vertical="center" wrapText="1"/>
    </xf>
    <xf numFmtId="49" fontId="22" fillId="0" borderId="48" xfId="42" applyNumberFormat="1" applyFont="1" applyBorder="1" applyAlignment="1">
      <alignment horizontal="left" vertical="center" wrapText="1"/>
      <protection locked="0"/>
    </xf>
    <xf numFmtId="4" fontId="21" fillId="58" borderId="3" xfId="44" applyNumberFormat="1" applyFont="1" applyFill="1" applyBorder="1" applyAlignment="1" applyProtection="1">
      <alignment horizontal="left" vertical="center"/>
      <protection locked="0"/>
    </xf>
    <xf numFmtId="49" fontId="21" fillId="0" borderId="2" xfId="42" applyNumberFormat="1" applyFont="1" applyBorder="1" applyAlignment="1" applyProtection="1">
      <alignment horizontal="left" vertical="center" wrapText="1"/>
    </xf>
    <xf numFmtId="4" fontId="89" fillId="0" borderId="0" xfId="42" applyFont="1" applyAlignment="1">
      <alignment horizontal="left" vertical="center" wrapText="1"/>
      <protection locked="0"/>
    </xf>
    <xf numFmtId="4" fontId="21" fillId="58" borderId="3" xfId="44" applyNumberFormat="1" applyFont="1" applyFill="1" applyBorder="1" applyAlignment="1" applyProtection="1">
      <alignment horizontal="left" vertical="center" wrapText="1"/>
      <protection locked="0"/>
    </xf>
    <xf numFmtId="0" fontId="74" fillId="0" borderId="0" xfId="0" applyFont="1" applyAlignment="1">
      <alignment horizontal="left" vertical="center"/>
    </xf>
    <xf numFmtId="0" fontId="20" fillId="0" borderId="0" xfId="0" applyFont="1" applyAlignment="1">
      <alignment horizontal="left" vertical="center"/>
    </xf>
    <xf numFmtId="4" fontId="0" fillId="0" borderId="0" xfId="0" applyNumberFormat="1" applyAlignment="1">
      <alignment horizontal="left" vertical="center" wrapText="1"/>
    </xf>
    <xf numFmtId="4" fontId="37" fillId="57" borderId="0" xfId="0" applyNumberFormat="1" applyFont="1" applyFill="1" applyAlignment="1">
      <alignment vertical="center"/>
    </xf>
    <xf numFmtId="4" fontId="37" fillId="0" borderId="0" xfId="0" applyNumberFormat="1" applyFont="1" applyAlignment="1">
      <alignment vertical="center"/>
    </xf>
    <xf numFmtId="171" fontId="80" fillId="58" borderId="44" xfId="0" applyNumberFormat="1" applyFont="1" applyFill="1" applyBorder="1" applyAlignment="1">
      <alignment horizontal="right" vertical="center" wrapText="1"/>
    </xf>
    <xf numFmtId="4" fontId="80" fillId="58" borderId="44" xfId="0" applyNumberFormat="1" applyFont="1" applyFill="1" applyBorder="1" applyAlignment="1">
      <alignment horizontal="right" vertical="center" wrapText="1"/>
    </xf>
    <xf numFmtId="0" fontId="37" fillId="84" borderId="0" xfId="0" applyFont="1" applyFill="1" applyAlignment="1">
      <alignment vertical="center"/>
    </xf>
    <xf numFmtId="0" fontId="37" fillId="58" borderId="0" xfId="0" applyFont="1" applyFill="1" applyAlignment="1">
      <alignment vertical="center"/>
    </xf>
    <xf numFmtId="4" fontId="20" fillId="0" borderId="115" xfId="1057" applyNumberFormat="1" applyBorder="1" applyAlignment="1">
      <alignment horizontal="center" vertical="center" wrapText="1"/>
    </xf>
    <xf numFmtId="4" fontId="20" fillId="0" borderId="1" xfId="1057" applyNumberFormat="1" applyBorder="1" applyAlignment="1">
      <alignment horizontal="center" vertical="center" wrapText="1"/>
    </xf>
    <xf numFmtId="10" fontId="20" fillId="0" borderId="111" xfId="1187" applyNumberFormat="1" applyFont="1" applyFill="1" applyBorder="1" applyAlignment="1">
      <alignment horizontal="center" vertical="center"/>
    </xf>
    <xf numFmtId="39" fontId="22" fillId="0" borderId="0" xfId="1057" applyNumberFormat="1" applyFont="1" applyAlignment="1">
      <alignment vertical="top"/>
    </xf>
    <xf numFmtId="4" fontId="90" fillId="0" borderId="0" xfId="1962" applyNumberFormat="1" applyAlignment="1">
      <alignment horizontal="right" vertical="center" wrapText="1"/>
    </xf>
    <xf numFmtId="0" fontId="77" fillId="0" borderId="0" xfId="0" applyFont="1" applyAlignment="1">
      <alignment horizontal="center" vertical="center"/>
    </xf>
    <xf numFmtId="10" fontId="22" fillId="0" borderId="0" xfId="1663" applyNumberFormat="1" applyFont="1" applyFill="1" applyAlignment="1">
      <alignment vertical="top"/>
    </xf>
    <xf numFmtId="167" fontId="22" fillId="0" borderId="0" xfId="750" applyFont="1" applyFill="1" applyBorder="1" applyAlignment="1">
      <alignment horizontal="center" vertical="center"/>
    </xf>
    <xf numFmtId="167" fontId="22" fillId="0" borderId="0" xfId="750" applyFont="1" applyBorder="1" applyAlignment="1">
      <alignment horizontal="center" vertical="center"/>
    </xf>
    <xf numFmtId="44" fontId="74" fillId="0" borderId="0" xfId="1956" applyFont="1" applyFill="1" applyBorder="1" applyAlignment="1">
      <alignment vertical="center"/>
    </xf>
    <xf numFmtId="2" fontId="20" fillId="0" borderId="0" xfId="0" applyNumberFormat="1" applyFont="1" applyAlignment="1">
      <alignment vertical="center"/>
    </xf>
    <xf numFmtId="2" fontId="20" fillId="0" borderId="0" xfId="0" applyNumberFormat="1" applyFont="1" applyAlignment="1">
      <alignment horizontal="center" vertical="center"/>
    </xf>
    <xf numFmtId="44" fontId="20" fillId="0" borderId="0" xfId="1956" applyFont="1" applyFill="1" applyBorder="1" applyAlignment="1">
      <alignment vertical="center"/>
    </xf>
    <xf numFmtId="44" fontId="60" fillId="0" borderId="0" xfId="1956" applyFont="1" applyFill="1" applyBorder="1" applyAlignment="1">
      <alignment vertical="center"/>
    </xf>
    <xf numFmtId="44" fontId="22" fillId="0" borderId="0" xfId="1956" applyFont="1" applyFill="1" applyBorder="1" applyAlignment="1">
      <alignment vertical="center"/>
    </xf>
    <xf numFmtId="44" fontId="22" fillId="0" borderId="0" xfId="1956" applyFont="1" applyBorder="1" applyAlignment="1">
      <alignment vertical="center"/>
    </xf>
    <xf numFmtId="4" fontId="79" fillId="0" borderId="0" xfId="0" applyNumberFormat="1" applyFont="1" applyAlignment="1">
      <alignment horizontal="center" vertical="center"/>
    </xf>
    <xf numFmtId="4" fontId="60" fillId="0" borderId="0" xfId="0" applyNumberFormat="1" applyFont="1" applyAlignment="1">
      <alignment horizontal="center" vertical="center" wrapText="1"/>
    </xf>
    <xf numFmtId="0" fontId="20" fillId="0" borderId="0" xfId="2530" applyAlignment="1">
      <alignment vertical="top" wrapText="1"/>
    </xf>
    <xf numFmtId="0" fontId="133" fillId="0" borderId="0" xfId="1962" applyFont="1" applyAlignment="1">
      <alignment wrapText="1"/>
    </xf>
    <xf numFmtId="17" fontId="133" fillId="0" borderId="0" xfId="1962" applyNumberFormat="1" applyFont="1" applyAlignment="1">
      <alignment wrapText="1"/>
    </xf>
    <xf numFmtId="0" fontId="83" fillId="0" borderId="0" xfId="2530" applyFont="1" applyAlignment="1">
      <alignment horizontal="center" vertical="center" wrapText="1"/>
    </xf>
    <xf numFmtId="165" fontId="62" fillId="0" borderId="0" xfId="0" applyNumberFormat="1" applyFont="1"/>
    <xf numFmtId="0" fontId="37" fillId="0" borderId="56" xfId="0" applyFont="1" applyBorder="1" applyAlignment="1">
      <alignment vertical="top" wrapText="1"/>
    </xf>
    <xf numFmtId="0" fontId="37" fillId="0" borderId="52" xfId="0" applyFont="1" applyBorder="1" applyAlignment="1">
      <alignment vertical="top" wrapText="1"/>
    </xf>
    <xf numFmtId="0" fontId="37" fillId="0" borderId="40" xfId="0" applyFont="1" applyBorder="1" applyAlignment="1">
      <alignment vertical="top" wrapText="1"/>
    </xf>
    <xf numFmtId="0" fontId="24" fillId="0" borderId="0" xfId="0" applyFont="1" applyAlignment="1">
      <alignment horizontal="center" vertical="center"/>
    </xf>
    <xf numFmtId="0" fontId="83" fillId="59" borderId="0" xfId="0" applyFont="1" applyFill="1" applyAlignment="1">
      <alignment vertical="top"/>
    </xf>
    <xf numFmtId="0" fontId="80" fillId="58" borderId="44" xfId="0" applyFont="1" applyFill="1" applyBorder="1" applyAlignment="1">
      <alignment horizontal="left" vertical="top" wrapText="1"/>
    </xf>
    <xf numFmtId="0" fontId="80" fillId="58" borderId="44" xfId="0" applyFont="1" applyFill="1" applyBorder="1" applyAlignment="1">
      <alignment horizontal="center" vertical="top" wrapText="1"/>
    </xf>
    <xf numFmtId="171" fontId="80" fillId="58" borderId="44" xfId="0" applyNumberFormat="1" applyFont="1" applyFill="1" applyBorder="1" applyAlignment="1">
      <alignment horizontal="right" vertical="top" wrapText="1"/>
    </xf>
    <xf numFmtId="4" fontId="80" fillId="58" borderId="44" xfId="0" applyNumberFormat="1" applyFont="1" applyFill="1" applyBorder="1" applyAlignment="1">
      <alignment horizontal="right" vertical="top" wrapText="1"/>
    </xf>
    <xf numFmtId="4" fontId="80" fillId="58" borderId="45" xfId="0" applyNumberFormat="1" applyFont="1" applyFill="1" applyBorder="1" applyAlignment="1">
      <alignment horizontal="right" vertical="top" wrapText="1"/>
    </xf>
    <xf numFmtId="0" fontId="20" fillId="0" borderId="0" xfId="2530"/>
    <xf numFmtId="0" fontId="37" fillId="0" borderId="41"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6" xfId="0" applyFont="1" applyBorder="1" applyAlignment="1">
      <alignment vertical="center"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1" xfId="0" applyFont="1" applyBorder="1" applyAlignment="1">
      <alignment vertical="top" wrapText="1"/>
    </xf>
    <xf numFmtId="187" fontId="37" fillId="0" borderId="0" xfId="0" applyNumberFormat="1" applyFont="1" applyAlignment="1">
      <alignment vertical="center"/>
    </xf>
    <xf numFmtId="4" fontId="81" fillId="0" borderId="0" xfId="42" applyFont="1" applyAlignment="1">
      <alignment vertical="center"/>
      <protection locked="0"/>
    </xf>
    <xf numFmtId="4" fontId="22" fillId="0" borderId="0" xfId="42" applyFont="1" applyAlignment="1">
      <alignment vertical="center"/>
      <protection locked="0"/>
    </xf>
    <xf numFmtId="4" fontId="22" fillId="0" borderId="0" xfId="43" applyNumberFormat="1" applyFont="1" applyAlignment="1" applyProtection="1">
      <alignment vertical="center"/>
      <protection locked="0"/>
    </xf>
    <xf numFmtId="49" fontId="24" fillId="0" borderId="0" xfId="42" applyNumberFormat="1" applyFont="1" applyAlignment="1" applyProtection="1">
      <alignment horizontal="center" vertical="center" wrapText="1"/>
    </xf>
    <xf numFmtId="49" fontId="24" fillId="0" borderId="0" xfId="42" applyNumberFormat="1" applyFont="1" applyAlignment="1" applyProtection="1">
      <alignment horizontal="left" vertical="center" wrapText="1"/>
    </xf>
    <xf numFmtId="2" fontId="22" fillId="0" borderId="0" xfId="43" applyNumberFormat="1" applyFont="1" applyAlignment="1">
      <alignment vertical="center"/>
    </xf>
    <xf numFmtId="49" fontId="60" fillId="0" borderId="0" xfId="0" applyNumberFormat="1" applyFont="1" applyAlignment="1">
      <alignment horizontal="left" vertical="center"/>
    </xf>
    <xf numFmtId="0" fontId="37" fillId="59" borderId="0" xfId="0" applyFont="1" applyFill="1" applyAlignment="1">
      <alignment horizontal="center" vertical="center"/>
    </xf>
    <xf numFmtId="0" fontId="37" fillId="59" borderId="0" xfId="0" applyFont="1" applyFill="1" applyAlignment="1">
      <alignment vertical="center"/>
    </xf>
    <xf numFmtId="4" fontId="37" fillId="59" borderId="0" xfId="0" applyNumberFormat="1" applyFont="1" applyFill="1" applyAlignment="1">
      <alignment vertical="center"/>
    </xf>
    <xf numFmtId="0" fontId="20" fillId="59" borderId="0" xfId="0" applyFont="1" applyFill="1" applyAlignment="1">
      <alignment vertical="center"/>
    </xf>
    <xf numFmtId="0" fontId="37" fillId="59" borderId="0" xfId="0" applyFont="1" applyFill="1" applyAlignment="1">
      <alignment horizontal="left" vertical="center"/>
    </xf>
    <xf numFmtId="0" fontId="37" fillId="59" borderId="0" xfId="902" applyFont="1" applyFill="1" applyAlignment="1">
      <alignment vertical="center"/>
    </xf>
    <xf numFmtId="0" fontId="37" fillId="59" borderId="0" xfId="902" applyFont="1" applyFill="1"/>
    <xf numFmtId="0" fontId="20" fillId="59" borderId="0" xfId="0" applyFont="1" applyFill="1" applyAlignment="1">
      <alignment horizontal="center" vertical="center"/>
    </xf>
    <xf numFmtId="0" fontId="37" fillId="59" borderId="0" xfId="902" applyFont="1" applyFill="1" applyAlignment="1">
      <alignment horizontal="center" vertical="center"/>
    </xf>
    <xf numFmtId="0" fontId="83" fillId="59" borderId="0" xfId="0" applyFont="1" applyFill="1" applyAlignment="1">
      <alignment vertical="center"/>
    </xf>
    <xf numFmtId="2" fontId="83" fillId="59" borderId="0" xfId="0" applyNumberFormat="1" applyFont="1" applyFill="1" applyAlignment="1">
      <alignment vertical="center"/>
    </xf>
    <xf numFmtId="4" fontId="22" fillId="59" borderId="0" xfId="43" applyNumberFormat="1" applyFont="1" applyFill="1" applyAlignment="1" applyProtection="1">
      <alignment horizontal="center" vertical="center" wrapText="1"/>
      <protection locked="0"/>
    </xf>
    <xf numFmtId="4" fontId="22" fillId="59" borderId="0" xfId="43" applyNumberFormat="1" applyFont="1" applyFill="1" applyAlignment="1" applyProtection="1">
      <alignment vertical="center" wrapText="1"/>
      <protection locked="0"/>
    </xf>
    <xf numFmtId="4" fontId="22" fillId="59" borderId="0" xfId="43" applyNumberFormat="1" applyFont="1" applyFill="1" applyAlignment="1" applyProtection="1">
      <alignment vertical="center"/>
      <protection locked="0"/>
    </xf>
    <xf numFmtId="0" fontId="37" fillId="59" borderId="0" xfId="0" applyFont="1" applyFill="1" applyAlignment="1">
      <alignment horizontal="right" vertical="center" wrapText="1"/>
    </xf>
    <xf numFmtId="0" fontId="20" fillId="59" borderId="0" xfId="0" applyFont="1" applyFill="1" applyAlignment="1">
      <alignment vertical="top"/>
    </xf>
    <xf numFmtId="4" fontId="22" fillId="59" borderId="0" xfId="43" quotePrefix="1" applyNumberFormat="1" applyFont="1" applyFill="1" applyAlignment="1" applyProtection="1">
      <alignment vertical="center"/>
      <protection locked="0"/>
    </xf>
    <xf numFmtId="0" fontId="37" fillId="0" borderId="41" xfId="0" applyFont="1" applyBorder="1" applyAlignment="1">
      <alignment vertical="top"/>
    </xf>
    <xf numFmtId="0" fontId="37" fillId="59" borderId="0" xfId="0" applyFont="1" applyFill="1" applyAlignment="1">
      <alignment vertical="top"/>
    </xf>
    <xf numFmtId="0" fontId="37" fillId="85" borderId="0" xfId="0" applyFont="1" applyFill="1" applyAlignment="1">
      <alignment horizontal="center" vertical="center"/>
    </xf>
    <xf numFmtId="0" fontId="37" fillId="85" borderId="0" xfId="0" applyFont="1" applyFill="1" applyAlignment="1">
      <alignment vertical="center"/>
    </xf>
    <xf numFmtId="0" fontId="20" fillId="85" borderId="0" xfId="0" applyFont="1" applyFill="1" applyAlignment="1">
      <alignment vertical="center"/>
    </xf>
    <xf numFmtId="0" fontId="37" fillId="85" borderId="0" xfId="0" applyFont="1" applyFill="1" applyAlignment="1">
      <alignment horizontal="left" vertical="center"/>
    </xf>
    <xf numFmtId="4" fontId="37" fillId="85" borderId="0" xfId="0" applyNumberFormat="1" applyFont="1" applyFill="1" applyAlignment="1">
      <alignment vertical="center"/>
    </xf>
    <xf numFmtId="0" fontId="83" fillId="85" borderId="0" xfId="0" applyFont="1" applyFill="1" applyAlignment="1">
      <alignment vertical="center"/>
    </xf>
    <xf numFmtId="0" fontId="104" fillId="0" borderId="122" xfId="2272" applyFont="1" applyBorder="1" applyAlignment="1">
      <alignment vertical="center"/>
    </xf>
    <xf numFmtId="0" fontId="105" fillId="0" borderId="122" xfId="2272" applyFont="1" applyBorder="1" applyAlignment="1">
      <alignment vertical="center"/>
    </xf>
    <xf numFmtId="0" fontId="105" fillId="0" borderId="122" xfId="2272" applyFont="1" applyBorder="1"/>
    <xf numFmtId="0" fontId="105" fillId="0" borderId="84" xfId="2272" applyFont="1" applyBorder="1"/>
    <xf numFmtId="0" fontId="106" fillId="0" borderId="13" xfId="2272" applyFont="1" applyBorder="1" applyAlignment="1">
      <alignment vertical="center"/>
    </xf>
    <xf numFmtId="0" fontId="107" fillId="0" borderId="13" xfId="2272" applyFont="1" applyBorder="1" applyAlignment="1">
      <alignment vertical="center"/>
    </xf>
    <xf numFmtId="0" fontId="108" fillId="0" borderId="13" xfId="2272" applyFont="1" applyBorder="1" applyAlignment="1">
      <alignment vertical="center"/>
    </xf>
    <xf numFmtId="0" fontId="94" fillId="0" borderId="13" xfId="2272" applyFont="1" applyBorder="1" applyAlignment="1">
      <alignment horizontal="center" vertical="center"/>
    </xf>
    <xf numFmtId="0" fontId="108" fillId="0" borderId="85" xfId="2272" applyFont="1" applyBorder="1" applyAlignment="1">
      <alignment vertical="center"/>
    </xf>
    <xf numFmtId="0" fontId="137" fillId="0" borderId="13" xfId="2272" applyFont="1" applyBorder="1"/>
    <xf numFmtId="0" fontId="137" fillId="0" borderId="85" xfId="2272" applyFont="1" applyBorder="1"/>
    <xf numFmtId="179" fontId="137" fillId="0" borderId="13" xfId="2272" applyNumberFormat="1" applyFont="1" applyBorder="1"/>
    <xf numFmtId="0" fontId="1" fillId="0" borderId="0" xfId="2270" applyAlignment="1">
      <alignment vertical="top"/>
    </xf>
    <xf numFmtId="179" fontId="137" fillId="0" borderId="85" xfId="2272" applyNumberFormat="1" applyFont="1" applyBorder="1"/>
    <xf numFmtId="49" fontId="109" fillId="0" borderId="68" xfId="2272" applyNumberFormat="1" applyFont="1" applyBorder="1" applyAlignment="1">
      <alignment horizontal="right"/>
    </xf>
    <xf numFmtId="179" fontId="92" fillId="0" borderId="123" xfId="2272" applyNumberFormat="1" applyFont="1" applyBorder="1"/>
    <xf numFmtId="0" fontId="137" fillId="0" borderId="123" xfId="2272" applyFont="1" applyBorder="1"/>
    <xf numFmtId="0" fontId="92" fillId="0" borderId="123" xfId="2272" applyFont="1" applyBorder="1"/>
    <xf numFmtId="0" fontId="137" fillId="0" borderId="76" xfId="2272" applyFont="1" applyBorder="1"/>
    <xf numFmtId="49" fontId="109" fillId="0" borderId="70" xfId="2272" applyNumberFormat="1" applyFont="1" applyBorder="1" applyAlignment="1">
      <alignment horizontal="right"/>
    </xf>
    <xf numFmtId="179" fontId="92" fillId="0" borderId="124" xfId="2272" applyNumberFormat="1" applyFont="1" applyBorder="1"/>
    <xf numFmtId="0" fontId="137" fillId="0" borderId="124" xfId="2272" applyFont="1" applyBorder="1"/>
    <xf numFmtId="0" fontId="92" fillId="0" borderId="124" xfId="2272" applyFont="1" applyBorder="1"/>
    <xf numFmtId="0" fontId="137" fillId="0" borderId="69" xfId="2272" applyFont="1" applyBorder="1"/>
    <xf numFmtId="0" fontId="0" fillId="0" borderId="0" xfId="2270" applyFont="1"/>
    <xf numFmtId="49" fontId="109" fillId="0" borderId="0" xfId="2272" applyNumberFormat="1" applyFont="1" applyAlignment="1">
      <alignment horizontal="right"/>
    </xf>
    <xf numFmtId="179" fontId="92" fillId="0" borderId="0" xfId="2272" applyNumberFormat="1" applyFont="1"/>
    <xf numFmtId="9" fontId="1" fillId="0" borderId="0" xfId="1663" applyFill="1"/>
    <xf numFmtId="0" fontId="92" fillId="85" borderId="88" xfId="2272" applyFont="1" applyFill="1" applyBorder="1" applyAlignment="1">
      <alignment vertical="center"/>
    </xf>
    <xf numFmtId="0" fontId="92" fillId="85" borderId="89" xfId="2272" applyFont="1" applyFill="1" applyBorder="1" applyAlignment="1">
      <alignment vertical="center"/>
    </xf>
    <xf numFmtId="0" fontId="92" fillId="85" borderId="88" xfId="2272" applyFont="1" applyFill="1" applyBorder="1" applyAlignment="1">
      <alignment horizontal="center" vertical="center"/>
    </xf>
    <xf numFmtId="0" fontId="1" fillId="85" borderId="0" xfId="2270" applyFill="1"/>
    <xf numFmtId="0" fontId="105" fillId="85" borderId="88" xfId="2272" applyFont="1" applyFill="1" applyBorder="1" applyAlignment="1">
      <alignment horizontal="center" vertical="center"/>
    </xf>
    <xf numFmtId="9" fontId="1" fillId="85" borderId="0" xfId="1663" applyFill="1"/>
    <xf numFmtId="2" fontId="1" fillId="0" borderId="0" xfId="2270" applyNumberFormat="1"/>
    <xf numFmtId="0" fontId="136" fillId="0" borderId="0" xfId="2956"/>
    <xf numFmtId="0" fontId="138" fillId="0" borderId="0" xfId="0" applyFont="1" applyAlignment="1">
      <alignment horizontal="left" vertical="center"/>
    </xf>
    <xf numFmtId="0" fontId="0" fillId="0" borderId="0" xfId="0" applyAlignment="1">
      <alignment wrapText="1"/>
    </xf>
    <xf numFmtId="0" fontId="0" fillId="0" borderId="0" xfId="0" applyAlignment="1">
      <alignment horizontal="center" vertical="center"/>
    </xf>
    <xf numFmtId="0" fontId="37" fillId="86" borderId="0" xfId="0" applyFont="1" applyFill="1" applyAlignment="1">
      <alignment horizontal="center" vertical="center"/>
    </xf>
    <xf numFmtId="0" fontId="37" fillId="86" borderId="0" xfId="0" applyFont="1" applyFill="1" applyAlignment="1">
      <alignment vertical="center"/>
    </xf>
    <xf numFmtId="0" fontId="20" fillId="86" borderId="0" xfId="0" applyFont="1" applyFill="1" applyAlignment="1">
      <alignment vertical="center"/>
    </xf>
    <xf numFmtId="0" fontId="37" fillId="86" borderId="0" xfId="0" applyFont="1" applyFill="1" applyAlignment="1">
      <alignment horizontal="left" vertical="center"/>
    </xf>
    <xf numFmtId="4" fontId="37" fillId="86" borderId="0" xfId="0" applyNumberFormat="1" applyFont="1" applyFill="1" applyAlignment="1">
      <alignment vertical="center"/>
    </xf>
    <xf numFmtId="43" fontId="37" fillId="86" borderId="0" xfId="0" applyNumberFormat="1" applyFont="1" applyFill="1" applyAlignment="1">
      <alignment vertical="center"/>
    </xf>
    <xf numFmtId="0" fontId="37" fillId="86" borderId="0" xfId="0" applyFont="1" applyFill="1"/>
    <xf numFmtId="0" fontId="37" fillId="57" borderId="40" xfId="0" applyFont="1" applyFill="1" applyBorder="1" applyAlignment="1">
      <alignment horizontal="center" vertical="center" wrapText="1"/>
    </xf>
    <xf numFmtId="0" fontId="37" fillId="57" borderId="44" xfId="0" applyFont="1" applyFill="1" applyBorder="1" applyAlignment="1">
      <alignment horizontal="left" vertical="center" wrapText="1"/>
    </xf>
    <xf numFmtId="0" fontId="37" fillId="57" borderId="44" xfId="0" applyFont="1" applyFill="1" applyBorder="1" applyAlignment="1">
      <alignment horizontal="center" vertical="center" wrapText="1"/>
    </xf>
    <xf numFmtId="176" fontId="37" fillId="57" borderId="44" xfId="0" applyNumberFormat="1" applyFont="1" applyFill="1" applyBorder="1" applyAlignment="1">
      <alignment horizontal="center" vertical="center" wrapText="1"/>
    </xf>
    <xf numFmtId="4" fontId="37" fillId="57" borderId="44" xfId="0" applyNumberFormat="1" applyFont="1" applyFill="1" applyBorder="1" applyAlignment="1">
      <alignment horizontal="center" vertical="center" wrapText="1"/>
    </xf>
    <xf numFmtId="4" fontId="37" fillId="57" borderId="45" xfId="0" applyNumberFormat="1" applyFont="1" applyFill="1" applyBorder="1" applyAlignment="1">
      <alignment horizontal="center" vertical="center" wrapText="1"/>
    </xf>
    <xf numFmtId="0" fontId="37" fillId="87" borderId="0" xfId="0" applyFont="1" applyFill="1" applyAlignment="1">
      <alignment horizontal="center" vertical="center"/>
    </xf>
    <xf numFmtId="0" fontId="37" fillId="87" borderId="0" xfId="0" applyFont="1" applyFill="1" applyAlignment="1">
      <alignment vertical="center"/>
    </xf>
    <xf numFmtId="0" fontId="20" fillId="87" borderId="0" xfId="0" applyFont="1" applyFill="1" applyAlignment="1">
      <alignment vertical="center"/>
    </xf>
    <xf numFmtId="0" fontId="37" fillId="87" borderId="0" xfId="0" applyFont="1" applyFill="1" applyAlignment="1">
      <alignment horizontal="left" vertical="center"/>
    </xf>
    <xf numFmtId="4" fontId="37" fillId="87" borderId="0" xfId="0" applyNumberFormat="1" applyFont="1" applyFill="1" applyAlignment="1">
      <alignment vertical="center"/>
    </xf>
    <xf numFmtId="0" fontId="37" fillId="57" borderId="56" xfId="0" applyFont="1" applyFill="1" applyBorder="1" applyAlignment="1">
      <alignment horizontal="center" vertical="center" wrapText="1"/>
    </xf>
    <xf numFmtId="0" fontId="37" fillId="57" borderId="52" xfId="0" applyFont="1" applyFill="1" applyBorder="1" applyAlignment="1">
      <alignment horizontal="center" vertical="center" wrapText="1"/>
    </xf>
    <xf numFmtId="0" fontId="37" fillId="57" borderId="0" xfId="0" applyFont="1" applyFill="1" applyAlignment="1">
      <alignment horizontal="center" vertical="center"/>
    </xf>
    <xf numFmtId="0" fontId="37" fillId="57" borderId="0" xfId="0" applyFont="1" applyFill="1" applyAlignment="1">
      <alignment vertical="center"/>
    </xf>
    <xf numFmtId="0" fontId="37" fillId="57" borderId="0" xfId="0" applyFont="1" applyFill="1" applyAlignment="1">
      <alignment horizontal="left" vertical="center"/>
    </xf>
    <xf numFmtId="0" fontId="100" fillId="57" borderId="0" xfId="0" applyFont="1" applyFill="1" applyAlignment="1">
      <alignment horizontal="left" vertical="center"/>
    </xf>
    <xf numFmtId="0" fontId="37" fillId="87" borderId="0" xfId="0" applyFont="1" applyFill="1"/>
    <xf numFmtId="0" fontId="83" fillId="87" borderId="0" xfId="0" applyFont="1" applyFill="1" applyAlignment="1">
      <alignment vertical="top"/>
    </xf>
    <xf numFmtId="2" fontId="83" fillId="87" borderId="0" xfId="0" applyNumberFormat="1" applyFont="1" applyFill="1" applyAlignment="1">
      <alignment vertical="center"/>
    </xf>
    <xf numFmtId="0" fontId="83" fillId="87" borderId="0" xfId="0" applyFont="1" applyFill="1" applyAlignment="1">
      <alignment vertical="center"/>
    </xf>
    <xf numFmtId="186" fontId="37" fillId="87" borderId="0" xfId="0" applyNumberFormat="1" applyFont="1" applyFill="1" applyAlignment="1">
      <alignment vertical="center"/>
    </xf>
    <xf numFmtId="2" fontId="83" fillId="58" borderId="0" xfId="0" applyNumberFormat="1" applyFont="1" applyFill="1" applyAlignment="1">
      <alignment vertical="center"/>
    </xf>
    <xf numFmtId="0" fontId="37" fillId="58" borderId="0" xfId="0" applyFont="1" applyFill="1" applyAlignment="1">
      <alignment horizontal="left" vertical="center"/>
    </xf>
    <xf numFmtId="4" fontId="37" fillId="58" borderId="0" xfId="0" applyNumberFormat="1" applyFont="1" applyFill="1" applyAlignment="1">
      <alignment vertical="center"/>
    </xf>
    <xf numFmtId="0" fontId="37" fillId="0" borderId="0" xfId="0" applyFont="1" applyAlignment="1">
      <alignment horizontal="center" vertical="center" wrapText="1"/>
    </xf>
    <xf numFmtId="0" fontId="37" fillId="0" borderId="0" xfId="0" applyFont="1" applyAlignment="1">
      <alignment horizontal="center"/>
    </xf>
    <xf numFmtId="2" fontId="37" fillId="0" borderId="0" xfId="0" applyNumberFormat="1" applyFont="1"/>
    <xf numFmtId="4" fontId="80" fillId="58" borderId="0" xfId="0" applyNumberFormat="1" applyFont="1" applyFill="1" applyAlignment="1">
      <alignment horizontal="center" vertical="center" wrapText="1"/>
    </xf>
    <xf numFmtId="0" fontId="37" fillId="0" borderId="0" xfId="0" applyFont="1" applyAlignment="1">
      <alignment horizontal="left"/>
    </xf>
    <xf numFmtId="0" fontId="37" fillId="87" borderId="0" xfId="0" applyFont="1" applyFill="1" applyAlignment="1">
      <alignment vertical="top"/>
    </xf>
    <xf numFmtId="4" fontId="37" fillId="87" borderId="0" xfId="0" applyNumberFormat="1" applyFont="1" applyFill="1" applyAlignment="1">
      <alignment horizontal="center" vertical="center" wrapText="1"/>
    </xf>
    <xf numFmtId="0" fontId="37" fillId="87" borderId="0" xfId="0" applyFont="1" applyFill="1" applyAlignment="1">
      <alignment horizontal="center"/>
    </xf>
    <xf numFmtId="2" fontId="37" fillId="87" borderId="0" xfId="0" applyNumberFormat="1" applyFont="1" applyFill="1"/>
    <xf numFmtId="0" fontId="37" fillId="57" borderId="0" xfId="902" applyFont="1" applyFill="1" applyAlignment="1">
      <alignment horizontal="center" vertical="center"/>
    </xf>
    <xf numFmtId="43" fontId="37" fillId="57" borderId="0" xfId="902" applyNumberFormat="1" applyFont="1" applyFill="1" applyAlignment="1">
      <alignment vertical="center"/>
    </xf>
    <xf numFmtId="43" fontId="37" fillId="57" borderId="0" xfId="0" applyNumberFormat="1" applyFont="1" applyFill="1" applyAlignment="1">
      <alignment vertical="center"/>
    </xf>
    <xf numFmtId="0" fontId="37" fillId="57" borderId="0" xfId="902" applyFont="1" applyFill="1" applyAlignment="1">
      <alignment vertical="center"/>
    </xf>
    <xf numFmtId="0" fontId="37" fillId="57" borderId="0" xfId="902" applyFont="1" applyFill="1"/>
    <xf numFmtId="0" fontId="138" fillId="0" borderId="0" xfId="0" applyFont="1" applyAlignment="1">
      <alignment horizontal="center" vertical="center"/>
    </xf>
    <xf numFmtId="0" fontId="138" fillId="0" borderId="0" xfId="0" applyFont="1" applyAlignment="1">
      <alignment horizontal="left" wrapText="1"/>
    </xf>
    <xf numFmtId="4" fontId="138" fillId="0" borderId="0" xfId="0" applyNumberFormat="1" applyFont="1" applyAlignment="1">
      <alignment horizontal="center" vertical="center"/>
    </xf>
    <xf numFmtId="4" fontId="0" fillId="0" borderId="0" xfId="0" applyNumberFormat="1" applyAlignment="1">
      <alignment horizontal="center" vertical="center"/>
    </xf>
    <xf numFmtId="0" fontId="91" fillId="0" borderId="0" xfId="2530" applyFont="1" applyAlignment="1">
      <alignment horizontal="left" vertical="center" wrapText="1"/>
    </xf>
    <xf numFmtId="0" fontId="91" fillId="0" borderId="0" xfId="2530" applyFont="1" applyAlignment="1">
      <alignment horizontal="right" vertical="center" wrapText="1"/>
    </xf>
    <xf numFmtId="0" fontId="91" fillId="0" borderId="0" xfId="2530" applyFont="1" applyAlignment="1">
      <alignment horizontal="center" vertical="center" wrapText="1"/>
    </xf>
    <xf numFmtId="0" fontId="37" fillId="86" borderId="0" xfId="902" applyFont="1" applyFill="1" applyAlignment="1">
      <alignment horizontal="center" vertical="center"/>
    </xf>
    <xf numFmtId="0" fontId="37" fillId="86" borderId="0" xfId="902" applyFont="1" applyFill="1" applyAlignment="1">
      <alignment vertical="center"/>
    </xf>
    <xf numFmtId="0" fontId="37" fillId="86" borderId="0" xfId="902" applyFont="1" applyFill="1"/>
    <xf numFmtId="0" fontId="97" fillId="58" borderId="125" xfId="0" applyFont="1" applyFill="1" applyBorder="1" applyAlignment="1">
      <alignment vertical="center"/>
    </xf>
    <xf numFmtId="0" fontId="97" fillId="58" borderId="126" xfId="0" applyFont="1" applyFill="1" applyBorder="1" applyAlignment="1">
      <alignment vertical="center"/>
    </xf>
    <xf numFmtId="0" fontId="97" fillId="58" borderId="127" xfId="0" applyFont="1" applyFill="1" applyBorder="1" applyAlignment="1">
      <alignment vertical="center"/>
    </xf>
    <xf numFmtId="0" fontId="18" fillId="0" borderId="128" xfId="0" applyFont="1" applyBorder="1" applyAlignment="1">
      <alignment vertical="center"/>
    </xf>
    <xf numFmtId="0" fontId="18" fillId="0" borderId="129" xfId="0" applyFont="1" applyBorder="1" applyAlignment="1">
      <alignment vertical="center"/>
    </xf>
    <xf numFmtId="0" fontId="18" fillId="0" borderId="130" xfId="0" applyFont="1" applyBorder="1" applyAlignment="1">
      <alignment vertical="center"/>
    </xf>
    <xf numFmtId="0" fontId="18" fillId="0" borderId="24" xfId="0" applyFont="1" applyBorder="1" applyAlignment="1">
      <alignment vertical="center"/>
    </xf>
    <xf numFmtId="0" fontId="18" fillId="0" borderId="25" xfId="0" applyFont="1" applyBorder="1" applyAlignment="1">
      <alignment vertical="center"/>
    </xf>
    <xf numFmtId="0" fontId="18" fillId="0" borderId="26" xfId="0" applyFont="1" applyBorder="1" applyAlignment="1">
      <alignment vertical="center"/>
    </xf>
    <xf numFmtId="0" fontId="18" fillId="0" borderId="27" xfId="0" applyFont="1" applyBorder="1" applyAlignment="1">
      <alignment vertical="center"/>
    </xf>
    <xf numFmtId="0" fontId="18" fillId="0" borderId="0" xfId="0" applyFont="1" applyAlignment="1">
      <alignment vertical="center"/>
    </xf>
    <xf numFmtId="0" fontId="18" fillId="0" borderId="28" xfId="0" applyFont="1" applyBorder="1" applyAlignment="1">
      <alignment vertical="center"/>
    </xf>
    <xf numFmtId="0" fontId="18" fillId="0" borderId="29" xfId="0" applyFont="1" applyBorder="1" applyAlignment="1">
      <alignment vertical="center"/>
    </xf>
    <xf numFmtId="0" fontId="18" fillId="0" borderId="30" xfId="0" applyFont="1" applyBorder="1" applyAlignment="1">
      <alignment vertical="center"/>
    </xf>
    <xf numFmtId="0" fontId="18" fillId="0" borderId="31" xfId="0" applyFont="1" applyBorder="1" applyAlignment="1">
      <alignment vertical="center"/>
    </xf>
    <xf numFmtId="0" fontId="97" fillId="0" borderId="72" xfId="0" applyFont="1" applyBorder="1" applyAlignment="1">
      <alignment vertical="center"/>
    </xf>
    <xf numFmtId="0" fontId="97" fillId="0" borderId="73" xfId="0" applyFont="1" applyBorder="1" applyAlignment="1">
      <alignment vertical="center"/>
    </xf>
    <xf numFmtId="0" fontId="97" fillId="0" borderId="74" xfId="0" applyFont="1" applyBorder="1" applyAlignment="1">
      <alignment vertical="center"/>
    </xf>
    <xf numFmtId="0" fontId="18" fillId="0" borderId="32" xfId="0" applyFont="1" applyBorder="1" applyAlignment="1">
      <alignment vertical="center"/>
    </xf>
    <xf numFmtId="0" fontId="18" fillId="0" borderId="33" xfId="0" applyFont="1" applyBorder="1" applyAlignment="1">
      <alignment vertical="center"/>
    </xf>
    <xf numFmtId="0" fontId="18" fillId="0" borderId="34" xfId="0" applyFont="1" applyBorder="1" applyAlignment="1">
      <alignment vertical="center"/>
    </xf>
    <xf numFmtId="0" fontId="97" fillId="58" borderId="78" xfId="0" applyFont="1" applyFill="1" applyBorder="1" applyAlignment="1">
      <alignment vertical="center"/>
    </xf>
    <xf numFmtId="0" fontId="97" fillId="58" borderId="79" xfId="0" applyFont="1" applyFill="1" applyBorder="1" applyAlignment="1">
      <alignment vertical="center"/>
    </xf>
    <xf numFmtId="0" fontId="97" fillId="58" borderId="80" xfId="0" applyFont="1" applyFill="1" applyBorder="1" applyAlignment="1">
      <alignment vertical="center"/>
    </xf>
    <xf numFmtId="166" fontId="62" fillId="0" borderId="0" xfId="0" applyNumberFormat="1" applyFont="1"/>
    <xf numFmtId="164" fontId="62" fillId="0" borderId="0" xfId="0" applyNumberFormat="1" applyFont="1"/>
    <xf numFmtId="44" fontId="22" fillId="0" borderId="0" xfId="1956" applyFont="1" applyAlignment="1">
      <alignment vertical="top"/>
    </xf>
    <xf numFmtId="0" fontId="20" fillId="85" borderId="0" xfId="2530" applyFill="1" applyAlignment="1">
      <alignment vertical="center" wrapText="1"/>
    </xf>
    <xf numFmtId="0" fontId="20" fillId="85" borderId="0" xfId="2530" applyFill="1" applyAlignment="1">
      <alignment horizontal="right" vertical="center" wrapText="1"/>
    </xf>
    <xf numFmtId="0" fontId="90" fillId="85" borderId="0" xfId="1962" applyFill="1" applyAlignment="1">
      <alignment vertical="center" wrapText="1"/>
    </xf>
    <xf numFmtId="0" fontId="37" fillId="0" borderId="44" xfId="0" applyFont="1" applyBorder="1" applyAlignment="1">
      <alignment horizontal="left" vertical="center" wrapText="1"/>
    </xf>
    <xf numFmtId="0" fontId="37" fillId="0" borderId="44" xfId="0" applyFont="1" applyBorder="1" applyAlignment="1">
      <alignment horizontal="center" vertical="center" wrapText="1"/>
    </xf>
    <xf numFmtId="4" fontId="37" fillId="0" borderId="44" xfId="0" applyNumberFormat="1" applyFont="1" applyBorder="1" applyAlignment="1">
      <alignment horizontal="center" vertical="center" wrapText="1"/>
    </xf>
    <xf numFmtId="4" fontId="37" fillId="0" borderId="44" xfId="1961" applyNumberFormat="1" applyFont="1" applyFill="1" applyBorder="1" applyAlignment="1">
      <alignment horizontal="center" vertical="center" wrapText="1"/>
    </xf>
    <xf numFmtId="10" fontId="37" fillId="0" borderId="44" xfId="1663" applyNumberFormat="1" applyFont="1" applyFill="1" applyBorder="1" applyAlignment="1">
      <alignment horizontal="center" vertical="center" wrapText="1"/>
    </xf>
    <xf numFmtId="4" fontId="80" fillId="0" borderId="3" xfId="0" applyNumberFormat="1" applyFont="1" applyBorder="1" applyAlignment="1">
      <alignment horizontal="center" vertical="center" wrapText="1"/>
    </xf>
    <xf numFmtId="0" fontId="80" fillId="0" borderId="41" xfId="0" applyFont="1" applyBorder="1" applyAlignment="1">
      <alignment vertical="center"/>
    </xf>
    <xf numFmtId="0" fontId="80" fillId="0" borderId="37" xfId="0" applyFont="1" applyBorder="1" applyAlignment="1">
      <alignment vertical="center"/>
    </xf>
    <xf numFmtId="0" fontId="37" fillId="0" borderId="40" xfId="902" applyFont="1" applyBorder="1" applyAlignment="1">
      <alignment horizontal="center" vertical="center" wrapText="1"/>
    </xf>
    <xf numFmtId="4" fontId="37" fillId="0" borderId="44" xfId="902" applyNumberFormat="1" applyFont="1" applyBorder="1" applyAlignment="1">
      <alignment horizontal="center" vertical="center" wrapText="1"/>
    </xf>
    <xf numFmtId="3" fontId="37" fillId="0" borderId="40" xfId="902" applyNumberFormat="1" applyFont="1" applyBorder="1" applyAlignment="1">
      <alignment horizontal="center" vertical="center" wrapText="1"/>
    </xf>
    <xf numFmtId="0" fontId="80" fillId="0" borderId="0" xfId="0" applyFont="1" applyAlignment="1">
      <alignment horizontal="center" vertical="center"/>
    </xf>
    <xf numFmtId="176" fontId="37" fillId="0" borderId="44" xfId="0" applyNumberFormat="1" applyFont="1" applyBorder="1" applyAlignment="1">
      <alignment horizontal="center" vertical="center" wrapText="1"/>
    </xf>
    <xf numFmtId="4" fontId="37" fillId="0" borderId="45" xfId="0" applyNumberFormat="1" applyFont="1" applyBorder="1" applyAlignment="1">
      <alignment horizontal="center" vertical="center" wrapText="1"/>
    </xf>
    <xf numFmtId="174" fontId="37" fillId="0" borderId="44" xfId="0" applyNumberFormat="1" applyFont="1" applyBorder="1" applyAlignment="1">
      <alignment horizontal="center" vertical="center" wrapText="1"/>
    </xf>
    <xf numFmtId="179" fontId="37" fillId="0" borderId="131" xfId="0" applyNumberFormat="1" applyFont="1" applyBorder="1" applyAlignment="1">
      <alignment horizontal="center" vertical="center" wrapText="1"/>
    </xf>
    <xf numFmtId="179" fontId="37" fillId="0" borderId="132" xfId="0" applyNumberFormat="1" applyFont="1" applyBorder="1" applyAlignment="1">
      <alignment horizontal="center" vertical="center" wrapText="1"/>
    </xf>
    <xf numFmtId="171" fontId="37" fillId="0" borderId="44" xfId="0" applyNumberFormat="1" applyFont="1" applyBorder="1" applyAlignment="1">
      <alignment horizontal="center" vertical="center" wrapText="1"/>
    </xf>
    <xf numFmtId="186" fontId="37" fillId="0" borderId="44" xfId="0" applyNumberFormat="1" applyFont="1" applyBorder="1" applyAlignment="1">
      <alignment horizontal="center" vertical="center" wrapText="1"/>
    </xf>
    <xf numFmtId="0" fontId="20" fillId="0" borderId="40" xfId="0" applyFont="1" applyBorder="1" applyAlignment="1">
      <alignment horizontal="center" vertical="center" wrapText="1"/>
    </xf>
    <xf numFmtId="173" fontId="37" fillId="0" borderId="44" xfId="0" applyNumberFormat="1" applyFont="1" applyBorder="1" applyAlignment="1">
      <alignment horizontal="center" vertical="center" wrapText="1"/>
    </xf>
    <xf numFmtId="188" fontId="37" fillId="0" borderId="44" xfId="0" applyNumberFormat="1" applyFont="1" applyBorder="1" applyAlignment="1">
      <alignment horizontal="center" vertical="center" wrapText="1"/>
    </xf>
    <xf numFmtId="186" fontId="20" fillId="0" borderId="44" xfId="0" applyNumberFormat="1" applyFont="1" applyBorder="1" applyAlignment="1">
      <alignment horizontal="center" vertical="center" wrapText="1"/>
    </xf>
    <xf numFmtId="49" fontId="21" fillId="0" borderId="1" xfId="43" applyNumberFormat="1" applyFont="1" applyBorder="1" applyAlignment="1">
      <alignment horizontal="center" vertical="center" wrapText="1"/>
    </xf>
    <xf numFmtId="49" fontId="21" fillId="0" borderId="58" xfId="43" applyNumberFormat="1" applyFont="1" applyBorder="1" applyAlignment="1">
      <alignment horizontal="left" vertical="center" wrapText="1"/>
    </xf>
    <xf numFmtId="0" fontId="21" fillId="0" borderId="3" xfId="43" applyFont="1" applyBorder="1" applyAlignment="1">
      <alignment horizontal="center" vertical="center" wrapText="1"/>
    </xf>
    <xf numFmtId="0" fontId="21" fillId="0" borderId="49" xfId="43" applyFont="1" applyBorder="1" applyAlignment="1">
      <alignment horizontal="center" vertical="center" wrapText="1"/>
    </xf>
    <xf numFmtId="2" fontId="21" fillId="0" borderId="3" xfId="43" applyNumberFormat="1" applyFont="1" applyBorder="1" applyAlignment="1">
      <alignment horizontal="center" vertical="center" wrapText="1"/>
    </xf>
    <xf numFmtId="49" fontId="21" fillId="0" borderId="59" xfId="43" applyNumberFormat="1" applyFont="1" applyBorder="1" applyAlignment="1">
      <alignment horizontal="center" vertical="center" wrapText="1"/>
    </xf>
    <xf numFmtId="49" fontId="21" fillId="0" borderId="60" xfId="43" applyNumberFormat="1" applyFont="1" applyBorder="1" applyAlignment="1">
      <alignment horizontal="left" vertical="center" wrapText="1"/>
    </xf>
    <xf numFmtId="44" fontId="21" fillId="0" borderId="3" xfId="2258" applyFont="1" applyFill="1" applyBorder="1" applyAlignment="1" applyProtection="1">
      <alignment horizontal="center" vertical="center" wrapText="1"/>
    </xf>
    <xf numFmtId="44" fontId="21" fillId="0" borderId="3" xfId="1956" applyFont="1" applyFill="1" applyBorder="1" applyAlignment="1" applyProtection="1">
      <alignment horizontal="center" vertical="center" wrapText="1"/>
    </xf>
    <xf numFmtId="4" fontId="21" fillId="0" borderId="3" xfId="43" applyNumberFormat="1" applyFont="1" applyBorder="1" applyAlignment="1">
      <alignment horizontal="center" vertical="center" wrapText="1"/>
    </xf>
    <xf numFmtId="14" fontId="21" fillId="0" borderId="3" xfId="43" applyNumberFormat="1" applyFont="1" applyBorder="1" applyAlignment="1">
      <alignment horizontal="center" vertical="center" wrapText="1"/>
    </xf>
    <xf numFmtId="49" fontId="21" fillId="0" borderId="57" xfId="43" applyNumberFormat="1" applyFont="1" applyBorder="1" applyAlignment="1">
      <alignment horizontal="center" vertical="center" wrapText="1"/>
    </xf>
    <xf numFmtId="49" fontId="21" fillId="0" borderId="61" xfId="43" applyNumberFormat="1" applyFont="1" applyBorder="1" applyAlignment="1">
      <alignment horizontal="left" vertical="center" wrapText="1"/>
    </xf>
    <xf numFmtId="0" fontId="21" fillId="0" borderId="0" xfId="0" applyFont="1" applyAlignment="1">
      <alignment horizontal="center" vertical="center"/>
    </xf>
    <xf numFmtId="1" fontId="21" fillId="0" borderId="3" xfId="43" applyNumberFormat="1" applyFont="1" applyBorder="1" applyAlignment="1">
      <alignment horizontal="center" vertical="center" wrapText="1"/>
    </xf>
    <xf numFmtId="0" fontId="65" fillId="0" borderId="50" xfId="0" applyFont="1" applyBorder="1" applyAlignment="1">
      <alignment horizontal="center" vertical="center"/>
    </xf>
    <xf numFmtId="0" fontId="65" fillId="0" borderId="51" xfId="0" applyFont="1" applyBorder="1" applyAlignment="1">
      <alignment horizontal="center" vertical="center"/>
    </xf>
    <xf numFmtId="174" fontId="22" fillId="0" borderId="0" xfId="1057" applyNumberFormat="1" applyFont="1" applyAlignment="1">
      <alignment horizontal="center" vertical="center"/>
    </xf>
    <xf numFmtId="0" fontId="20" fillId="0" borderId="3" xfId="43" applyBorder="1" applyAlignment="1">
      <alignment horizontal="left" vertical="center" wrapText="1"/>
    </xf>
    <xf numFmtId="0" fontId="134" fillId="33" borderId="0" xfId="2530" applyFont="1" applyFill="1" applyAlignment="1">
      <alignment horizontal="center" vertical="top" wrapText="1"/>
    </xf>
    <xf numFmtId="0" fontId="0" fillId="57" borderId="28" xfId="0" applyFill="1" applyBorder="1" applyAlignment="1">
      <alignment vertical="center"/>
    </xf>
    <xf numFmtId="0" fontId="60" fillId="57" borderId="0" xfId="0" applyFont="1" applyFill="1" applyAlignment="1">
      <alignment horizontal="center" vertical="center" wrapText="1"/>
    </xf>
    <xf numFmtId="17" fontId="60" fillId="0" borderId="28" xfId="0" applyNumberFormat="1" applyFont="1" applyBorder="1" applyAlignment="1">
      <alignment horizontal="left" vertical="center"/>
    </xf>
    <xf numFmtId="0" fontId="60" fillId="0" borderId="0" xfId="0" applyFont="1" applyAlignment="1">
      <alignment horizontal="left" vertical="center" wrapText="1"/>
    </xf>
    <xf numFmtId="0" fontId="60" fillId="0" borderId="28" xfId="0" applyFont="1" applyBorder="1" applyAlignment="1">
      <alignment horizontal="left" vertical="center"/>
    </xf>
    <xf numFmtId="0" fontId="60" fillId="0" borderId="33" xfId="0" applyFont="1" applyBorder="1" applyAlignment="1">
      <alignment horizontal="justify" vertical="center" wrapText="1"/>
    </xf>
    <xf numFmtId="0" fontId="60" fillId="0" borderId="34" xfId="0" applyFont="1" applyBorder="1" applyAlignment="1">
      <alignment horizontal="justify" vertical="center" wrapText="1"/>
    </xf>
    <xf numFmtId="0" fontId="60" fillId="0" borderId="28" xfId="0" applyFont="1" applyBorder="1" applyAlignment="1">
      <alignment horizontal="justify" vertical="center" wrapText="1"/>
    </xf>
    <xf numFmtId="0" fontId="60" fillId="57" borderId="30" xfId="0" applyFont="1" applyFill="1" applyBorder="1" applyAlignment="1">
      <alignment horizontal="left" vertical="center" wrapText="1"/>
    </xf>
    <xf numFmtId="0" fontId="60" fillId="57" borderId="31" xfId="0" applyFont="1" applyFill="1" applyBorder="1" applyAlignment="1">
      <alignment horizontal="left" vertical="center"/>
    </xf>
    <xf numFmtId="0" fontId="63" fillId="0" borderId="24" xfId="0" applyFont="1" applyBorder="1" applyAlignment="1">
      <alignment horizontal="left" vertical="center"/>
    </xf>
    <xf numFmtId="0" fontId="63" fillId="0" borderId="25" xfId="0" applyFont="1" applyBorder="1" applyAlignment="1">
      <alignment horizontal="left" vertical="center"/>
    </xf>
    <xf numFmtId="0" fontId="63" fillId="0" borderId="26" xfId="0" applyFont="1" applyBorder="1" applyAlignment="1">
      <alignment horizontal="left" vertical="center"/>
    </xf>
    <xf numFmtId="0" fontId="60" fillId="0" borderId="27" xfId="0" applyFont="1" applyBorder="1" applyAlignment="1">
      <alignment horizontal="left" vertical="center"/>
    </xf>
    <xf numFmtId="0" fontId="54" fillId="0" borderId="29" xfId="0" applyFont="1" applyBorder="1" applyAlignment="1">
      <alignment horizontal="left" vertical="center"/>
    </xf>
    <xf numFmtId="0" fontId="0" fillId="0" borderId="30" xfId="0" applyBorder="1"/>
    <xf numFmtId="49" fontId="60" fillId="0" borderId="0" xfId="0" applyNumberFormat="1" applyFont="1" applyAlignment="1">
      <alignment horizontal="left" vertical="center"/>
    </xf>
    <xf numFmtId="49" fontId="60" fillId="0" borderId="28" xfId="0" applyNumberFormat="1" applyFont="1" applyBorder="1" applyAlignment="1">
      <alignment horizontal="left" vertical="center"/>
    </xf>
    <xf numFmtId="0" fontId="50" fillId="0" borderId="0" xfId="0" applyFont="1" applyAlignment="1">
      <alignment horizontal="center" vertical="center" wrapText="1"/>
    </xf>
    <xf numFmtId="0" fontId="50" fillId="0" borderId="0" xfId="0" applyFont="1" applyAlignment="1">
      <alignment horizontal="center" vertical="center"/>
    </xf>
    <xf numFmtId="0" fontId="54" fillId="0" borderId="27" xfId="1664" applyFont="1" applyBorder="1" applyAlignment="1">
      <alignment horizontal="center"/>
    </xf>
    <xf numFmtId="0" fontId="54" fillId="0" borderId="28" xfId="1664" applyFont="1" applyBorder="1" applyAlignment="1">
      <alignment horizontal="center"/>
    </xf>
    <xf numFmtId="0" fontId="54" fillId="0" borderId="27" xfId="1664" applyFont="1" applyBorder="1" applyAlignment="1">
      <alignment horizontal="center" wrapText="1"/>
    </xf>
    <xf numFmtId="0" fontId="54" fillId="0" borderId="28" xfId="1664" applyFont="1" applyBorder="1" applyAlignment="1">
      <alignment horizontal="center" wrapText="1"/>
    </xf>
    <xf numFmtId="0" fontId="55" fillId="0" borderId="27" xfId="0" applyFont="1" applyBorder="1" applyAlignment="1">
      <alignment horizontal="center"/>
    </xf>
    <xf numFmtId="0" fontId="55" fillId="0" borderId="28" xfId="0" applyFont="1"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49" fontId="60" fillId="0" borderId="25" xfId="0" applyNumberFormat="1" applyFont="1" applyBorder="1" applyAlignment="1">
      <alignment horizontal="left" vertical="center"/>
    </xf>
    <xf numFmtId="49" fontId="60" fillId="0" borderId="26" xfId="0" applyNumberFormat="1" applyFont="1" applyBorder="1" applyAlignment="1">
      <alignment horizontal="left" vertical="center"/>
    </xf>
    <xf numFmtId="49" fontId="60" fillId="0" borderId="0" xfId="0" applyNumberFormat="1" applyFont="1" applyAlignment="1">
      <alignment horizontal="left" vertical="center" wrapText="1"/>
    </xf>
    <xf numFmtId="49" fontId="60" fillId="0" borderId="28" xfId="0" applyNumberFormat="1" applyFont="1" applyBorder="1" applyAlignment="1">
      <alignment horizontal="left" vertical="center" wrapText="1"/>
    </xf>
    <xf numFmtId="0" fontId="0" fillId="0" borderId="28" xfId="0" applyBorder="1"/>
    <xf numFmtId="0" fontId="60" fillId="0" borderId="0" xfId="0" applyFont="1" applyAlignment="1">
      <alignment horizontal="center" vertical="center" wrapText="1"/>
    </xf>
    <xf numFmtId="0" fontId="59" fillId="0" borderId="0" xfId="0" applyFont="1" applyAlignment="1">
      <alignment horizontal="center" vertical="center" wrapText="1"/>
    </xf>
    <xf numFmtId="0" fontId="60" fillId="0" borderId="0" xfId="0" applyFont="1" applyAlignment="1">
      <alignment horizontal="left" vertical="center"/>
    </xf>
    <xf numFmtId="0" fontId="82" fillId="0" borderId="0" xfId="0" applyFont="1" applyAlignment="1">
      <alignment horizontal="center" vertical="top" wrapText="1"/>
    </xf>
    <xf numFmtId="0" fontId="77" fillId="0" borderId="0" xfId="0" applyFont="1" applyAlignment="1">
      <alignment horizontal="center"/>
    </xf>
    <xf numFmtId="0" fontId="59" fillId="0" borderId="35" xfId="0" applyFont="1" applyBorder="1" applyAlignment="1">
      <alignment horizontal="center" vertical="center" wrapText="1"/>
    </xf>
    <xf numFmtId="0" fontId="20" fillId="0" borderId="0" xfId="0" applyFont="1" applyAlignment="1">
      <alignment horizontal="center" vertical="center"/>
    </xf>
    <xf numFmtId="0" fontId="82" fillId="0" borderId="0" xfId="0" applyFont="1" applyAlignment="1">
      <alignment horizontal="center" vertical="center" wrapText="1"/>
    </xf>
    <xf numFmtId="0" fontId="77" fillId="0" borderId="0" xfId="0" applyFont="1" applyAlignment="1">
      <alignment horizontal="center" vertical="center"/>
    </xf>
    <xf numFmtId="0" fontId="37" fillId="0" borderId="41"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0" xfId="0" applyFont="1" applyAlignment="1">
      <alignment horizontal="center" vertical="center"/>
    </xf>
    <xf numFmtId="0" fontId="60" fillId="0" borderId="0" xfId="0" applyFont="1" applyAlignment="1">
      <alignment horizontal="center" vertical="center"/>
    </xf>
    <xf numFmtId="0" fontId="20" fillId="59" borderId="0" xfId="0" applyFont="1" applyFill="1" applyAlignment="1">
      <alignment horizontal="left" vertical="center" wrapText="1"/>
    </xf>
    <xf numFmtId="0" fontId="37" fillId="0" borderId="41"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1" xfId="0" applyFont="1" applyBorder="1" applyAlignment="1">
      <alignment horizontal="left" vertical="center" wrapText="1"/>
    </xf>
    <xf numFmtId="0" fontId="37" fillId="0" borderId="42" xfId="0" applyFont="1" applyBorder="1" applyAlignment="1">
      <alignment horizontal="left" vertical="center" wrapText="1"/>
    </xf>
    <xf numFmtId="0" fontId="37" fillId="0" borderId="43" xfId="0" applyFont="1" applyBorder="1" applyAlignment="1">
      <alignment horizontal="left" vertical="center" wrapText="1"/>
    </xf>
    <xf numFmtId="0" fontId="21" fillId="0" borderId="49" xfId="43" applyFont="1" applyBorder="1" applyAlignment="1">
      <alignment horizontal="center" vertical="center" wrapText="1"/>
    </xf>
    <xf numFmtId="0" fontId="21" fillId="0" borderId="50" xfId="43" applyFont="1" applyBorder="1" applyAlignment="1">
      <alignment horizontal="center" vertical="center" wrapText="1"/>
    </xf>
    <xf numFmtId="0" fontId="21" fillId="0" borderId="51" xfId="43" applyFont="1" applyBorder="1" applyAlignment="1">
      <alignment horizontal="center" vertical="center" wrapText="1"/>
    </xf>
    <xf numFmtId="0" fontId="17" fillId="33" borderId="86" xfId="2270" applyFont="1" applyFill="1" applyBorder="1" applyAlignment="1">
      <alignment horizontal="center" vertical="center"/>
    </xf>
    <xf numFmtId="0" fontId="17" fillId="33" borderId="87" xfId="2270" applyFont="1" applyFill="1" applyBorder="1" applyAlignment="1">
      <alignment horizontal="center" vertical="center"/>
    </xf>
    <xf numFmtId="0" fontId="103" fillId="0" borderId="0" xfId="2270" applyFont="1" applyAlignment="1">
      <alignment horizontal="center"/>
    </xf>
    <xf numFmtId="0" fontId="1" fillId="0" borderId="0" xfId="2270" applyAlignment="1">
      <alignment horizontal="center" vertical="center" wrapText="1"/>
    </xf>
    <xf numFmtId="0" fontId="17" fillId="0" borderId="90" xfId="2270" applyFont="1" applyBorder="1" applyAlignment="1">
      <alignment horizontal="center" vertical="center"/>
    </xf>
    <xf numFmtId="0" fontId="17" fillId="0" borderId="91" xfId="2270" applyFont="1" applyBorder="1" applyAlignment="1">
      <alignment horizontal="center" vertical="center"/>
    </xf>
    <xf numFmtId="0" fontId="60" fillId="0" borderId="0" xfId="0" applyFont="1" applyAlignment="1">
      <alignment horizontal="center" vertical="top" wrapText="1"/>
    </xf>
    <xf numFmtId="0" fontId="21" fillId="0" borderId="110" xfId="1057" applyFont="1" applyBorder="1" applyAlignment="1">
      <alignment horizontal="center" vertical="center" wrapText="1"/>
    </xf>
    <xf numFmtId="0" fontId="21" fillId="0" borderId="53" xfId="1057" applyFont="1" applyBorder="1" applyAlignment="1">
      <alignment horizontal="center" vertical="center" wrapText="1"/>
    </xf>
    <xf numFmtId="0" fontId="21" fillId="0" borderId="116" xfId="1057" applyFont="1" applyBorder="1" applyAlignment="1">
      <alignment horizontal="center" vertical="center" wrapText="1"/>
    </xf>
    <xf numFmtId="0" fontId="21" fillId="0" borderId="51" xfId="1057" applyFont="1" applyBorder="1" applyAlignment="1">
      <alignment horizontal="center" vertical="center"/>
    </xf>
    <xf numFmtId="0" fontId="21" fillId="0" borderId="3" xfId="1057" applyFont="1" applyBorder="1" applyAlignment="1">
      <alignment horizontal="center" vertical="center"/>
    </xf>
    <xf numFmtId="0" fontId="21" fillId="0" borderId="49" xfId="1057" applyFont="1" applyBorder="1" applyAlignment="1">
      <alignment horizontal="center" vertical="center"/>
    </xf>
    <xf numFmtId="39" fontId="24" fillId="0" borderId="51" xfId="1401" applyNumberFormat="1" applyFont="1" applyFill="1" applyBorder="1" applyAlignment="1">
      <alignment horizontal="center" vertical="center"/>
    </xf>
    <xf numFmtId="39" fontId="24" fillId="0" borderId="3" xfId="1401" applyNumberFormat="1" applyFont="1" applyFill="1" applyBorder="1" applyAlignment="1">
      <alignment horizontal="center" vertical="center"/>
    </xf>
    <xf numFmtId="39" fontId="24" fillId="0" borderId="49" xfId="1401" applyNumberFormat="1" applyFont="1" applyFill="1" applyBorder="1" applyAlignment="1">
      <alignment horizontal="center" vertical="center"/>
    </xf>
    <xf numFmtId="0" fontId="21" fillId="0" borderId="117" xfId="1057" applyFont="1" applyBorder="1" applyAlignment="1">
      <alignment horizontal="center" vertical="center" wrapText="1"/>
    </xf>
    <xf numFmtId="0" fontId="21" fillId="0" borderId="118" xfId="1057" applyFont="1" applyBorder="1" applyAlignment="1">
      <alignment horizontal="center" vertical="center" wrapText="1"/>
    </xf>
    <xf numFmtId="0" fontId="21" fillId="0" borderId="111" xfId="1057" applyFont="1" applyBorder="1" applyAlignment="1">
      <alignment horizontal="center" vertical="center"/>
    </xf>
    <xf numFmtId="0" fontId="21" fillId="0" borderId="114" xfId="1057" applyFont="1" applyBorder="1" applyAlignment="1">
      <alignment horizontal="center" vertical="center"/>
    </xf>
    <xf numFmtId="39" fontId="24" fillId="0" borderId="111" xfId="1401" applyNumberFormat="1" applyFont="1" applyFill="1" applyBorder="1" applyAlignment="1">
      <alignment horizontal="center" vertical="center"/>
    </xf>
    <xf numFmtId="39" fontId="24" fillId="0" borderId="114" xfId="1401" applyNumberFormat="1" applyFont="1" applyFill="1" applyBorder="1" applyAlignment="1">
      <alignment horizontal="center" vertical="center"/>
    </xf>
    <xf numFmtId="14" fontId="132" fillId="0" borderId="0" xfId="0" applyNumberFormat="1" applyFont="1" applyAlignment="1">
      <alignment horizontal="center" vertical="center"/>
    </xf>
    <xf numFmtId="0" fontId="132" fillId="0" borderId="0" xfId="0" applyFont="1" applyAlignment="1">
      <alignment horizontal="center" vertical="center"/>
    </xf>
    <xf numFmtId="39" fontId="24" fillId="0" borderId="51" xfId="1401" applyNumberFormat="1" applyFont="1" applyFill="1" applyBorder="1" applyAlignment="1">
      <alignment horizontal="center" vertical="center" wrapText="1"/>
    </xf>
    <xf numFmtId="39" fontId="24" fillId="0" borderId="3" xfId="1401" applyNumberFormat="1" applyFont="1" applyFill="1" applyBorder="1" applyAlignment="1">
      <alignment horizontal="center" vertical="center" wrapText="1"/>
    </xf>
    <xf numFmtId="39" fontId="24" fillId="0" borderId="55" xfId="1401" applyNumberFormat="1" applyFont="1" applyFill="1" applyBorder="1" applyAlignment="1">
      <alignment horizontal="center" vertical="center" wrapText="1"/>
    </xf>
    <xf numFmtId="0" fontId="24" fillId="0" borderId="0" xfId="799" applyFont="1" applyAlignment="1">
      <alignment horizontal="center" vertical="center"/>
    </xf>
    <xf numFmtId="0" fontId="24" fillId="0" borderId="0" xfId="799" applyFont="1" applyAlignment="1">
      <alignment horizontal="center" vertical="center" wrapText="1"/>
    </xf>
    <xf numFmtId="0" fontId="24" fillId="0" borderId="0" xfId="799" applyFont="1" applyAlignment="1">
      <alignment horizontal="left" vertical="top" wrapText="1"/>
    </xf>
    <xf numFmtId="0" fontId="49" fillId="56" borderId="0" xfId="953" applyFont="1" applyFill="1" applyAlignment="1">
      <alignment horizontal="center" vertical="top"/>
    </xf>
    <xf numFmtId="0" fontId="73" fillId="0" borderId="0" xfId="0" applyFont="1" applyAlignment="1">
      <alignment horizontal="center" vertical="center" wrapText="1"/>
    </xf>
    <xf numFmtId="0" fontId="17" fillId="0" borderId="0" xfId="799" applyFont="1" applyAlignment="1">
      <alignment horizontal="center" vertical="center"/>
    </xf>
    <xf numFmtId="0" fontId="25" fillId="0" borderId="0" xfId="953" applyFont="1" applyAlignment="1">
      <alignment horizontal="center" vertical="top"/>
    </xf>
    <xf numFmtId="0" fontId="92" fillId="57" borderId="0" xfId="0" applyFont="1" applyFill="1" applyAlignment="1">
      <alignment horizontal="left" vertical="center"/>
    </xf>
    <xf numFmtId="0" fontId="93" fillId="57" borderId="0" xfId="0" applyFont="1" applyFill="1" applyAlignment="1">
      <alignment horizontal="center" vertical="center"/>
    </xf>
    <xf numFmtId="0" fontId="92" fillId="57" borderId="0" xfId="0" applyFont="1" applyFill="1" applyAlignment="1">
      <alignment horizontal="center" vertical="center" wrapText="1"/>
    </xf>
    <xf numFmtId="0" fontId="95" fillId="57" borderId="0" xfId="0" applyFont="1" applyFill="1" applyAlignment="1" applyProtection="1">
      <alignment horizontal="center" vertical="center"/>
      <protection locked="0"/>
    </xf>
    <xf numFmtId="0" fontId="18" fillId="0" borderId="68" xfId="0" applyFont="1" applyBorder="1" applyAlignment="1">
      <alignment horizontal="center" vertical="center"/>
    </xf>
    <xf numFmtId="0" fontId="18" fillId="0" borderId="70" xfId="0" applyFont="1" applyBorder="1" applyAlignment="1">
      <alignment horizontal="center" vertical="center"/>
    </xf>
    <xf numFmtId="0" fontId="18" fillId="0" borderId="71" xfId="0" applyFont="1" applyBorder="1" applyAlignment="1">
      <alignment horizontal="center" vertical="center"/>
    </xf>
    <xf numFmtId="0" fontId="97" fillId="57" borderId="0" xfId="0" applyFont="1" applyFill="1" applyAlignment="1">
      <alignment horizontal="center" vertical="center"/>
    </xf>
    <xf numFmtId="0" fontId="92" fillId="57" borderId="0" xfId="0" applyFont="1" applyFill="1" applyAlignment="1">
      <alignment horizontal="right" vertical="center"/>
    </xf>
    <xf numFmtId="0" fontId="98" fillId="57" borderId="0" xfId="0" applyFont="1" applyFill="1" applyAlignment="1">
      <alignment horizontal="right" vertical="center"/>
    </xf>
    <xf numFmtId="0" fontId="98" fillId="57" borderId="0" xfId="0" applyFont="1" applyFill="1" applyAlignment="1">
      <alignment vertical="center"/>
    </xf>
    <xf numFmtId="0" fontId="92" fillId="57" borderId="0" xfId="0" applyFont="1" applyFill="1" applyAlignment="1">
      <alignment horizontal="center" vertical="center"/>
    </xf>
    <xf numFmtId="0" fontId="98" fillId="57" borderId="0" xfId="0" applyFont="1" applyFill="1" applyAlignment="1">
      <alignment horizontal="left" vertical="center"/>
    </xf>
    <xf numFmtId="0" fontId="100" fillId="57" borderId="0" xfId="0" applyFont="1" applyFill="1" applyAlignment="1">
      <alignment horizontal="left" vertical="center"/>
    </xf>
    <xf numFmtId="0" fontId="100" fillId="57" borderId="0" xfId="0" applyFont="1" applyFill="1" applyAlignment="1">
      <alignment horizontal="left" vertical="center" wrapText="1"/>
    </xf>
    <xf numFmtId="0" fontId="18" fillId="57" borderId="0" xfId="0" applyFont="1" applyFill="1" applyAlignment="1">
      <alignment horizontal="left" vertical="center"/>
    </xf>
    <xf numFmtId="4" fontId="85" fillId="33" borderId="133" xfId="1057" applyNumberFormat="1" applyFont="1" applyFill="1" applyBorder="1" applyAlignment="1">
      <alignment horizontal="center" vertical="center" wrapText="1"/>
    </xf>
    <xf numFmtId="10" fontId="20" fillId="0" borderId="134" xfId="1187" applyNumberFormat="1" applyFont="1" applyFill="1" applyBorder="1" applyAlignment="1">
      <alignment horizontal="center" vertical="center"/>
    </xf>
    <xf numFmtId="0" fontId="20" fillId="0" borderId="135" xfId="1057" applyBorder="1" applyAlignment="1">
      <alignment horizontal="center" vertical="center"/>
    </xf>
    <xf numFmtId="4" fontId="20" fillId="0" borderId="136" xfId="1057" applyNumberFormat="1" applyBorder="1" applyAlignment="1">
      <alignment horizontal="center" vertical="center" wrapText="1"/>
    </xf>
    <xf numFmtId="0" fontId="20" fillId="58" borderId="135" xfId="1057" applyFill="1" applyBorder="1" applyAlignment="1">
      <alignment horizontal="center" vertical="center"/>
    </xf>
    <xf numFmtId="4" fontId="20" fillId="0" borderId="137" xfId="1057" applyNumberFormat="1" applyBorder="1" applyAlignment="1">
      <alignment horizontal="center" vertical="center" wrapText="1"/>
    </xf>
    <xf numFmtId="10" fontId="86" fillId="0" borderId="138" xfId="1187" applyNumberFormat="1" applyFont="1" applyFill="1" applyBorder="1" applyAlignment="1">
      <alignment horizontal="center" vertical="center" wrapText="1"/>
    </xf>
    <xf numFmtId="4" fontId="86" fillId="0" borderId="135" xfId="1057" applyNumberFormat="1" applyFont="1" applyBorder="1" applyAlignment="1">
      <alignment horizontal="center" vertical="center"/>
    </xf>
    <xf numFmtId="10" fontId="86" fillId="0" borderId="135" xfId="1187" applyNumberFormat="1" applyFont="1" applyFill="1" applyBorder="1" applyAlignment="1">
      <alignment horizontal="center" vertical="center" wrapText="1"/>
    </xf>
    <xf numFmtId="4" fontId="86" fillId="0" borderId="139" xfId="1057" applyNumberFormat="1" applyFont="1" applyBorder="1" applyAlignment="1">
      <alignment horizontal="center" vertical="center"/>
    </xf>
    <xf numFmtId="0" fontId="0" fillId="0" borderId="0" xfId="0" applyBorder="1" applyAlignment="1">
      <alignment vertical="center"/>
    </xf>
    <xf numFmtId="0" fontId="54" fillId="0" borderId="0" xfId="1664" applyFont="1" applyBorder="1" applyAlignment="1">
      <alignment horizontal="center"/>
    </xf>
    <xf numFmtId="0" fontId="54" fillId="0" borderId="0" xfId="1664" applyFont="1" applyBorder="1" applyAlignment="1">
      <alignment horizontal="center" wrapText="1"/>
    </xf>
    <xf numFmtId="0" fontId="55" fillId="0" borderId="0" xfId="0" applyFont="1" applyBorder="1" applyAlignment="1">
      <alignment horizontal="center"/>
    </xf>
    <xf numFmtId="0" fontId="0" fillId="0" borderId="0" xfId="0" applyBorder="1"/>
    <xf numFmtId="0" fontId="58" fillId="0" borderId="0" xfId="0" applyFont="1" applyBorder="1" applyAlignment="1">
      <alignment horizontal="left" vertical="center"/>
    </xf>
    <xf numFmtId="49" fontId="60" fillId="0" borderId="0" xfId="0" applyNumberFormat="1" applyFont="1" applyBorder="1" applyAlignment="1">
      <alignment horizontal="left" vertical="center" wrapText="1"/>
    </xf>
    <xf numFmtId="49" fontId="60" fillId="0" borderId="0" xfId="0" applyNumberFormat="1" applyFont="1" applyBorder="1" applyAlignment="1">
      <alignment horizontal="left" vertical="center"/>
    </xf>
    <xf numFmtId="14" fontId="60" fillId="57" borderId="0" xfId="0" applyNumberFormat="1" applyFont="1" applyFill="1" applyBorder="1" applyAlignment="1">
      <alignment horizontal="left" vertical="center"/>
    </xf>
    <xf numFmtId="0" fontId="60" fillId="57" borderId="0" xfId="0" applyFont="1" applyFill="1" applyBorder="1" applyAlignment="1">
      <alignment horizontal="left" vertical="center" wrapText="1"/>
    </xf>
    <xf numFmtId="17" fontId="60" fillId="0" borderId="0" xfId="0" applyNumberFormat="1" applyFont="1" applyBorder="1" applyAlignment="1">
      <alignment horizontal="left" vertical="center"/>
    </xf>
    <xf numFmtId="0" fontId="60" fillId="0" borderId="0" xfId="0" applyFont="1" applyBorder="1" applyAlignment="1">
      <alignment horizontal="left" vertical="center" wrapText="1"/>
    </xf>
    <xf numFmtId="0" fontId="60" fillId="0" borderId="0" xfId="0" applyFont="1" applyBorder="1" applyAlignment="1">
      <alignment horizontal="justify" vertical="center" wrapText="1"/>
    </xf>
    <xf numFmtId="0" fontId="60" fillId="0" borderId="0" xfId="0" applyFont="1" applyBorder="1" applyAlignment="1">
      <alignment horizontal="justify" vertical="center" wrapText="1"/>
    </xf>
    <xf numFmtId="0" fontId="24" fillId="0" borderId="0" xfId="0" applyFont="1" applyBorder="1" applyAlignment="1">
      <alignment vertical="center"/>
    </xf>
    <xf numFmtId="0" fontId="24" fillId="0" borderId="0" xfId="0" applyFont="1" applyBorder="1" applyAlignment="1">
      <alignment horizontal="left" vertical="center"/>
    </xf>
    <xf numFmtId="0" fontId="20" fillId="0" borderId="0" xfId="0" applyFont="1" applyBorder="1" applyAlignment="1">
      <alignment vertical="center"/>
    </xf>
    <xf numFmtId="0" fontId="0" fillId="0" borderId="0" xfId="0" applyBorder="1"/>
    <xf numFmtId="0" fontId="20" fillId="0" borderId="0" xfId="0" applyFont="1" applyBorder="1"/>
  </cellXfs>
  <cellStyles count="2957">
    <cellStyle name="20% - Accent1" xfId="2354" xr:uid="{00000000-0005-0000-0000-000000000000}"/>
    <cellStyle name="20% - Accent2" xfId="2355" xr:uid="{00000000-0005-0000-0000-000001000000}"/>
    <cellStyle name="20% - Accent3" xfId="2356" xr:uid="{00000000-0005-0000-0000-000002000000}"/>
    <cellStyle name="20% - Accent4" xfId="2357" xr:uid="{00000000-0005-0000-0000-000003000000}"/>
    <cellStyle name="20% - Accent5" xfId="2358" xr:uid="{00000000-0005-0000-0000-000004000000}"/>
    <cellStyle name="20% - Accent6" xfId="2359" xr:uid="{00000000-0005-0000-0000-000005000000}"/>
    <cellStyle name="20% - Ênfase1" xfId="1" builtinId="30" customBuiltin="1"/>
    <cellStyle name="20% - Ênfase1 10" xfId="47" xr:uid="{00000000-0005-0000-0000-000007000000}"/>
    <cellStyle name="20% - Ênfase1 10 2" xfId="48" xr:uid="{00000000-0005-0000-0000-000008000000}"/>
    <cellStyle name="20% - Ênfase1 11" xfId="49" xr:uid="{00000000-0005-0000-0000-000009000000}"/>
    <cellStyle name="20% - Ênfase1 11 2" xfId="50" xr:uid="{00000000-0005-0000-0000-00000A000000}"/>
    <cellStyle name="20% - Ênfase1 12" xfId="51" xr:uid="{00000000-0005-0000-0000-00000B000000}"/>
    <cellStyle name="20% - Ênfase1 12 2" xfId="52" xr:uid="{00000000-0005-0000-0000-00000C000000}"/>
    <cellStyle name="20% - Ênfase1 13" xfId="53" xr:uid="{00000000-0005-0000-0000-00000D000000}"/>
    <cellStyle name="20% - Ênfase1 13 2" xfId="54" xr:uid="{00000000-0005-0000-0000-00000E000000}"/>
    <cellStyle name="20% - Ênfase1 14" xfId="2360" xr:uid="{00000000-0005-0000-0000-00000F000000}"/>
    <cellStyle name="20% - Ênfase1 14 2" xfId="55" xr:uid="{00000000-0005-0000-0000-000010000000}"/>
    <cellStyle name="20% - Ênfase1 15 2" xfId="56" xr:uid="{00000000-0005-0000-0000-000011000000}"/>
    <cellStyle name="20% - Ênfase1 16 2" xfId="57" xr:uid="{00000000-0005-0000-0000-000012000000}"/>
    <cellStyle name="20% - Ênfase1 17 2" xfId="58" xr:uid="{00000000-0005-0000-0000-000013000000}"/>
    <cellStyle name="20% - Ênfase1 2" xfId="59" xr:uid="{00000000-0005-0000-0000-000014000000}"/>
    <cellStyle name="20% - Ênfase1 2 2" xfId="60" xr:uid="{00000000-0005-0000-0000-000015000000}"/>
    <cellStyle name="20% - Ênfase1 3" xfId="61" xr:uid="{00000000-0005-0000-0000-000016000000}"/>
    <cellStyle name="20% - Ênfase1 3 2" xfId="62" xr:uid="{00000000-0005-0000-0000-000017000000}"/>
    <cellStyle name="20% - Ênfase1 4" xfId="63" xr:uid="{00000000-0005-0000-0000-000018000000}"/>
    <cellStyle name="20% - Ênfase1 4 2" xfId="64" xr:uid="{00000000-0005-0000-0000-000019000000}"/>
    <cellStyle name="20% - Ênfase1 5" xfId="65" xr:uid="{00000000-0005-0000-0000-00001A000000}"/>
    <cellStyle name="20% - Ênfase1 5 2" xfId="66" xr:uid="{00000000-0005-0000-0000-00001B000000}"/>
    <cellStyle name="20% - Ênfase1 6" xfId="67" xr:uid="{00000000-0005-0000-0000-00001C000000}"/>
    <cellStyle name="20% - Ênfase1 6 2" xfId="68" xr:uid="{00000000-0005-0000-0000-00001D000000}"/>
    <cellStyle name="20% - Ênfase1 7" xfId="69" xr:uid="{00000000-0005-0000-0000-00001E000000}"/>
    <cellStyle name="20% - Ênfase1 7 2" xfId="70" xr:uid="{00000000-0005-0000-0000-00001F000000}"/>
    <cellStyle name="20% - Ênfase1 8" xfId="71" xr:uid="{00000000-0005-0000-0000-000020000000}"/>
    <cellStyle name="20% - Ênfase1 8 2" xfId="72" xr:uid="{00000000-0005-0000-0000-000021000000}"/>
    <cellStyle name="20% - Ênfase1 9" xfId="73" xr:uid="{00000000-0005-0000-0000-000022000000}"/>
    <cellStyle name="20% - Ênfase1 9 2" xfId="74" xr:uid="{00000000-0005-0000-0000-000023000000}"/>
    <cellStyle name="20% - Ênfase2" xfId="2" builtinId="34" customBuiltin="1"/>
    <cellStyle name="20% - Ênfase2 10" xfId="75" xr:uid="{00000000-0005-0000-0000-000025000000}"/>
    <cellStyle name="20% - Ênfase2 10 2" xfId="76" xr:uid="{00000000-0005-0000-0000-000026000000}"/>
    <cellStyle name="20% - Ênfase2 11" xfId="77" xr:uid="{00000000-0005-0000-0000-000027000000}"/>
    <cellStyle name="20% - Ênfase2 11 2" xfId="78" xr:uid="{00000000-0005-0000-0000-000028000000}"/>
    <cellStyle name="20% - Ênfase2 12" xfId="79" xr:uid="{00000000-0005-0000-0000-000029000000}"/>
    <cellStyle name="20% - Ênfase2 12 2" xfId="80" xr:uid="{00000000-0005-0000-0000-00002A000000}"/>
    <cellStyle name="20% - Ênfase2 13" xfId="81" xr:uid="{00000000-0005-0000-0000-00002B000000}"/>
    <cellStyle name="20% - Ênfase2 13 2" xfId="82" xr:uid="{00000000-0005-0000-0000-00002C000000}"/>
    <cellStyle name="20% - Ênfase2 14" xfId="2361" xr:uid="{00000000-0005-0000-0000-00002D000000}"/>
    <cellStyle name="20% - Ênfase2 14 2" xfId="83" xr:uid="{00000000-0005-0000-0000-00002E000000}"/>
    <cellStyle name="20% - Ênfase2 15 2" xfId="84" xr:uid="{00000000-0005-0000-0000-00002F000000}"/>
    <cellStyle name="20% - Ênfase2 16 2" xfId="85" xr:uid="{00000000-0005-0000-0000-000030000000}"/>
    <cellStyle name="20% - Ênfase2 17 2" xfId="86" xr:uid="{00000000-0005-0000-0000-000031000000}"/>
    <cellStyle name="20% - Ênfase2 2" xfId="87" xr:uid="{00000000-0005-0000-0000-000032000000}"/>
    <cellStyle name="20% - Ênfase2 2 2" xfId="88" xr:uid="{00000000-0005-0000-0000-000033000000}"/>
    <cellStyle name="20% - Ênfase2 3" xfId="89" xr:uid="{00000000-0005-0000-0000-000034000000}"/>
    <cellStyle name="20% - Ênfase2 3 2" xfId="90" xr:uid="{00000000-0005-0000-0000-000035000000}"/>
    <cellStyle name="20% - Ênfase2 4" xfId="91" xr:uid="{00000000-0005-0000-0000-000036000000}"/>
    <cellStyle name="20% - Ênfase2 4 2" xfId="92" xr:uid="{00000000-0005-0000-0000-000037000000}"/>
    <cellStyle name="20% - Ênfase2 5" xfId="93" xr:uid="{00000000-0005-0000-0000-000038000000}"/>
    <cellStyle name="20% - Ênfase2 5 2" xfId="94" xr:uid="{00000000-0005-0000-0000-000039000000}"/>
    <cellStyle name="20% - Ênfase2 6" xfId="95" xr:uid="{00000000-0005-0000-0000-00003A000000}"/>
    <cellStyle name="20% - Ênfase2 6 2" xfId="96" xr:uid="{00000000-0005-0000-0000-00003B000000}"/>
    <cellStyle name="20% - Ênfase2 7" xfId="97" xr:uid="{00000000-0005-0000-0000-00003C000000}"/>
    <cellStyle name="20% - Ênfase2 7 2" xfId="98" xr:uid="{00000000-0005-0000-0000-00003D000000}"/>
    <cellStyle name="20% - Ênfase2 8" xfId="99" xr:uid="{00000000-0005-0000-0000-00003E000000}"/>
    <cellStyle name="20% - Ênfase2 8 2" xfId="100" xr:uid="{00000000-0005-0000-0000-00003F000000}"/>
    <cellStyle name="20% - Ênfase2 9" xfId="101" xr:uid="{00000000-0005-0000-0000-000040000000}"/>
    <cellStyle name="20% - Ênfase2 9 2" xfId="102" xr:uid="{00000000-0005-0000-0000-000041000000}"/>
    <cellStyle name="20% - Ênfase3" xfId="3" builtinId="38" customBuiltin="1"/>
    <cellStyle name="20% - Ênfase3 10" xfId="103" xr:uid="{00000000-0005-0000-0000-000043000000}"/>
    <cellStyle name="20% - Ênfase3 10 2" xfId="104" xr:uid="{00000000-0005-0000-0000-000044000000}"/>
    <cellStyle name="20% - Ênfase3 11" xfId="105" xr:uid="{00000000-0005-0000-0000-000045000000}"/>
    <cellStyle name="20% - Ênfase3 11 2" xfId="106" xr:uid="{00000000-0005-0000-0000-000046000000}"/>
    <cellStyle name="20% - Ênfase3 12" xfId="107" xr:uid="{00000000-0005-0000-0000-000047000000}"/>
    <cellStyle name="20% - Ênfase3 12 2" xfId="108" xr:uid="{00000000-0005-0000-0000-000048000000}"/>
    <cellStyle name="20% - Ênfase3 13" xfId="109" xr:uid="{00000000-0005-0000-0000-000049000000}"/>
    <cellStyle name="20% - Ênfase3 13 2" xfId="110" xr:uid="{00000000-0005-0000-0000-00004A000000}"/>
    <cellStyle name="20% - Ênfase3 14" xfId="2362" xr:uid="{00000000-0005-0000-0000-00004B000000}"/>
    <cellStyle name="20% - Ênfase3 14 2" xfId="111" xr:uid="{00000000-0005-0000-0000-00004C000000}"/>
    <cellStyle name="20% - Ênfase3 15 2" xfId="112" xr:uid="{00000000-0005-0000-0000-00004D000000}"/>
    <cellStyle name="20% - Ênfase3 16 2" xfId="113" xr:uid="{00000000-0005-0000-0000-00004E000000}"/>
    <cellStyle name="20% - Ênfase3 17 2" xfId="114" xr:uid="{00000000-0005-0000-0000-00004F000000}"/>
    <cellStyle name="20% - Ênfase3 2" xfId="115" xr:uid="{00000000-0005-0000-0000-000050000000}"/>
    <cellStyle name="20% - Ênfase3 2 2" xfId="116" xr:uid="{00000000-0005-0000-0000-000051000000}"/>
    <cellStyle name="20% - Ênfase3 3" xfId="117" xr:uid="{00000000-0005-0000-0000-000052000000}"/>
    <cellStyle name="20% - Ênfase3 3 2" xfId="118" xr:uid="{00000000-0005-0000-0000-000053000000}"/>
    <cellStyle name="20% - Ênfase3 4" xfId="119" xr:uid="{00000000-0005-0000-0000-000054000000}"/>
    <cellStyle name="20% - Ênfase3 4 2" xfId="120" xr:uid="{00000000-0005-0000-0000-000055000000}"/>
    <cellStyle name="20% - Ênfase3 5" xfId="121" xr:uid="{00000000-0005-0000-0000-000056000000}"/>
    <cellStyle name="20% - Ênfase3 5 2" xfId="122" xr:uid="{00000000-0005-0000-0000-000057000000}"/>
    <cellStyle name="20% - Ênfase3 6" xfId="123" xr:uid="{00000000-0005-0000-0000-000058000000}"/>
    <cellStyle name="20% - Ênfase3 6 2" xfId="124" xr:uid="{00000000-0005-0000-0000-000059000000}"/>
    <cellStyle name="20% - Ênfase3 7" xfId="125" xr:uid="{00000000-0005-0000-0000-00005A000000}"/>
    <cellStyle name="20% - Ênfase3 7 2" xfId="126" xr:uid="{00000000-0005-0000-0000-00005B000000}"/>
    <cellStyle name="20% - Ênfase3 8" xfId="127" xr:uid="{00000000-0005-0000-0000-00005C000000}"/>
    <cellStyle name="20% - Ênfase3 8 2" xfId="128" xr:uid="{00000000-0005-0000-0000-00005D000000}"/>
    <cellStyle name="20% - Ênfase3 9" xfId="129" xr:uid="{00000000-0005-0000-0000-00005E000000}"/>
    <cellStyle name="20% - Ênfase3 9 2" xfId="130" xr:uid="{00000000-0005-0000-0000-00005F000000}"/>
    <cellStyle name="20% - Ênfase4" xfId="4" builtinId="42" customBuiltin="1"/>
    <cellStyle name="20% - Ênfase4 10" xfId="131" xr:uid="{00000000-0005-0000-0000-000061000000}"/>
    <cellStyle name="20% - Ênfase4 10 2" xfId="132" xr:uid="{00000000-0005-0000-0000-000062000000}"/>
    <cellStyle name="20% - Ênfase4 11" xfId="133" xr:uid="{00000000-0005-0000-0000-000063000000}"/>
    <cellStyle name="20% - Ênfase4 11 2" xfId="134" xr:uid="{00000000-0005-0000-0000-000064000000}"/>
    <cellStyle name="20% - Ênfase4 12" xfId="135" xr:uid="{00000000-0005-0000-0000-000065000000}"/>
    <cellStyle name="20% - Ênfase4 12 2" xfId="136" xr:uid="{00000000-0005-0000-0000-000066000000}"/>
    <cellStyle name="20% - Ênfase4 13" xfId="137" xr:uid="{00000000-0005-0000-0000-000067000000}"/>
    <cellStyle name="20% - Ênfase4 13 2" xfId="138" xr:uid="{00000000-0005-0000-0000-000068000000}"/>
    <cellStyle name="20% - Ênfase4 14" xfId="2363" xr:uid="{00000000-0005-0000-0000-000069000000}"/>
    <cellStyle name="20% - Ênfase4 14 2" xfId="139" xr:uid="{00000000-0005-0000-0000-00006A000000}"/>
    <cellStyle name="20% - Ênfase4 15 2" xfId="140" xr:uid="{00000000-0005-0000-0000-00006B000000}"/>
    <cellStyle name="20% - Ênfase4 16 2" xfId="141" xr:uid="{00000000-0005-0000-0000-00006C000000}"/>
    <cellStyle name="20% - Ênfase4 17 2" xfId="142" xr:uid="{00000000-0005-0000-0000-00006D000000}"/>
    <cellStyle name="20% - Ênfase4 2" xfId="143" xr:uid="{00000000-0005-0000-0000-00006E000000}"/>
    <cellStyle name="20% - Ênfase4 2 2" xfId="144" xr:uid="{00000000-0005-0000-0000-00006F000000}"/>
    <cellStyle name="20% - Ênfase4 3" xfId="145" xr:uid="{00000000-0005-0000-0000-000070000000}"/>
    <cellStyle name="20% - Ênfase4 3 2" xfId="146" xr:uid="{00000000-0005-0000-0000-000071000000}"/>
    <cellStyle name="20% - Ênfase4 4" xfId="147" xr:uid="{00000000-0005-0000-0000-000072000000}"/>
    <cellStyle name="20% - Ênfase4 4 2" xfId="148" xr:uid="{00000000-0005-0000-0000-000073000000}"/>
    <cellStyle name="20% - Ênfase4 5" xfId="149" xr:uid="{00000000-0005-0000-0000-000074000000}"/>
    <cellStyle name="20% - Ênfase4 5 2" xfId="150" xr:uid="{00000000-0005-0000-0000-000075000000}"/>
    <cellStyle name="20% - Ênfase4 6" xfId="151" xr:uid="{00000000-0005-0000-0000-000076000000}"/>
    <cellStyle name="20% - Ênfase4 6 2" xfId="152" xr:uid="{00000000-0005-0000-0000-000077000000}"/>
    <cellStyle name="20% - Ênfase4 7" xfId="153" xr:uid="{00000000-0005-0000-0000-000078000000}"/>
    <cellStyle name="20% - Ênfase4 7 2" xfId="154" xr:uid="{00000000-0005-0000-0000-000079000000}"/>
    <cellStyle name="20% - Ênfase4 8" xfId="155" xr:uid="{00000000-0005-0000-0000-00007A000000}"/>
    <cellStyle name="20% - Ênfase4 8 2" xfId="156" xr:uid="{00000000-0005-0000-0000-00007B000000}"/>
    <cellStyle name="20% - Ênfase4 9" xfId="157" xr:uid="{00000000-0005-0000-0000-00007C000000}"/>
    <cellStyle name="20% - Ênfase4 9 2" xfId="158" xr:uid="{00000000-0005-0000-0000-00007D000000}"/>
    <cellStyle name="20% - Ênfase5" xfId="5" builtinId="46" customBuiltin="1"/>
    <cellStyle name="20% - Ênfase5 10" xfId="159" xr:uid="{00000000-0005-0000-0000-00007F000000}"/>
    <cellStyle name="20% - Ênfase5 10 2" xfId="160" xr:uid="{00000000-0005-0000-0000-000080000000}"/>
    <cellStyle name="20% - Ênfase5 11" xfId="161" xr:uid="{00000000-0005-0000-0000-000081000000}"/>
    <cellStyle name="20% - Ênfase5 11 2" xfId="162" xr:uid="{00000000-0005-0000-0000-000082000000}"/>
    <cellStyle name="20% - Ênfase5 12" xfId="163" xr:uid="{00000000-0005-0000-0000-000083000000}"/>
    <cellStyle name="20% - Ênfase5 12 2" xfId="164" xr:uid="{00000000-0005-0000-0000-000084000000}"/>
    <cellStyle name="20% - Ênfase5 13" xfId="165" xr:uid="{00000000-0005-0000-0000-000085000000}"/>
    <cellStyle name="20% - Ênfase5 13 2" xfId="166" xr:uid="{00000000-0005-0000-0000-000086000000}"/>
    <cellStyle name="20% - Ênfase5 14 2" xfId="167" xr:uid="{00000000-0005-0000-0000-000087000000}"/>
    <cellStyle name="20% - Ênfase5 15 2" xfId="168" xr:uid="{00000000-0005-0000-0000-000088000000}"/>
    <cellStyle name="20% - Ênfase5 16 2" xfId="169" xr:uid="{00000000-0005-0000-0000-000089000000}"/>
    <cellStyle name="20% - Ênfase5 17 2" xfId="170" xr:uid="{00000000-0005-0000-0000-00008A000000}"/>
    <cellStyle name="20% - Ênfase5 2" xfId="171" xr:uid="{00000000-0005-0000-0000-00008B000000}"/>
    <cellStyle name="20% - Ênfase5 2 2" xfId="172" xr:uid="{00000000-0005-0000-0000-00008C000000}"/>
    <cellStyle name="20% - Ênfase5 3" xfId="173" xr:uid="{00000000-0005-0000-0000-00008D000000}"/>
    <cellStyle name="20% - Ênfase5 3 2" xfId="174" xr:uid="{00000000-0005-0000-0000-00008E000000}"/>
    <cellStyle name="20% - Ênfase5 4" xfId="175" xr:uid="{00000000-0005-0000-0000-00008F000000}"/>
    <cellStyle name="20% - Ênfase5 4 2" xfId="176" xr:uid="{00000000-0005-0000-0000-000090000000}"/>
    <cellStyle name="20% - Ênfase5 5" xfId="177" xr:uid="{00000000-0005-0000-0000-000091000000}"/>
    <cellStyle name="20% - Ênfase5 5 2" xfId="178" xr:uid="{00000000-0005-0000-0000-000092000000}"/>
    <cellStyle name="20% - Ênfase5 6" xfId="179" xr:uid="{00000000-0005-0000-0000-000093000000}"/>
    <cellStyle name="20% - Ênfase5 6 2" xfId="180" xr:uid="{00000000-0005-0000-0000-000094000000}"/>
    <cellStyle name="20% - Ênfase5 7" xfId="181" xr:uid="{00000000-0005-0000-0000-000095000000}"/>
    <cellStyle name="20% - Ênfase5 7 2" xfId="182" xr:uid="{00000000-0005-0000-0000-000096000000}"/>
    <cellStyle name="20% - Ênfase5 8" xfId="183" xr:uid="{00000000-0005-0000-0000-000097000000}"/>
    <cellStyle name="20% - Ênfase5 8 2" xfId="184" xr:uid="{00000000-0005-0000-0000-000098000000}"/>
    <cellStyle name="20% - Ênfase5 9" xfId="185" xr:uid="{00000000-0005-0000-0000-000099000000}"/>
    <cellStyle name="20% - Ênfase5 9 2" xfId="186" xr:uid="{00000000-0005-0000-0000-00009A000000}"/>
    <cellStyle name="20% - Ênfase6" xfId="6" builtinId="50" customBuiltin="1"/>
    <cellStyle name="20% - Ênfase6 10" xfId="187" xr:uid="{00000000-0005-0000-0000-00009C000000}"/>
    <cellStyle name="20% - Ênfase6 10 2" xfId="188" xr:uid="{00000000-0005-0000-0000-00009D000000}"/>
    <cellStyle name="20% - Ênfase6 11" xfId="189" xr:uid="{00000000-0005-0000-0000-00009E000000}"/>
    <cellStyle name="20% - Ênfase6 11 2" xfId="190" xr:uid="{00000000-0005-0000-0000-00009F000000}"/>
    <cellStyle name="20% - Ênfase6 12" xfId="191" xr:uid="{00000000-0005-0000-0000-0000A0000000}"/>
    <cellStyle name="20% - Ênfase6 12 2" xfId="192" xr:uid="{00000000-0005-0000-0000-0000A1000000}"/>
    <cellStyle name="20% - Ênfase6 13" xfId="193" xr:uid="{00000000-0005-0000-0000-0000A2000000}"/>
    <cellStyle name="20% - Ênfase6 13 2" xfId="194" xr:uid="{00000000-0005-0000-0000-0000A3000000}"/>
    <cellStyle name="20% - Ênfase6 14" xfId="2364" xr:uid="{00000000-0005-0000-0000-0000A4000000}"/>
    <cellStyle name="20% - Ênfase6 14 2" xfId="195" xr:uid="{00000000-0005-0000-0000-0000A5000000}"/>
    <cellStyle name="20% - Ênfase6 15 2" xfId="196" xr:uid="{00000000-0005-0000-0000-0000A6000000}"/>
    <cellStyle name="20% - Ênfase6 16 2" xfId="197" xr:uid="{00000000-0005-0000-0000-0000A7000000}"/>
    <cellStyle name="20% - Ênfase6 17 2" xfId="198" xr:uid="{00000000-0005-0000-0000-0000A8000000}"/>
    <cellStyle name="20% - Ênfase6 2" xfId="199" xr:uid="{00000000-0005-0000-0000-0000A9000000}"/>
    <cellStyle name="20% - Ênfase6 2 2" xfId="200" xr:uid="{00000000-0005-0000-0000-0000AA000000}"/>
    <cellStyle name="20% - Ênfase6 3" xfId="201" xr:uid="{00000000-0005-0000-0000-0000AB000000}"/>
    <cellStyle name="20% - Ênfase6 3 2" xfId="202" xr:uid="{00000000-0005-0000-0000-0000AC000000}"/>
    <cellStyle name="20% - Ênfase6 4" xfId="203" xr:uid="{00000000-0005-0000-0000-0000AD000000}"/>
    <cellStyle name="20% - Ênfase6 4 2" xfId="204" xr:uid="{00000000-0005-0000-0000-0000AE000000}"/>
    <cellStyle name="20% - Ênfase6 5" xfId="205" xr:uid="{00000000-0005-0000-0000-0000AF000000}"/>
    <cellStyle name="20% - Ênfase6 5 2" xfId="206" xr:uid="{00000000-0005-0000-0000-0000B0000000}"/>
    <cellStyle name="20% - Ênfase6 6" xfId="207" xr:uid="{00000000-0005-0000-0000-0000B1000000}"/>
    <cellStyle name="20% - Ênfase6 6 2" xfId="208" xr:uid="{00000000-0005-0000-0000-0000B2000000}"/>
    <cellStyle name="20% - Ênfase6 7" xfId="209" xr:uid="{00000000-0005-0000-0000-0000B3000000}"/>
    <cellStyle name="20% - Ênfase6 7 2" xfId="210" xr:uid="{00000000-0005-0000-0000-0000B4000000}"/>
    <cellStyle name="20% - Ênfase6 8" xfId="211" xr:uid="{00000000-0005-0000-0000-0000B5000000}"/>
    <cellStyle name="20% - Ênfase6 8 2" xfId="212" xr:uid="{00000000-0005-0000-0000-0000B6000000}"/>
    <cellStyle name="20% - Ênfase6 9" xfId="213" xr:uid="{00000000-0005-0000-0000-0000B7000000}"/>
    <cellStyle name="20% - Ênfase6 9 2" xfId="214" xr:uid="{00000000-0005-0000-0000-0000B8000000}"/>
    <cellStyle name="40% - Accent1" xfId="2365" xr:uid="{00000000-0005-0000-0000-0000B9000000}"/>
    <cellStyle name="40% - Accent2" xfId="2366" xr:uid="{00000000-0005-0000-0000-0000BA000000}"/>
    <cellStyle name="40% - Accent3" xfId="2367" xr:uid="{00000000-0005-0000-0000-0000BB000000}"/>
    <cellStyle name="40% - Accent4" xfId="2368" xr:uid="{00000000-0005-0000-0000-0000BC000000}"/>
    <cellStyle name="40% - Accent5" xfId="2369" xr:uid="{00000000-0005-0000-0000-0000BD000000}"/>
    <cellStyle name="40% - Accent6" xfId="2370" xr:uid="{00000000-0005-0000-0000-0000BE000000}"/>
    <cellStyle name="40% - Ênfase1" xfId="7" builtinId="31" customBuiltin="1"/>
    <cellStyle name="40% - Ênfase1 10" xfId="215" xr:uid="{00000000-0005-0000-0000-0000C0000000}"/>
    <cellStyle name="40% - Ênfase1 10 2" xfId="216" xr:uid="{00000000-0005-0000-0000-0000C1000000}"/>
    <cellStyle name="40% - Ênfase1 11" xfId="217" xr:uid="{00000000-0005-0000-0000-0000C2000000}"/>
    <cellStyle name="40% - Ênfase1 11 2" xfId="218" xr:uid="{00000000-0005-0000-0000-0000C3000000}"/>
    <cellStyle name="40% - Ênfase1 12" xfId="219" xr:uid="{00000000-0005-0000-0000-0000C4000000}"/>
    <cellStyle name="40% - Ênfase1 12 2" xfId="220" xr:uid="{00000000-0005-0000-0000-0000C5000000}"/>
    <cellStyle name="40% - Ênfase1 13" xfId="221" xr:uid="{00000000-0005-0000-0000-0000C6000000}"/>
    <cellStyle name="40% - Ênfase1 13 2" xfId="222" xr:uid="{00000000-0005-0000-0000-0000C7000000}"/>
    <cellStyle name="40% - Ênfase1 14" xfId="2371" xr:uid="{00000000-0005-0000-0000-0000C8000000}"/>
    <cellStyle name="40% - Ênfase1 14 2" xfId="223" xr:uid="{00000000-0005-0000-0000-0000C9000000}"/>
    <cellStyle name="40% - Ênfase1 15 2" xfId="224" xr:uid="{00000000-0005-0000-0000-0000CA000000}"/>
    <cellStyle name="40% - Ênfase1 16 2" xfId="225" xr:uid="{00000000-0005-0000-0000-0000CB000000}"/>
    <cellStyle name="40% - Ênfase1 17 2" xfId="226" xr:uid="{00000000-0005-0000-0000-0000CC000000}"/>
    <cellStyle name="40% - Ênfase1 2" xfId="227" xr:uid="{00000000-0005-0000-0000-0000CD000000}"/>
    <cellStyle name="40% - Ênfase1 2 2" xfId="228" xr:uid="{00000000-0005-0000-0000-0000CE000000}"/>
    <cellStyle name="40% - Ênfase1 3" xfId="229" xr:uid="{00000000-0005-0000-0000-0000CF000000}"/>
    <cellStyle name="40% - Ênfase1 3 2" xfId="230" xr:uid="{00000000-0005-0000-0000-0000D0000000}"/>
    <cellStyle name="40% - Ênfase1 4" xfId="231" xr:uid="{00000000-0005-0000-0000-0000D1000000}"/>
    <cellStyle name="40% - Ênfase1 4 2" xfId="232" xr:uid="{00000000-0005-0000-0000-0000D2000000}"/>
    <cellStyle name="40% - Ênfase1 5" xfId="233" xr:uid="{00000000-0005-0000-0000-0000D3000000}"/>
    <cellStyle name="40% - Ênfase1 5 2" xfId="234" xr:uid="{00000000-0005-0000-0000-0000D4000000}"/>
    <cellStyle name="40% - Ênfase1 6" xfId="235" xr:uid="{00000000-0005-0000-0000-0000D5000000}"/>
    <cellStyle name="40% - Ênfase1 6 2" xfId="236" xr:uid="{00000000-0005-0000-0000-0000D6000000}"/>
    <cellStyle name="40% - Ênfase1 7" xfId="237" xr:uid="{00000000-0005-0000-0000-0000D7000000}"/>
    <cellStyle name="40% - Ênfase1 7 2" xfId="238" xr:uid="{00000000-0005-0000-0000-0000D8000000}"/>
    <cellStyle name="40% - Ênfase1 8" xfId="239" xr:uid="{00000000-0005-0000-0000-0000D9000000}"/>
    <cellStyle name="40% - Ênfase1 8 2" xfId="240" xr:uid="{00000000-0005-0000-0000-0000DA000000}"/>
    <cellStyle name="40% - Ênfase1 9" xfId="241" xr:uid="{00000000-0005-0000-0000-0000DB000000}"/>
    <cellStyle name="40% - Ênfase1 9 2" xfId="242" xr:uid="{00000000-0005-0000-0000-0000DC000000}"/>
    <cellStyle name="40% - Ênfase2" xfId="8" builtinId="35" customBuiltin="1"/>
    <cellStyle name="40% - Ênfase2 10" xfId="243" xr:uid="{00000000-0005-0000-0000-0000DE000000}"/>
    <cellStyle name="40% - Ênfase2 10 2" xfId="244" xr:uid="{00000000-0005-0000-0000-0000DF000000}"/>
    <cellStyle name="40% - Ênfase2 11" xfId="245" xr:uid="{00000000-0005-0000-0000-0000E0000000}"/>
    <cellStyle name="40% - Ênfase2 11 2" xfId="246" xr:uid="{00000000-0005-0000-0000-0000E1000000}"/>
    <cellStyle name="40% - Ênfase2 12" xfId="247" xr:uid="{00000000-0005-0000-0000-0000E2000000}"/>
    <cellStyle name="40% - Ênfase2 12 2" xfId="248" xr:uid="{00000000-0005-0000-0000-0000E3000000}"/>
    <cellStyle name="40% - Ênfase2 13" xfId="249" xr:uid="{00000000-0005-0000-0000-0000E4000000}"/>
    <cellStyle name="40% - Ênfase2 13 2" xfId="250" xr:uid="{00000000-0005-0000-0000-0000E5000000}"/>
    <cellStyle name="40% - Ênfase2 14 2" xfId="251" xr:uid="{00000000-0005-0000-0000-0000E6000000}"/>
    <cellStyle name="40% - Ênfase2 15 2" xfId="252" xr:uid="{00000000-0005-0000-0000-0000E7000000}"/>
    <cellStyle name="40% - Ênfase2 16 2" xfId="253" xr:uid="{00000000-0005-0000-0000-0000E8000000}"/>
    <cellStyle name="40% - Ênfase2 17 2" xfId="254" xr:uid="{00000000-0005-0000-0000-0000E9000000}"/>
    <cellStyle name="40% - Ênfase2 2" xfId="255" xr:uid="{00000000-0005-0000-0000-0000EA000000}"/>
    <cellStyle name="40% - Ênfase2 2 2" xfId="256" xr:uid="{00000000-0005-0000-0000-0000EB000000}"/>
    <cellStyle name="40% - Ênfase2 3" xfId="257" xr:uid="{00000000-0005-0000-0000-0000EC000000}"/>
    <cellStyle name="40% - Ênfase2 3 2" xfId="258" xr:uid="{00000000-0005-0000-0000-0000ED000000}"/>
    <cellStyle name="40% - Ênfase2 4" xfId="259" xr:uid="{00000000-0005-0000-0000-0000EE000000}"/>
    <cellStyle name="40% - Ênfase2 4 2" xfId="260" xr:uid="{00000000-0005-0000-0000-0000EF000000}"/>
    <cellStyle name="40% - Ênfase2 5" xfId="261" xr:uid="{00000000-0005-0000-0000-0000F0000000}"/>
    <cellStyle name="40% - Ênfase2 5 2" xfId="262" xr:uid="{00000000-0005-0000-0000-0000F1000000}"/>
    <cellStyle name="40% - Ênfase2 6" xfId="263" xr:uid="{00000000-0005-0000-0000-0000F2000000}"/>
    <cellStyle name="40% - Ênfase2 6 2" xfId="264" xr:uid="{00000000-0005-0000-0000-0000F3000000}"/>
    <cellStyle name="40% - Ênfase2 7" xfId="265" xr:uid="{00000000-0005-0000-0000-0000F4000000}"/>
    <cellStyle name="40% - Ênfase2 7 2" xfId="266" xr:uid="{00000000-0005-0000-0000-0000F5000000}"/>
    <cellStyle name="40% - Ênfase2 8" xfId="267" xr:uid="{00000000-0005-0000-0000-0000F6000000}"/>
    <cellStyle name="40% - Ênfase2 8 2" xfId="268" xr:uid="{00000000-0005-0000-0000-0000F7000000}"/>
    <cellStyle name="40% - Ênfase2 9" xfId="269" xr:uid="{00000000-0005-0000-0000-0000F8000000}"/>
    <cellStyle name="40% - Ênfase2 9 2" xfId="270" xr:uid="{00000000-0005-0000-0000-0000F9000000}"/>
    <cellStyle name="40% - Ênfase3" xfId="9" builtinId="39" customBuiltin="1"/>
    <cellStyle name="40% - Ênfase3 10" xfId="271" xr:uid="{00000000-0005-0000-0000-0000FB000000}"/>
    <cellStyle name="40% - Ênfase3 10 2" xfId="272" xr:uid="{00000000-0005-0000-0000-0000FC000000}"/>
    <cellStyle name="40% - Ênfase3 11" xfId="273" xr:uid="{00000000-0005-0000-0000-0000FD000000}"/>
    <cellStyle name="40% - Ênfase3 11 2" xfId="274" xr:uid="{00000000-0005-0000-0000-0000FE000000}"/>
    <cellStyle name="40% - Ênfase3 12" xfId="275" xr:uid="{00000000-0005-0000-0000-0000FF000000}"/>
    <cellStyle name="40% - Ênfase3 12 2" xfId="276" xr:uid="{00000000-0005-0000-0000-000000010000}"/>
    <cellStyle name="40% - Ênfase3 13" xfId="277" xr:uid="{00000000-0005-0000-0000-000001010000}"/>
    <cellStyle name="40% - Ênfase3 13 2" xfId="278" xr:uid="{00000000-0005-0000-0000-000002010000}"/>
    <cellStyle name="40% - Ênfase3 14" xfId="2372" xr:uid="{00000000-0005-0000-0000-000003010000}"/>
    <cellStyle name="40% - Ênfase3 14 2" xfId="279" xr:uid="{00000000-0005-0000-0000-000004010000}"/>
    <cellStyle name="40% - Ênfase3 15 2" xfId="280" xr:uid="{00000000-0005-0000-0000-000005010000}"/>
    <cellStyle name="40% - Ênfase3 16 2" xfId="281" xr:uid="{00000000-0005-0000-0000-000006010000}"/>
    <cellStyle name="40% - Ênfase3 17 2" xfId="282" xr:uid="{00000000-0005-0000-0000-000007010000}"/>
    <cellStyle name="40% - Ênfase3 2" xfId="283" xr:uid="{00000000-0005-0000-0000-000008010000}"/>
    <cellStyle name="40% - Ênfase3 2 2" xfId="284" xr:uid="{00000000-0005-0000-0000-000009010000}"/>
    <cellStyle name="40% - Ênfase3 3" xfId="285" xr:uid="{00000000-0005-0000-0000-00000A010000}"/>
    <cellStyle name="40% - Ênfase3 3 2" xfId="286" xr:uid="{00000000-0005-0000-0000-00000B010000}"/>
    <cellStyle name="40% - Ênfase3 4" xfId="287" xr:uid="{00000000-0005-0000-0000-00000C010000}"/>
    <cellStyle name="40% - Ênfase3 4 2" xfId="288" xr:uid="{00000000-0005-0000-0000-00000D010000}"/>
    <cellStyle name="40% - Ênfase3 5" xfId="289" xr:uid="{00000000-0005-0000-0000-00000E010000}"/>
    <cellStyle name="40% - Ênfase3 5 2" xfId="290" xr:uid="{00000000-0005-0000-0000-00000F010000}"/>
    <cellStyle name="40% - Ênfase3 6" xfId="291" xr:uid="{00000000-0005-0000-0000-000010010000}"/>
    <cellStyle name="40% - Ênfase3 6 2" xfId="292" xr:uid="{00000000-0005-0000-0000-000011010000}"/>
    <cellStyle name="40% - Ênfase3 7" xfId="293" xr:uid="{00000000-0005-0000-0000-000012010000}"/>
    <cellStyle name="40% - Ênfase3 7 2" xfId="294" xr:uid="{00000000-0005-0000-0000-000013010000}"/>
    <cellStyle name="40% - Ênfase3 8" xfId="295" xr:uid="{00000000-0005-0000-0000-000014010000}"/>
    <cellStyle name="40% - Ênfase3 8 2" xfId="296" xr:uid="{00000000-0005-0000-0000-000015010000}"/>
    <cellStyle name="40% - Ênfase3 9" xfId="297" xr:uid="{00000000-0005-0000-0000-000016010000}"/>
    <cellStyle name="40% - Ênfase3 9 2" xfId="298" xr:uid="{00000000-0005-0000-0000-000017010000}"/>
    <cellStyle name="40% - Ênfase4" xfId="10" builtinId="43" customBuiltin="1"/>
    <cellStyle name="40% - Ênfase4 10" xfId="299" xr:uid="{00000000-0005-0000-0000-000019010000}"/>
    <cellStyle name="40% - Ênfase4 10 2" xfId="300" xr:uid="{00000000-0005-0000-0000-00001A010000}"/>
    <cellStyle name="40% - Ênfase4 11" xfId="301" xr:uid="{00000000-0005-0000-0000-00001B010000}"/>
    <cellStyle name="40% - Ênfase4 11 2" xfId="302" xr:uid="{00000000-0005-0000-0000-00001C010000}"/>
    <cellStyle name="40% - Ênfase4 12" xfId="303" xr:uid="{00000000-0005-0000-0000-00001D010000}"/>
    <cellStyle name="40% - Ênfase4 12 2" xfId="304" xr:uid="{00000000-0005-0000-0000-00001E010000}"/>
    <cellStyle name="40% - Ênfase4 13" xfId="305" xr:uid="{00000000-0005-0000-0000-00001F010000}"/>
    <cellStyle name="40% - Ênfase4 13 2" xfId="306" xr:uid="{00000000-0005-0000-0000-000020010000}"/>
    <cellStyle name="40% - Ênfase4 14" xfId="2373" xr:uid="{00000000-0005-0000-0000-000021010000}"/>
    <cellStyle name="40% - Ênfase4 14 2" xfId="307" xr:uid="{00000000-0005-0000-0000-000022010000}"/>
    <cellStyle name="40% - Ênfase4 15 2" xfId="308" xr:uid="{00000000-0005-0000-0000-000023010000}"/>
    <cellStyle name="40% - Ênfase4 16 2" xfId="309" xr:uid="{00000000-0005-0000-0000-000024010000}"/>
    <cellStyle name="40% - Ênfase4 17 2" xfId="310" xr:uid="{00000000-0005-0000-0000-000025010000}"/>
    <cellStyle name="40% - Ênfase4 2" xfId="311" xr:uid="{00000000-0005-0000-0000-000026010000}"/>
    <cellStyle name="40% - Ênfase4 2 2" xfId="312" xr:uid="{00000000-0005-0000-0000-000027010000}"/>
    <cellStyle name="40% - Ênfase4 3" xfId="313" xr:uid="{00000000-0005-0000-0000-000028010000}"/>
    <cellStyle name="40% - Ênfase4 3 2" xfId="314" xr:uid="{00000000-0005-0000-0000-000029010000}"/>
    <cellStyle name="40% - Ênfase4 4" xfId="315" xr:uid="{00000000-0005-0000-0000-00002A010000}"/>
    <cellStyle name="40% - Ênfase4 4 2" xfId="316" xr:uid="{00000000-0005-0000-0000-00002B010000}"/>
    <cellStyle name="40% - Ênfase4 5" xfId="317" xr:uid="{00000000-0005-0000-0000-00002C010000}"/>
    <cellStyle name="40% - Ênfase4 5 2" xfId="318" xr:uid="{00000000-0005-0000-0000-00002D010000}"/>
    <cellStyle name="40% - Ênfase4 6" xfId="319" xr:uid="{00000000-0005-0000-0000-00002E010000}"/>
    <cellStyle name="40% - Ênfase4 6 2" xfId="320" xr:uid="{00000000-0005-0000-0000-00002F010000}"/>
    <cellStyle name="40% - Ênfase4 7" xfId="321" xr:uid="{00000000-0005-0000-0000-000030010000}"/>
    <cellStyle name="40% - Ênfase4 7 2" xfId="322" xr:uid="{00000000-0005-0000-0000-000031010000}"/>
    <cellStyle name="40% - Ênfase4 8" xfId="323" xr:uid="{00000000-0005-0000-0000-000032010000}"/>
    <cellStyle name="40% - Ênfase4 8 2" xfId="324" xr:uid="{00000000-0005-0000-0000-000033010000}"/>
    <cellStyle name="40% - Ênfase4 9" xfId="325" xr:uid="{00000000-0005-0000-0000-000034010000}"/>
    <cellStyle name="40% - Ênfase4 9 2" xfId="326" xr:uid="{00000000-0005-0000-0000-000035010000}"/>
    <cellStyle name="40% - Ênfase5" xfId="11" builtinId="47" customBuiltin="1"/>
    <cellStyle name="40% - Ênfase5 10" xfId="327" xr:uid="{00000000-0005-0000-0000-000037010000}"/>
    <cellStyle name="40% - Ênfase5 10 2" xfId="328" xr:uid="{00000000-0005-0000-0000-000038010000}"/>
    <cellStyle name="40% - Ênfase5 11" xfId="329" xr:uid="{00000000-0005-0000-0000-000039010000}"/>
    <cellStyle name="40% - Ênfase5 11 2" xfId="330" xr:uid="{00000000-0005-0000-0000-00003A010000}"/>
    <cellStyle name="40% - Ênfase5 12" xfId="331" xr:uid="{00000000-0005-0000-0000-00003B010000}"/>
    <cellStyle name="40% - Ênfase5 12 2" xfId="332" xr:uid="{00000000-0005-0000-0000-00003C010000}"/>
    <cellStyle name="40% - Ênfase5 13" xfId="333" xr:uid="{00000000-0005-0000-0000-00003D010000}"/>
    <cellStyle name="40% - Ênfase5 13 2" xfId="334" xr:uid="{00000000-0005-0000-0000-00003E010000}"/>
    <cellStyle name="40% - Ênfase5 14" xfId="2374" xr:uid="{00000000-0005-0000-0000-00003F010000}"/>
    <cellStyle name="40% - Ênfase5 14 2" xfId="335" xr:uid="{00000000-0005-0000-0000-000040010000}"/>
    <cellStyle name="40% - Ênfase5 15 2" xfId="336" xr:uid="{00000000-0005-0000-0000-000041010000}"/>
    <cellStyle name="40% - Ênfase5 16 2" xfId="337" xr:uid="{00000000-0005-0000-0000-000042010000}"/>
    <cellStyle name="40% - Ênfase5 17 2" xfId="338" xr:uid="{00000000-0005-0000-0000-000043010000}"/>
    <cellStyle name="40% - Ênfase5 2" xfId="339" xr:uid="{00000000-0005-0000-0000-000044010000}"/>
    <cellStyle name="40% - Ênfase5 2 2" xfId="340" xr:uid="{00000000-0005-0000-0000-000045010000}"/>
    <cellStyle name="40% - Ênfase5 3" xfId="341" xr:uid="{00000000-0005-0000-0000-000046010000}"/>
    <cellStyle name="40% - Ênfase5 3 2" xfId="342" xr:uid="{00000000-0005-0000-0000-000047010000}"/>
    <cellStyle name="40% - Ênfase5 4" xfId="343" xr:uid="{00000000-0005-0000-0000-000048010000}"/>
    <cellStyle name="40% - Ênfase5 4 2" xfId="344" xr:uid="{00000000-0005-0000-0000-000049010000}"/>
    <cellStyle name="40% - Ênfase5 5" xfId="345" xr:uid="{00000000-0005-0000-0000-00004A010000}"/>
    <cellStyle name="40% - Ênfase5 5 2" xfId="346" xr:uid="{00000000-0005-0000-0000-00004B010000}"/>
    <cellStyle name="40% - Ênfase5 6" xfId="347" xr:uid="{00000000-0005-0000-0000-00004C010000}"/>
    <cellStyle name="40% - Ênfase5 6 2" xfId="348" xr:uid="{00000000-0005-0000-0000-00004D010000}"/>
    <cellStyle name="40% - Ênfase5 7" xfId="349" xr:uid="{00000000-0005-0000-0000-00004E010000}"/>
    <cellStyle name="40% - Ênfase5 7 2" xfId="350" xr:uid="{00000000-0005-0000-0000-00004F010000}"/>
    <cellStyle name="40% - Ênfase5 8" xfId="351" xr:uid="{00000000-0005-0000-0000-000050010000}"/>
    <cellStyle name="40% - Ênfase5 8 2" xfId="352" xr:uid="{00000000-0005-0000-0000-000051010000}"/>
    <cellStyle name="40% - Ênfase5 9" xfId="353" xr:uid="{00000000-0005-0000-0000-000052010000}"/>
    <cellStyle name="40% - Ênfase5 9 2" xfId="354" xr:uid="{00000000-0005-0000-0000-000053010000}"/>
    <cellStyle name="40% - Ênfase6" xfId="12" builtinId="51" customBuiltin="1"/>
    <cellStyle name="40% - Ênfase6 10" xfId="355" xr:uid="{00000000-0005-0000-0000-000055010000}"/>
    <cellStyle name="40% - Ênfase6 10 2" xfId="356" xr:uid="{00000000-0005-0000-0000-000056010000}"/>
    <cellStyle name="40% - Ênfase6 11" xfId="357" xr:uid="{00000000-0005-0000-0000-000057010000}"/>
    <cellStyle name="40% - Ênfase6 11 2" xfId="358" xr:uid="{00000000-0005-0000-0000-000058010000}"/>
    <cellStyle name="40% - Ênfase6 12" xfId="359" xr:uid="{00000000-0005-0000-0000-000059010000}"/>
    <cellStyle name="40% - Ênfase6 12 2" xfId="360" xr:uid="{00000000-0005-0000-0000-00005A010000}"/>
    <cellStyle name="40% - Ênfase6 13" xfId="361" xr:uid="{00000000-0005-0000-0000-00005B010000}"/>
    <cellStyle name="40% - Ênfase6 13 2" xfId="362" xr:uid="{00000000-0005-0000-0000-00005C010000}"/>
    <cellStyle name="40% - Ênfase6 14" xfId="2375" xr:uid="{00000000-0005-0000-0000-00005D010000}"/>
    <cellStyle name="40% - Ênfase6 14 2" xfId="363" xr:uid="{00000000-0005-0000-0000-00005E010000}"/>
    <cellStyle name="40% - Ênfase6 15 2" xfId="364" xr:uid="{00000000-0005-0000-0000-00005F010000}"/>
    <cellStyle name="40% - Ênfase6 16 2" xfId="365" xr:uid="{00000000-0005-0000-0000-000060010000}"/>
    <cellStyle name="40% - Ênfase6 17 2" xfId="366" xr:uid="{00000000-0005-0000-0000-000061010000}"/>
    <cellStyle name="40% - Ênfase6 2" xfId="367" xr:uid="{00000000-0005-0000-0000-000062010000}"/>
    <cellStyle name="40% - Ênfase6 2 2" xfId="368" xr:uid="{00000000-0005-0000-0000-000063010000}"/>
    <cellStyle name="40% - Ênfase6 3" xfId="369" xr:uid="{00000000-0005-0000-0000-000064010000}"/>
    <cellStyle name="40% - Ênfase6 3 2" xfId="370" xr:uid="{00000000-0005-0000-0000-000065010000}"/>
    <cellStyle name="40% - Ênfase6 4" xfId="371" xr:uid="{00000000-0005-0000-0000-000066010000}"/>
    <cellStyle name="40% - Ênfase6 4 2" xfId="372" xr:uid="{00000000-0005-0000-0000-000067010000}"/>
    <cellStyle name="40% - Ênfase6 5" xfId="373" xr:uid="{00000000-0005-0000-0000-000068010000}"/>
    <cellStyle name="40% - Ênfase6 5 2" xfId="374" xr:uid="{00000000-0005-0000-0000-000069010000}"/>
    <cellStyle name="40% - Ênfase6 6" xfId="375" xr:uid="{00000000-0005-0000-0000-00006A010000}"/>
    <cellStyle name="40% - Ênfase6 6 2" xfId="376" xr:uid="{00000000-0005-0000-0000-00006B010000}"/>
    <cellStyle name="40% - Ênfase6 7" xfId="377" xr:uid="{00000000-0005-0000-0000-00006C010000}"/>
    <cellStyle name="40% - Ênfase6 7 2" xfId="378" xr:uid="{00000000-0005-0000-0000-00006D010000}"/>
    <cellStyle name="40% - Ênfase6 8" xfId="379" xr:uid="{00000000-0005-0000-0000-00006E010000}"/>
    <cellStyle name="40% - Ênfase6 8 2" xfId="380" xr:uid="{00000000-0005-0000-0000-00006F010000}"/>
    <cellStyle name="40% - Ênfase6 9" xfId="381" xr:uid="{00000000-0005-0000-0000-000070010000}"/>
    <cellStyle name="40% - Ênfase6 9 2" xfId="382" xr:uid="{00000000-0005-0000-0000-000071010000}"/>
    <cellStyle name="60% - Accent1" xfId="2376" xr:uid="{00000000-0005-0000-0000-000072010000}"/>
    <cellStyle name="60% - Accent2" xfId="2377" xr:uid="{00000000-0005-0000-0000-000073010000}"/>
    <cellStyle name="60% - Accent3" xfId="2378" xr:uid="{00000000-0005-0000-0000-000074010000}"/>
    <cellStyle name="60% - Accent4" xfId="2379" xr:uid="{00000000-0005-0000-0000-000075010000}"/>
    <cellStyle name="60% - Accent5" xfId="2380" xr:uid="{00000000-0005-0000-0000-000076010000}"/>
    <cellStyle name="60% - Accent6" xfId="2381" xr:uid="{00000000-0005-0000-0000-000077010000}"/>
    <cellStyle name="60% - Ênfase1" xfId="13" builtinId="32" customBuiltin="1"/>
    <cellStyle name="60% - Ênfase1 10 2" xfId="383" xr:uid="{00000000-0005-0000-0000-000079010000}"/>
    <cellStyle name="60% - Ênfase1 11 2" xfId="384" xr:uid="{00000000-0005-0000-0000-00007A010000}"/>
    <cellStyle name="60% - Ênfase1 12 2" xfId="385" xr:uid="{00000000-0005-0000-0000-00007B010000}"/>
    <cellStyle name="60% - Ênfase1 13 2" xfId="386" xr:uid="{00000000-0005-0000-0000-00007C010000}"/>
    <cellStyle name="60% - Ênfase1 14 2" xfId="387" xr:uid="{00000000-0005-0000-0000-00007D010000}"/>
    <cellStyle name="60% - Ênfase1 15 2" xfId="388" xr:uid="{00000000-0005-0000-0000-00007E010000}"/>
    <cellStyle name="60% - Ênfase1 16 2" xfId="389" xr:uid="{00000000-0005-0000-0000-00007F010000}"/>
    <cellStyle name="60% - Ênfase1 17 2" xfId="390" xr:uid="{00000000-0005-0000-0000-000080010000}"/>
    <cellStyle name="60% - Ênfase1 2" xfId="391" xr:uid="{00000000-0005-0000-0000-000081010000}"/>
    <cellStyle name="60% - Ênfase1 2 2" xfId="392" xr:uid="{00000000-0005-0000-0000-000082010000}"/>
    <cellStyle name="60% - Ênfase1 3" xfId="393" xr:uid="{00000000-0005-0000-0000-000083010000}"/>
    <cellStyle name="60% - Ênfase1 3 2" xfId="394" xr:uid="{00000000-0005-0000-0000-000084010000}"/>
    <cellStyle name="60% - Ênfase1 4" xfId="395" xr:uid="{00000000-0005-0000-0000-000085010000}"/>
    <cellStyle name="60% - Ênfase1 4 2" xfId="396" xr:uid="{00000000-0005-0000-0000-000086010000}"/>
    <cellStyle name="60% - Ênfase1 5" xfId="397" xr:uid="{00000000-0005-0000-0000-000087010000}"/>
    <cellStyle name="60% - Ênfase1 5 2" xfId="398" xr:uid="{00000000-0005-0000-0000-000088010000}"/>
    <cellStyle name="60% - Ênfase1 6" xfId="2382" xr:uid="{00000000-0005-0000-0000-000089010000}"/>
    <cellStyle name="60% - Ênfase1 6 2" xfId="399" xr:uid="{00000000-0005-0000-0000-00008A010000}"/>
    <cellStyle name="60% - Ênfase1 7 2" xfId="400" xr:uid="{00000000-0005-0000-0000-00008B010000}"/>
    <cellStyle name="60% - Ênfase1 8 2" xfId="401" xr:uid="{00000000-0005-0000-0000-00008C010000}"/>
    <cellStyle name="60% - Ênfase1 9 2" xfId="402" xr:uid="{00000000-0005-0000-0000-00008D010000}"/>
    <cellStyle name="60% - Ênfase2" xfId="14" builtinId="36" customBuiltin="1"/>
    <cellStyle name="60% - Ênfase2 10 2" xfId="403" xr:uid="{00000000-0005-0000-0000-00008F010000}"/>
    <cellStyle name="60% - Ênfase2 11 2" xfId="404" xr:uid="{00000000-0005-0000-0000-000090010000}"/>
    <cellStyle name="60% - Ênfase2 12 2" xfId="405" xr:uid="{00000000-0005-0000-0000-000091010000}"/>
    <cellStyle name="60% - Ênfase2 13 2" xfId="406" xr:uid="{00000000-0005-0000-0000-000092010000}"/>
    <cellStyle name="60% - Ênfase2 14 2" xfId="407" xr:uid="{00000000-0005-0000-0000-000093010000}"/>
    <cellStyle name="60% - Ênfase2 15 2" xfId="408" xr:uid="{00000000-0005-0000-0000-000094010000}"/>
    <cellStyle name="60% - Ênfase2 16 2" xfId="409" xr:uid="{00000000-0005-0000-0000-000095010000}"/>
    <cellStyle name="60% - Ênfase2 17 2" xfId="410" xr:uid="{00000000-0005-0000-0000-000096010000}"/>
    <cellStyle name="60% - Ênfase2 2" xfId="411" xr:uid="{00000000-0005-0000-0000-000097010000}"/>
    <cellStyle name="60% - Ênfase2 2 2" xfId="412" xr:uid="{00000000-0005-0000-0000-000098010000}"/>
    <cellStyle name="60% - Ênfase2 3" xfId="413" xr:uid="{00000000-0005-0000-0000-000099010000}"/>
    <cellStyle name="60% - Ênfase2 3 2" xfId="414" xr:uid="{00000000-0005-0000-0000-00009A010000}"/>
    <cellStyle name="60% - Ênfase2 4" xfId="415" xr:uid="{00000000-0005-0000-0000-00009B010000}"/>
    <cellStyle name="60% - Ênfase2 4 2" xfId="416" xr:uid="{00000000-0005-0000-0000-00009C010000}"/>
    <cellStyle name="60% - Ênfase2 5" xfId="417" xr:uid="{00000000-0005-0000-0000-00009D010000}"/>
    <cellStyle name="60% - Ênfase2 5 2" xfId="418" xr:uid="{00000000-0005-0000-0000-00009E010000}"/>
    <cellStyle name="60% - Ênfase2 6" xfId="2383" xr:uid="{00000000-0005-0000-0000-00009F010000}"/>
    <cellStyle name="60% - Ênfase2 6 2" xfId="419" xr:uid="{00000000-0005-0000-0000-0000A0010000}"/>
    <cellStyle name="60% - Ênfase2 7 2" xfId="420" xr:uid="{00000000-0005-0000-0000-0000A1010000}"/>
    <cellStyle name="60% - Ênfase2 8 2" xfId="421" xr:uid="{00000000-0005-0000-0000-0000A2010000}"/>
    <cellStyle name="60% - Ênfase2 9 2" xfId="422" xr:uid="{00000000-0005-0000-0000-0000A3010000}"/>
    <cellStyle name="60% - Ênfase3" xfId="15" builtinId="40" customBuiltin="1"/>
    <cellStyle name="60% - Ênfase3 10 2" xfId="423" xr:uid="{00000000-0005-0000-0000-0000A5010000}"/>
    <cellStyle name="60% - Ênfase3 11 2" xfId="424" xr:uid="{00000000-0005-0000-0000-0000A6010000}"/>
    <cellStyle name="60% - Ênfase3 12 2" xfId="425" xr:uid="{00000000-0005-0000-0000-0000A7010000}"/>
    <cellStyle name="60% - Ênfase3 13 2" xfId="426" xr:uid="{00000000-0005-0000-0000-0000A8010000}"/>
    <cellStyle name="60% - Ênfase3 14 2" xfId="427" xr:uid="{00000000-0005-0000-0000-0000A9010000}"/>
    <cellStyle name="60% - Ênfase3 15 2" xfId="428" xr:uid="{00000000-0005-0000-0000-0000AA010000}"/>
    <cellStyle name="60% - Ênfase3 16 2" xfId="429" xr:uid="{00000000-0005-0000-0000-0000AB010000}"/>
    <cellStyle name="60% - Ênfase3 17 2" xfId="430" xr:uid="{00000000-0005-0000-0000-0000AC010000}"/>
    <cellStyle name="60% - Ênfase3 2" xfId="431" xr:uid="{00000000-0005-0000-0000-0000AD010000}"/>
    <cellStyle name="60% - Ênfase3 2 2" xfId="432" xr:uid="{00000000-0005-0000-0000-0000AE010000}"/>
    <cellStyle name="60% - Ênfase3 3" xfId="433" xr:uid="{00000000-0005-0000-0000-0000AF010000}"/>
    <cellStyle name="60% - Ênfase3 3 2" xfId="434" xr:uid="{00000000-0005-0000-0000-0000B0010000}"/>
    <cellStyle name="60% - Ênfase3 4" xfId="435" xr:uid="{00000000-0005-0000-0000-0000B1010000}"/>
    <cellStyle name="60% - Ênfase3 4 2" xfId="436" xr:uid="{00000000-0005-0000-0000-0000B2010000}"/>
    <cellStyle name="60% - Ênfase3 5" xfId="437" xr:uid="{00000000-0005-0000-0000-0000B3010000}"/>
    <cellStyle name="60% - Ênfase3 5 2" xfId="438" xr:uid="{00000000-0005-0000-0000-0000B4010000}"/>
    <cellStyle name="60% - Ênfase3 6" xfId="2384" xr:uid="{00000000-0005-0000-0000-0000B5010000}"/>
    <cellStyle name="60% - Ênfase3 6 2" xfId="439" xr:uid="{00000000-0005-0000-0000-0000B6010000}"/>
    <cellStyle name="60% - Ênfase3 7 2" xfId="440" xr:uid="{00000000-0005-0000-0000-0000B7010000}"/>
    <cellStyle name="60% - Ênfase3 8 2" xfId="441" xr:uid="{00000000-0005-0000-0000-0000B8010000}"/>
    <cellStyle name="60% - Ênfase3 9 2" xfId="442" xr:uid="{00000000-0005-0000-0000-0000B9010000}"/>
    <cellStyle name="60% - Ênfase4" xfId="16" builtinId="44" customBuiltin="1"/>
    <cellStyle name="60% - Ênfase4 10 2" xfId="443" xr:uid="{00000000-0005-0000-0000-0000BB010000}"/>
    <cellStyle name="60% - Ênfase4 11 2" xfId="444" xr:uid="{00000000-0005-0000-0000-0000BC010000}"/>
    <cellStyle name="60% - Ênfase4 12 2" xfId="445" xr:uid="{00000000-0005-0000-0000-0000BD010000}"/>
    <cellStyle name="60% - Ênfase4 13 2" xfId="446" xr:uid="{00000000-0005-0000-0000-0000BE010000}"/>
    <cellStyle name="60% - Ênfase4 14 2" xfId="447" xr:uid="{00000000-0005-0000-0000-0000BF010000}"/>
    <cellStyle name="60% - Ênfase4 15 2" xfId="448" xr:uid="{00000000-0005-0000-0000-0000C0010000}"/>
    <cellStyle name="60% - Ênfase4 16 2" xfId="449" xr:uid="{00000000-0005-0000-0000-0000C1010000}"/>
    <cellStyle name="60% - Ênfase4 17 2" xfId="450" xr:uid="{00000000-0005-0000-0000-0000C2010000}"/>
    <cellStyle name="60% - Ênfase4 2" xfId="451" xr:uid="{00000000-0005-0000-0000-0000C3010000}"/>
    <cellStyle name="60% - Ênfase4 2 2" xfId="452" xr:uid="{00000000-0005-0000-0000-0000C4010000}"/>
    <cellStyle name="60% - Ênfase4 3" xfId="453" xr:uid="{00000000-0005-0000-0000-0000C5010000}"/>
    <cellStyle name="60% - Ênfase4 3 2" xfId="454" xr:uid="{00000000-0005-0000-0000-0000C6010000}"/>
    <cellStyle name="60% - Ênfase4 4" xfId="455" xr:uid="{00000000-0005-0000-0000-0000C7010000}"/>
    <cellStyle name="60% - Ênfase4 4 2" xfId="456" xr:uid="{00000000-0005-0000-0000-0000C8010000}"/>
    <cellStyle name="60% - Ênfase4 5" xfId="457" xr:uid="{00000000-0005-0000-0000-0000C9010000}"/>
    <cellStyle name="60% - Ênfase4 5 2" xfId="458" xr:uid="{00000000-0005-0000-0000-0000CA010000}"/>
    <cellStyle name="60% - Ênfase4 6" xfId="2385" xr:uid="{00000000-0005-0000-0000-0000CB010000}"/>
    <cellStyle name="60% - Ênfase4 6 2" xfId="459" xr:uid="{00000000-0005-0000-0000-0000CC010000}"/>
    <cellStyle name="60% - Ênfase4 7 2" xfId="460" xr:uid="{00000000-0005-0000-0000-0000CD010000}"/>
    <cellStyle name="60% - Ênfase4 8 2" xfId="461" xr:uid="{00000000-0005-0000-0000-0000CE010000}"/>
    <cellStyle name="60% - Ênfase4 9 2" xfId="462" xr:uid="{00000000-0005-0000-0000-0000CF010000}"/>
    <cellStyle name="60% - Ênfase5" xfId="17" builtinId="48" customBuiltin="1"/>
    <cellStyle name="60% - Ênfase5 10 2" xfId="463" xr:uid="{00000000-0005-0000-0000-0000D1010000}"/>
    <cellStyle name="60% - Ênfase5 11 2" xfId="464" xr:uid="{00000000-0005-0000-0000-0000D2010000}"/>
    <cellStyle name="60% - Ênfase5 12 2" xfId="465" xr:uid="{00000000-0005-0000-0000-0000D3010000}"/>
    <cellStyle name="60% - Ênfase5 13 2" xfId="466" xr:uid="{00000000-0005-0000-0000-0000D4010000}"/>
    <cellStyle name="60% - Ênfase5 14 2" xfId="467" xr:uid="{00000000-0005-0000-0000-0000D5010000}"/>
    <cellStyle name="60% - Ênfase5 15 2" xfId="468" xr:uid="{00000000-0005-0000-0000-0000D6010000}"/>
    <cellStyle name="60% - Ênfase5 16 2" xfId="469" xr:uid="{00000000-0005-0000-0000-0000D7010000}"/>
    <cellStyle name="60% - Ênfase5 17 2" xfId="470" xr:uid="{00000000-0005-0000-0000-0000D8010000}"/>
    <cellStyle name="60% - Ênfase5 2" xfId="471" xr:uid="{00000000-0005-0000-0000-0000D9010000}"/>
    <cellStyle name="60% - Ênfase5 2 2" xfId="472" xr:uid="{00000000-0005-0000-0000-0000DA010000}"/>
    <cellStyle name="60% - Ênfase5 3" xfId="473" xr:uid="{00000000-0005-0000-0000-0000DB010000}"/>
    <cellStyle name="60% - Ênfase5 3 2" xfId="474" xr:uid="{00000000-0005-0000-0000-0000DC010000}"/>
    <cellStyle name="60% - Ênfase5 4" xfId="475" xr:uid="{00000000-0005-0000-0000-0000DD010000}"/>
    <cellStyle name="60% - Ênfase5 4 2" xfId="476" xr:uid="{00000000-0005-0000-0000-0000DE010000}"/>
    <cellStyle name="60% - Ênfase5 5" xfId="477" xr:uid="{00000000-0005-0000-0000-0000DF010000}"/>
    <cellStyle name="60% - Ênfase5 5 2" xfId="478" xr:uid="{00000000-0005-0000-0000-0000E0010000}"/>
    <cellStyle name="60% - Ênfase5 6" xfId="2386" xr:uid="{00000000-0005-0000-0000-0000E1010000}"/>
    <cellStyle name="60% - Ênfase5 6 2" xfId="479" xr:uid="{00000000-0005-0000-0000-0000E2010000}"/>
    <cellStyle name="60% - Ênfase5 7 2" xfId="480" xr:uid="{00000000-0005-0000-0000-0000E3010000}"/>
    <cellStyle name="60% - Ênfase5 8 2" xfId="481" xr:uid="{00000000-0005-0000-0000-0000E4010000}"/>
    <cellStyle name="60% - Ênfase5 9 2" xfId="482" xr:uid="{00000000-0005-0000-0000-0000E5010000}"/>
    <cellStyle name="60% - Ênfase6" xfId="18" builtinId="52" customBuiltin="1"/>
    <cellStyle name="60% - Ênfase6 10 2" xfId="483" xr:uid="{00000000-0005-0000-0000-0000E7010000}"/>
    <cellStyle name="60% - Ênfase6 11 2" xfId="484" xr:uid="{00000000-0005-0000-0000-0000E8010000}"/>
    <cellStyle name="60% - Ênfase6 12 2" xfId="485" xr:uid="{00000000-0005-0000-0000-0000E9010000}"/>
    <cellStyle name="60% - Ênfase6 13 2" xfId="486" xr:uid="{00000000-0005-0000-0000-0000EA010000}"/>
    <cellStyle name="60% - Ênfase6 14 2" xfId="487" xr:uid="{00000000-0005-0000-0000-0000EB010000}"/>
    <cellStyle name="60% - Ênfase6 15 2" xfId="488" xr:uid="{00000000-0005-0000-0000-0000EC010000}"/>
    <cellStyle name="60% - Ênfase6 16 2" xfId="489" xr:uid="{00000000-0005-0000-0000-0000ED010000}"/>
    <cellStyle name="60% - Ênfase6 17 2" xfId="490" xr:uid="{00000000-0005-0000-0000-0000EE010000}"/>
    <cellStyle name="60% - Ênfase6 2" xfId="491" xr:uid="{00000000-0005-0000-0000-0000EF010000}"/>
    <cellStyle name="60% - Ênfase6 2 2" xfId="492" xr:uid="{00000000-0005-0000-0000-0000F0010000}"/>
    <cellStyle name="60% - Ênfase6 3" xfId="493" xr:uid="{00000000-0005-0000-0000-0000F1010000}"/>
    <cellStyle name="60% - Ênfase6 3 2" xfId="494" xr:uid="{00000000-0005-0000-0000-0000F2010000}"/>
    <cellStyle name="60% - Ênfase6 4" xfId="495" xr:uid="{00000000-0005-0000-0000-0000F3010000}"/>
    <cellStyle name="60% - Ênfase6 4 2" xfId="496" xr:uid="{00000000-0005-0000-0000-0000F4010000}"/>
    <cellStyle name="60% - Ênfase6 5" xfId="497" xr:uid="{00000000-0005-0000-0000-0000F5010000}"/>
    <cellStyle name="60% - Ênfase6 5 2" xfId="498" xr:uid="{00000000-0005-0000-0000-0000F6010000}"/>
    <cellStyle name="60% - Ênfase6 6" xfId="2387" xr:uid="{00000000-0005-0000-0000-0000F7010000}"/>
    <cellStyle name="60% - Ênfase6 6 2" xfId="499" xr:uid="{00000000-0005-0000-0000-0000F8010000}"/>
    <cellStyle name="60% - Ênfase6 7 2" xfId="500" xr:uid="{00000000-0005-0000-0000-0000F9010000}"/>
    <cellStyle name="60% - Ênfase6 8 2" xfId="501" xr:uid="{00000000-0005-0000-0000-0000FA010000}"/>
    <cellStyle name="60% - Ênfase6 9 2" xfId="502" xr:uid="{00000000-0005-0000-0000-0000FB010000}"/>
    <cellStyle name="Accent1" xfId="2388" xr:uid="{00000000-0005-0000-0000-0000FC010000}"/>
    <cellStyle name="Accent1 - 20%" xfId="2389" xr:uid="{00000000-0005-0000-0000-0000FD010000}"/>
    <cellStyle name="Accent1 - 40%" xfId="2390" xr:uid="{00000000-0005-0000-0000-0000FE010000}"/>
    <cellStyle name="Accent1 - 60%" xfId="2391" xr:uid="{00000000-0005-0000-0000-0000FF010000}"/>
    <cellStyle name="Accent2" xfId="2392" xr:uid="{00000000-0005-0000-0000-000000020000}"/>
    <cellStyle name="Accent2 - 20%" xfId="2393" xr:uid="{00000000-0005-0000-0000-000001020000}"/>
    <cellStyle name="Accent2 - 40%" xfId="2394" xr:uid="{00000000-0005-0000-0000-000002020000}"/>
    <cellStyle name="Accent2 - 60%" xfId="2395" xr:uid="{00000000-0005-0000-0000-000003020000}"/>
    <cellStyle name="Accent3" xfId="2396" xr:uid="{00000000-0005-0000-0000-000004020000}"/>
    <cellStyle name="Accent3 - 20%" xfId="2397" xr:uid="{00000000-0005-0000-0000-000005020000}"/>
    <cellStyle name="Accent3 - 40%" xfId="2398" xr:uid="{00000000-0005-0000-0000-000006020000}"/>
    <cellStyle name="Accent3 - 60%" xfId="2399" xr:uid="{00000000-0005-0000-0000-000007020000}"/>
    <cellStyle name="Accent4" xfId="2400" xr:uid="{00000000-0005-0000-0000-000008020000}"/>
    <cellStyle name="Accent4 - 20%" xfId="2401" xr:uid="{00000000-0005-0000-0000-000009020000}"/>
    <cellStyle name="Accent4 - 40%" xfId="2402" xr:uid="{00000000-0005-0000-0000-00000A020000}"/>
    <cellStyle name="Accent4 - 60%" xfId="2403" xr:uid="{00000000-0005-0000-0000-00000B020000}"/>
    <cellStyle name="Accent5" xfId="2404" xr:uid="{00000000-0005-0000-0000-00000C020000}"/>
    <cellStyle name="Accent5 - 20%" xfId="2405" xr:uid="{00000000-0005-0000-0000-00000D020000}"/>
    <cellStyle name="Accent5 - 40%" xfId="2406" xr:uid="{00000000-0005-0000-0000-00000E020000}"/>
    <cellStyle name="Accent5 - 60%" xfId="2407" xr:uid="{00000000-0005-0000-0000-00000F020000}"/>
    <cellStyle name="Accent6" xfId="2408" xr:uid="{00000000-0005-0000-0000-000010020000}"/>
    <cellStyle name="Accent6 - 20%" xfId="2409" xr:uid="{00000000-0005-0000-0000-000011020000}"/>
    <cellStyle name="Accent6 - 40%" xfId="2410" xr:uid="{00000000-0005-0000-0000-000012020000}"/>
    <cellStyle name="Accent6 - 60%" xfId="2411" xr:uid="{00000000-0005-0000-0000-000013020000}"/>
    <cellStyle name="Bad" xfId="2412" xr:uid="{00000000-0005-0000-0000-000014020000}"/>
    <cellStyle name="Bom" xfId="19" builtinId="26" customBuiltin="1"/>
    <cellStyle name="Bom 10 2" xfId="503" xr:uid="{00000000-0005-0000-0000-000016020000}"/>
    <cellStyle name="Bom 11 2" xfId="504" xr:uid="{00000000-0005-0000-0000-000017020000}"/>
    <cellStyle name="Bom 12 2" xfId="505" xr:uid="{00000000-0005-0000-0000-000018020000}"/>
    <cellStyle name="Bom 13 2" xfId="506" xr:uid="{00000000-0005-0000-0000-000019020000}"/>
    <cellStyle name="Bom 14 2" xfId="507" xr:uid="{00000000-0005-0000-0000-00001A020000}"/>
    <cellStyle name="Bom 15 2" xfId="508" xr:uid="{00000000-0005-0000-0000-00001B020000}"/>
    <cellStyle name="Bom 16 2" xfId="509" xr:uid="{00000000-0005-0000-0000-00001C020000}"/>
    <cellStyle name="Bom 17 2" xfId="510" xr:uid="{00000000-0005-0000-0000-00001D020000}"/>
    <cellStyle name="Bom 2" xfId="511" xr:uid="{00000000-0005-0000-0000-00001E020000}"/>
    <cellStyle name="Bom 2 2" xfId="512" xr:uid="{00000000-0005-0000-0000-00001F020000}"/>
    <cellStyle name="Bom 3" xfId="513" xr:uid="{00000000-0005-0000-0000-000020020000}"/>
    <cellStyle name="Bom 3 2" xfId="514" xr:uid="{00000000-0005-0000-0000-000021020000}"/>
    <cellStyle name="Bom 4" xfId="515" xr:uid="{00000000-0005-0000-0000-000022020000}"/>
    <cellStyle name="Bom 4 2" xfId="516" xr:uid="{00000000-0005-0000-0000-000023020000}"/>
    <cellStyle name="Bom 5" xfId="517" xr:uid="{00000000-0005-0000-0000-000024020000}"/>
    <cellStyle name="Bom 5 2" xfId="518" xr:uid="{00000000-0005-0000-0000-000025020000}"/>
    <cellStyle name="Bom 6" xfId="2413" xr:uid="{00000000-0005-0000-0000-000026020000}"/>
    <cellStyle name="Bom 6 2" xfId="519" xr:uid="{00000000-0005-0000-0000-000027020000}"/>
    <cellStyle name="Bom 7 2" xfId="520" xr:uid="{00000000-0005-0000-0000-000028020000}"/>
    <cellStyle name="Bom 8 2" xfId="521" xr:uid="{00000000-0005-0000-0000-000029020000}"/>
    <cellStyle name="Bom 9 2" xfId="522" xr:uid="{00000000-0005-0000-0000-00002A020000}"/>
    <cellStyle name="Cabeçalho 1" xfId="523" xr:uid="{00000000-0005-0000-0000-00002B020000}"/>
    <cellStyle name="Cabeçalho 2" xfId="524" xr:uid="{00000000-0005-0000-0000-00002C020000}"/>
    <cellStyle name="Calculation" xfId="2414" xr:uid="{00000000-0005-0000-0000-00002D020000}"/>
    <cellStyle name="Cálculo" xfId="20" builtinId="22" customBuiltin="1"/>
    <cellStyle name="Cálculo 10 2" xfId="525" xr:uid="{00000000-0005-0000-0000-00002F020000}"/>
    <cellStyle name="Cálculo 11 2" xfId="526" xr:uid="{00000000-0005-0000-0000-000030020000}"/>
    <cellStyle name="Cálculo 12 2" xfId="527" xr:uid="{00000000-0005-0000-0000-000031020000}"/>
    <cellStyle name="Cálculo 13 2" xfId="528" xr:uid="{00000000-0005-0000-0000-000032020000}"/>
    <cellStyle name="Cálculo 14 2" xfId="529" xr:uid="{00000000-0005-0000-0000-000033020000}"/>
    <cellStyle name="Cálculo 15 2" xfId="530" xr:uid="{00000000-0005-0000-0000-000034020000}"/>
    <cellStyle name="Cálculo 16 2" xfId="531" xr:uid="{00000000-0005-0000-0000-000035020000}"/>
    <cellStyle name="Cálculo 17 2" xfId="532" xr:uid="{00000000-0005-0000-0000-000036020000}"/>
    <cellStyle name="Cálculo 2" xfId="533" xr:uid="{00000000-0005-0000-0000-000037020000}"/>
    <cellStyle name="Cálculo 2 2" xfId="534" xr:uid="{00000000-0005-0000-0000-000038020000}"/>
    <cellStyle name="Cálculo 3" xfId="535" xr:uid="{00000000-0005-0000-0000-000039020000}"/>
    <cellStyle name="Cálculo 3 2" xfId="536" xr:uid="{00000000-0005-0000-0000-00003A020000}"/>
    <cellStyle name="Cálculo 4" xfId="537" xr:uid="{00000000-0005-0000-0000-00003B020000}"/>
    <cellStyle name="Cálculo 4 2" xfId="538" xr:uid="{00000000-0005-0000-0000-00003C020000}"/>
    <cellStyle name="Cálculo 5" xfId="539" xr:uid="{00000000-0005-0000-0000-00003D020000}"/>
    <cellStyle name="Cálculo 5 2" xfId="540" xr:uid="{00000000-0005-0000-0000-00003E020000}"/>
    <cellStyle name="Cálculo 6" xfId="2415" xr:uid="{00000000-0005-0000-0000-00003F020000}"/>
    <cellStyle name="Cálculo 6 2" xfId="541" xr:uid="{00000000-0005-0000-0000-000040020000}"/>
    <cellStyle name="Cálculo 7 2" xfId="542" xr:uid="{00000000-0005-0000-0000-000041020000}"/>
    <cellStyle name="Cálculo 8 2" xfId="543" xr:uid="{00000000-0005-0000-0000-000042020000}"/>
    <cellStyle name="Cálculo 9 2" xfId="544" xr:uid="{00000000-0005-0000-0000-000043020000}"/>
    <cellStyle name="Célula de Verificação" xfId="21" builtinId="23" customBuiltin="1"/>
    <cellStyle name="Célula de Verificação 10 2" xfId="545" xr:uid="{00000000-0005-0000-0000-000045020000}"/>
    <cellStyle name="Célula de Verificação 11 2" xfId="546" xr:uid="{00000000-0005-0000-0000-000046020000}"/>
    <cellStyle name="Célula de Verificação 12 2" xfId="547" xr:uid="{00000000-0005-0000-0000-000047020000}"/>
    <cellStyle name="Célula de Verificação 13 2" xfId="548" xr:uid="{00000000-0005-0000-0000-000048020000}"/>
    <cellStyle name="Célula de Verificação 14 2" xfId="549" xr:uid="{00000000-0005-0000-0000-000049020000}"/>
    <cellStyle name="Célula de Verificação 15 2" xfId="550" xr:uid="{00000000-0005-0000-0000-00004A020000}"/>
    <cellStyle name="Célula de Verificação 16 2" xfId="551" xr:uid="{00000000-0005-0000-0000-00004B020000}"/>
    <cellStyle name="Célula de Verificação 17 2" xfId="552" xr:uid="{00000000-0005-0000-0000-00004C020000}"/>
    <cellStyle name="Célula de Verificação 2" xfId="553" xr:uid="{00000000-0005-0000-0000-00004D020000}"/>
    <cellStyle name="Célula de Verificação 2 2" xfId="554" xr:uid="{00000000-0005-0000-0000-00004E020000}"/>
    <cellStyle name="Célula de Verificação 3" xfId="555" xr:uid="{00000000-0005-0000-0000-00004F020000}"/>
    <cellStyle name="Célula de Verificação 3 2" xfId="556" xr:uid="{00000000-0005-0000-0000-000050020000}"/>
    <cellStyle name="Célula de Verificação 4" xfId="557" xr:uid="{00000000-0005-0000-0000-000051020000}"/>
    <cellStyle name="Célula de Verificação 4 2" xfId="558" xr:uid="{00000000-0005-0000-0000-000052020000}"/>
    <cellStyle name="Célula de Verificação 5" xfId="559" xr:uid="{00000000-0005-0000-0000-000053020000}"/>
    <cellStyle name="Célula de Verificação 5 2" xfId="560" xr:uid="{00000000-0005-0000-0000-000054020000}"/>
    <cellStyle name="Célula de Verificação 6 2" xfId="561" xr:uid="{00000000-0005-0000-0000-000055020000}"/>
    <cellStyle name="Célula de Verificação 7 2" xfId="562" xr:uid="{00000000-0005-0000-0000-000056020000}"/>
    <cellStyle name="Célula de Verificação 8 2" xfId="563" xr:uid="{00000000-0005-0000-0000-000057020000}"/>
    <cellStyle name="Célula de Verificação 9 2" xfId="564" xr:uid="{00000000-0005-0000-0000-000058020000}"/>
    <cellStyle name="Célula Vinculada" xfId="22" builtinId="24" customBuiltin="1"/>
    <cellStyle name="Célula Vinculada 10 2" xfId="565" xr:uid="{00000000-0005-0000-0000-00005A020000}"/>
    <cellStyle name="Célula Vinculada 11 2" xfId="566" xr:uid="{00000000-0005-0000-0000-00005B020000}"/>
    <cellStyle name="Célula Vinculada 12 2" xfId="567" xr:uid="{00000000-0005-0000-0000-00005C020000}"/>
    <cellStyle name="Célula Vinculada 13 2" xfId="568" xr:uid="{00000000-0005-0000-0000-00005D020000}"/>
    <cellStyle name="Célula Vinculada 14 2" xfId="569" xr:uid="{00000000-0005-0000-0000-00005E020000}"/>
    <cellStyle name="Célula Vinculada 15 2" xfId="570" xr:uid="{00000000-0005-0000-0000-00005F020000}"/>
    <cellStyle name="Célula Vinculada 16 2" xfId="571" xr:uid="{00000000-0005-0000-0000-000060020000}"/>
    <cellStyle name="Célula Vinculada 17 2" xfId="572" xr:uid="{00000000-0005-0000-0000-000061020000}"/>
    <cellStyle name="Célula Vinculada 2" xfId="573" xr:uid="{00000000-0005-0000-0000-000062020000}"/>
    <cellStyle name="Célula Vinculada 2 2" xfId="574" xr:uid="{00000000-0005-0000-0000-000063020000}"/>
    <cellStyle name="Célula Vinculada 3" xfId="575" xr:uid="{00000000-0005-0000-0000-000064020000}"/>
    <cellStyle name="Célula Vinculada 3 2" xfId="576" xr:uid="{00000000-0005-0000-0000-000065020000}"/>
    <cellStyle name="Célula Vinculada 4" xfId="577" xr:uid="{00000000-0005-0000-0000-000066020000}"/>
    <cellStyle name="Célula Vinculada 4 2" xfId="578" xr:uid="{00000000-0005-0000-0000-000067020000}"/>
    <cellStyle name="Célula Vinculada 5" xfId="579" xr:uid="{00000000-0005-0000-0000-000068020000}"/>
    <cellStyle name="Célula Vinculada 5 2" xfId="580" xr:uid="{00000000-0005-0000-0000-000069020000}"/>
    <cellStyle name="Célula Vinculada 6" xfId="2416" xr:uid="{00000000-0005-0000-0000-00006A020000}"/>
    <cellStyle name="Célula Vinculada 6 2" xfId="581" xr:uid="{00000000-0005-0000-0000-00006B020000}"/>
    <cellStyle name="Célula Vinculada 7 2" xfId="582" xr:uid="{00000000-0005-0000-0000-00006C020000}"/>
    <cellStyle name="Célula Vinculada 8 2" xfId="583" xr:uid="{00000000-0005-0000-0000-00006D020000}"/>
    <cellStyle name="Célula Vinculada 9 2" xfId="584" xr:uid="{00000000-0005-0000-0000-00006E020000}"/>
    <cellStyle name="Check Cell" xfId="2417" xr:uid="{00000000-0005-0000-0000-00006F020000}"/>
    <cellStyle name="Comma 2" xfId="585" xr:uid="{00000000-0005-0000-0000-000070020000}"/>
    <cellStyle name="Comma 2 2" xfId="1670" xr:uid="{00000000-0005-0000-0000-000071020000}"/>
    <cellStyle name="Comma 2 2 2" xfId="1966" xr:uid="{00000000-0005-0000-0000-000072020000}"/>
    <cellStyle name="Data" xfId="586" xr:uid="{00000000-0005-0000-0000-000073020000}"/>
    <cellStyle name="Duasdec" xfId="587" xr:uid="{00000000-0005-0000-0000-000074020000}"/>
    <cellStyle name="Emphasis 1" xfId="2418" xr:uid="{00000000-0005-0000-0000-000075020000}"/>
    <cellStyle name="Emphasis 2" xfId="2419" xr:uid="{00000000-0005-0000-0000-000076020000}"/>
    <cellStyle name="Emphasis 3" xfId="2420" xr:uid="{00000000-0005-0000-0000-000077020000}"/>
    <cellStyle name="Ênfase1" xfId="23" builtinId="29" customBuiltin="1"/>
    <cellStyle name="Ênfase1 10 2" xfId="588" xr:uid="{00000000-0005-0000-0000-000079020000}"/>
    <cellStyle name="Ênfase1 11 2" xfId="589" xr:uid="{00000000-0005-0000-0000-00007A020000}"/>
    <cellStyle name="Ênfase1 12 2" xfId="590" xr:uid="{00000000-0005-0000-0000-00007B020000}"/>
    <cellStyle name="Ênfase1 13 2" xfId="591" xr:uid="{00000000-0005-0000-0000-00007C020000}"/>
    <cellStyle name="Ênfase1 14 2" xfId="592" xr:uid="{00000000-0005-0000-0000-00007D020000}"/>
    <cellStyle name="Ênfase1 15 2" xfId="593" xr:uid="{00000000-0005-0000-0000-00007E020000}"/>
    <cellStyle name="Ênfase1 16 2" xfId="594" xr:uid="{00000000-0005-0000-0000-00007F020000}"/>
    <cellStyle name="Ênfase1 17 2" xfId="595" xr:uid="{00000000-0005-0000-0000-000080020000}"/>
    <cellStyle name="Ênfase1 2" xfId="596" xr:uid="{00000000-0005-0000-0000-000081020000}"/>
    <cellStyle name="Ênfase1 2 2" xfId="597" xr:uid="{00000000-0005-0000-0000-000082020000}"/>
    <cellStyle name="Ênfase1 3" xfId="598" xr:uid="{00000000-0005-0000-0000-000083020000}"/>
    <cellStyle name="Ênfase1 3 2" xfId="599" xr:uid="{00000000-0005-0000-0000-000084020000}"/>
    <cellStyle name="Ênfase1 4" xfId="600" xr:uid="{00000000-0005-0000-0000-000085020000}"/>
    <cellStyle name="Ênfase1 4 2" xfId="601" xr:uid="{00000000-0005-0000-0000-000086020000}"/>
    <cellStyle name="Ênfase1 5" xfId="602" xr:uid="{00000000-0005-0000-0000-000087020000}"/>
    <cellStyle name="Ênfase1 5 2" xfId="603" xr:uid="{00000000-0005-0000-0000-000088020000}"/>
    <cellStyle name="Ênfase1 6" xfId="2421" xr:uid="{00000000-0005-0000-0000-000089020000}"/>
    <cellStyle name="Ênfase1 6 2" xfId="604" xr:uid="{00000000-0005-0000-0000-00008A020000}"/>
    <cellStyle name="Ênfase1 7 2" xfId="605" xr:uid="{00000000-0005-0000-0000-00008B020000}"/>
    <cellStyle name="Ênfase1 8 2" xfId="606" xr:uid="{00000000-0005-0000-0000-00008C020000}"/>
    <cellStyle name="Ênfase1 9 2" xfId="607" xr:uid="{00000000-0005-0000-0000-00008D020000}"/>
    <cellStyle name="Ênfase2" xfId="24" builtinId="33" customBuiltin="1"/>
    <cellStyle name="Ênfase2 10 2" xfId="608" xr:uid="{00000000-0005-0000-0000-00008F020000}"/>
    <cellStyle name="Ênfase2 11 2" xfId="609" xr:uid="{00000000-0005-0000-0000-000090020000}"/>
    <cellStyle name="Ênfase2 12 2" xfId="610" xr:uid="{00000000-0005-0000-0000-000091020000}"/>
    <cellStyle name="Ênfase2 13 2" xfId="611" xr:uid="{00000000-0005-0000-0000-000092020000}"/>
    <cellStyle name="Ênfase2 14 2" xfId="612" xr:uid="{00000000-0005-0000-0000-000093020000}"/>
    <cellStyle name="Ênfase2 15 2" xfId="613" xr:uid="{00000000-0005-0000-0000-000094020000}"/>
    <cellStyle name="Ênfase2 16 2" xfId="614" xr:uid="{00000000-0005-0000-0000-000095020000}"/>
    <cellStyle name="Ênfase2 17 2" xfId="615" xr:uid="{00000000-0005-0000-0000-000096020000}"/>
    <cellStyle name="Ênfase2 2" xfId="616" xr:uid="{00000000-0005-0000-0000-000097020000}"/>
    <cellStyle name="Ênfase2 2 2" xfId="617" xr:uid="{00000000-0005-0000-0000-000098020000}"/>
    <cellStyle name="Ênfase2 3" xfId="618" xr:uid="{00000000-0005-0000-0000-000099020000}"/>
    <cellStyle name="Ênfase2 3 2" xfId="619" xr:uid="{00000000-0005-0000-0000-00009A020000}"/>
    <cellStyle name="Ênfase2 4" xfId="620" xr:uid="{00000000-0005-0000-0000-00009B020000}"/>
    <cellStyle name="Ênfase2 4 2" xfId="621" xr:uid="{00000000-0005-0000-0000-00009C020000}"/>
    <cellStyle name="Ênfase2 5" xfId="622" xr:uid="{00000000-0005-0000-0000-00009D020000}"/>
    <cellStyle name="Ênfase2 5 2" xfId="623" xr:uid="{00000000-0005-0000-0000-00009E020000}"/>
    <cellStyle name="Ênfase2 6" xfId="2422" xr:uid="{00000000-0005-0000-0000-00009F020000}"/>
    <cellStyle name="Ênfase2 6 2" xfId="624" xr:uid="{00000000-0005-0000-0000-0000A0020000}"/>
    <cellStyle name="Ênfase2 7 2" xfId="625" xr:uid="{00000000-0005-0000-0000-0000A1020000}"/>
    <cellStyle name="Ênfase2 8 2" xfId="626" xr:uid="{00000000-0005-0000-0000-0000A2020000}"/>
    <cellStyle name="Ênfase2 9 2" xfId="627" xr:uid="{00000000-0005-0000-0000-0000A3020000}"/>
    <cellStyle name="Ênfase3" xfId="25" builtinId="37" customBuiltin="1"/>
    <cellStyle name="Ênfase3 10 2" xfId="628" xr:uid="{00000000-0005-0000-0000-0000A5020000}"/>
    <cellStyle name="Ênfase3 11 2" xfId="629" xr:uid="{00000000-0005-0000-0000-0000A6020000}"/>
    <cellStyle name="Ênfase3 12 2" xfId="630" xr:uid="{00000000-0005-0000-0000-0000A7020000}"/>
    <cellStyle name="Ênfase3 13 2" xfId="631" xr:uid="{00000000-0005-0000-0000-0000A8020000}"/>
    <cellStyle name="Ênfase3 14 2" xfId="632" xr:uid="{00000000-0005-0000-0000-0000A9020000}"/>
    <cellStyle name="Ênfase3 15 2" xfId="633" xr:uid="{00000000-0005-0000-0000-0000AA020000}"/>
    <cellStyle name="Ênfase3 16 2" xfId="634" xr:uid="{00000000-0005-0000-0000-0000AB020000}"/>
    <cellStyle name="Ênfase3 17 2" xfId="635" xr:uid="{00000000-0005-0000-0000-0000AC020000}"/>
    <cellStyle name="Ênfase3 2" xfId="636" xr:uid="{00000000-0005-0000-0000-0000AD020000}"/>
    <cellStyle name="Ênfase3 2 2" xfId="637" xr:uid="{00000000-0005-0000-0000-0000AE020000}"/>
    <cellStyle name="Ênfase3 3" xfId="638" xr:uid="{00000000-0005-0000-0000-0000AF020000}"/>
    <cellStyle name="Ênfase3 3 2" xfId="639" xr:uid="{00000000-0005-0000-0000-0000B0020000}"/>
    <cellStyle name="Ênfase3 4" xfId="640" xr:uid="{00000000-0005-0000-0000-0000B1020000}"/>
    <cellStyle name="Ênfase3 4 2" xfId="641" xr:uid="{00000000-0005-0000-0000-0000B2020000}"/>
    <cellStyle name="Ênfase3 5" xfId="642" xr:uid="{00000000-0005-0000-0000-0000B3020000}"/>
    <cellStyle name="Ênfase3 5 2" xfId="643" xr:uid="{00000000-0005-0000-0000-0000B4020000}"/>
    <cellStyle name="Ênfase3 6" xfId="2423" xr:uid="{00000000-0005-0000-0000-0000B5020000}"/>
    <cellStyle name="Ênfase3 6 2" xfId="644" xr:uid="{00000000-0005-0000-0000-0000B6020000}"/>
    <cellStyle name="Ênfase3 7 2" xfId="645" xr:uid="{00000000-0005-0000-0000-0000B7020000}"/>
    <cellStyle name="Ênfase3 8 2" xfId="646" xr:uid="{00000000-0005-0000-0000-0000B8020000}"/>
    <cellStyle name="Ênfase3 9 2" xfId="647" xr:uid="{00000000-0005-0000-0000-0000B9020000}"/>
    <cellStyle name="Ênfase4" xfId="26" builtinId="41" customBuiltin="1"/>
    <cellStyle name="Ênfase4 10 2" xfId="648" xr:uid="{00000000-0005-0000-0000-0000BB020000}"/>
    <cellStyle name="Ênfase4 11 2" xfId="649" xr:uid="{00000000-0005-0000-0000-0000BC020000}"/>
    <cellStyle name="Ênfase4 12 2" xfId="650" xr:uid="{00000000-0005-0000-0000-0000BD020000}"/>
    <cellStyle name="Ênfase4 13 2" xfId="651" xr:uid="{00000000-0005-0000-0000-0000BE020000}"/>
    <cellStyle name="Ênfase4 14 2" xfId="652" xr:uid="{00000000-0005-0000-0000-0000BF020000}"/>
    <cellStyle name="Ênfase4 15 2" xfId="653" xr:uid="{00000000-0005-0000-0000-0000C0020000}"/>
    <cellStyle name="Ênfase4 16 2" xfId="654" xr:uid="{00000000-0005-0000-0000-0000C1020000}"/>
    <cellStyle name="Ênfase4 17 2" xfId="655" xr:uid="{00000000-0005-0000-0000-0000C2020000}"/>
    <cellStyle name="Ênfase4 2" xfId="656" xr:uid="{00000000-0005-0000-0000-0000C3020000}"/>
    <cellStyle name="Ênfase4 2 2" xfId="657" xr:uid="{00000000-0005-0000-0000-0000C4020000}"/>
    <cellStyle name="Ênfase4 3" xfId="658" xr:uid="{00000000-0005-0000-0000-0000C5020000}"/>
    <cellStyle name="Ênfase4 3 2" xfId="659" xr:uid="{00000000-0005-0000-0000-0000C6020000}"/>
    <cellStyle name="Ênfase4 4" xfId="660" xr:uid="{00000000-0005-0000-0000-0000C7020000}"/>
    <cellStyle name="Ênfase4 4 2" xfId="661" xr:uid="{00000000-0005-0000-0000-0000C8020000}"/>
    <cellStyle name="Ênfase4 5" xfId="662" xr:uid="{00000000-0005-0000-0000-0000C9020000}"/>
    <cellStyle name="Ênfase4 5 2" xfId="663" xr:uid="{00000000-0005-0000-0000-0000CA020000}"/>
    <cellStyle name="Ênfase4 6" xfId="2424" xr:uid="{00000000-0005-0000-0000-0000CB020000}"/>
    <cellStyle name="Ênfase4 6 2" xfId="664" xr:uid="{00000000-0005-0000-0000-0000CC020000}"/>
    <cellStyle name="Ênfase4 7 2" xfId="665" xr:uid="{00000000-0005-0000-0000-0000CD020000}"/>
    <cellStyle name="Ênfase4 8 2" xfId="666" xr:uid="{00000000-0005-0000-0000-0000CE020000}"/>
    <cellStyle name="Ênfase4 9 2" xfId="667" xr:uid="{00000000-0005-0000-0000-0000CF020000}"/>
    <cellStyle name="Ênfase5" xfId="27" builtinId="45" customBuiltin="1"/>
    <cellStyle name="Ênfase5 10 2" xfId="668" xr:uid="{00000000-0005-0000-0000-0000D1020000}"/>
    <cellStyle name="Ênfase5 11 2" xfId="669" xr:uid="{00000000-0005-0000-0000-0000D2020000}"/>
    <cellStyle name="Ênfase5 12 2" xfId="670" xr:uid="{00000000-0005-0000-0000-0000D3020000}"/>
    <cellStyle name="Ênfase5 13 2" xfId="671" xr:uid="{00000000-0005-0000-0000-0000D4020000}"/>
    <cellStyle name="Ênfase5 14 2" xfId="672" xr:uid="{00000000-0005-0000-0000-0000D5020000}"/>
    <cellStyle name="Ênfase5 15 2" xfId="673" xr:uid="{00000000-0005-0000-0000-0000D6020000}"/>
    <cellStyle name="Ênfase5 16 2" xfId="674" xr:uid="{00000000-0005-0000-0000-0000D7020000}"/>
    <cellStyle name="Ênfase5 17 2" xfId="675" xr:uid="{00000000-0005-0000-0000-0000D8020000}"/>
    <cellStyle name="Ênfase5 2" xfId="676" xr:uid="{00000000-0005-0000-0000-0000D9020000}"/>
    <cellStyle name="Ênfase5 2 2" xfId="677" xr:uid="{00000000-0005-0000-0000-0000DA020000}"/>
    <cellStyle name="Ênfase5 3" xfId="678" xr:uid="{00000000-0005-0000-0000-0000DB020000}"/>
    <cellStyle name="Ênfase5 3 2" xfId="679" xr:uid="{00000000-0005-0000-0000-0000DC020000}"/>
    <cellStyle name="Ênfase5 4" xfId="680" xr:uid="{00000000-0005-0000-0000-0000DD020000}"/>
    <cellStyle name="Ênfase5 4 2" xfId="681" xr:uid="{00000000-0005-0000-0000-0000DE020000}"/>
    <cellStyle name="Ênfase5 5" xfId="682" xr:uid="{00000000-0005-0000-0000-0000DF020000}"/>
    <cellStyle name="Ênfase5 5 2" xfId="683" xr:uid="{00000000-0005-0000-0000-0000E0020000}"/>
    <cellStyle name="Ênfase5 6 2" xfId="684" xr:uid="{00000000-0005-0000-0000-0000E1020000}"/>
    <cellStyle name="Ênfase5 7 2" xfId="685" xr:uid="{00000000-0005-0000-0000-0000E2020000}"/>
    <cellStyle name="Ênfase5 8 2" xfId="686" xr:uid="{00000000-0005-0000-0000-0000E3020000}"/>
    <cellStyle name="Ênfase5 9 2" xfId="687" xr:uid="{00000000-0005-0000-0000-0000E4020000}"/>
    <cellStyle name="Ênfase6" xfId="28" builtinId="49" customBuiltin="1"/>
    <cellStyle name="Ênfase6 10 2" xfId="688" xr:uid="{00000000-0005-0000-0000-0000E6020000}"/>
    <cellStyle name="Ênfase6 11 2" xfId="689" xr:uid="{00000000-0005-0000-0000-0000E7020000}"/>
    <cellStyle name="Ênfase6 12 2" xfId="690" xr:uid="{00000000-0005-0000-0000-0000E8020000}"/>
    <cellStyle name="Ênfase6 13 2" xfId="691" xr:uid="{00000000-0005-0000-0000-0000E9020000}"/>
    <cellStyle name="Ênfase6 14 2" xfId="692" xr:uid="{00000000-0005-0000-0000-0000EA020000}"/>
    <cellStyle name="Ênfase6 15 2" xfId="693" xr:uid="{00000000-0005-0000-0000-0000EB020000}"/>
    <cellStyle name="Ênfase6 16 2" xfId="694" xr:uid="{00000000-0005-0000-0000-0000EC020000}"/>
    <cellStyle name="Ênfase6 17 2" xfId="695" xr:uid="{00000000-0005-0000-0000-0000ED020000}"/>
    <cellStyle name="Ênfase6 2" xfId="696" xr:uid="{00000000-0005-0000-0000-0000EE020000}"/>
    <cellStyle name="Ênfase6 2 2" xfId="697" xr:uid="{00000000-0005-0000-0000-0000EF020000}"/>
    <cellStyle name="Ênfase6 3" xfId="698" xr:uid="{00000000-0005-0000-0000-0000F0020000}"/>
    <cellStyle name="Ênfase6 3 2" xfId="699" xr:uid="{00000000-0005-0000-0000-0000F1020000}"/>
    <cellStyle name="Ênfase6 4" xfId="700" xr:uid="{00000000-0005-0000-0000-0000F2020000}"/>
    <cellStyle name="Ênfase6 4 2" xfId="701" xr:uid="{00000000-0005-0000-0000-0000F3020000}"/>
    <cellStyle name="Ênfase6 5" xfId="702" xr:uid="{00000000-0005-0000-0000-0000F4020000}"/>
    <cellStyle name="Ênfase6 5 2" xfId="703" xr:uid="{00000000-0005-0000-0000-0000F5020000}"/>
    <cellStyle name="Ênfase6 6" xfId="2425" xr:uid="{00000000-0005-0000-0000-0000F6020000}"/>
    <cellStyle name="Ênfase6 6 2" xfId="704" xr:uid="{00000000-0005-0000-0000-0000F7020000}"/>
    <cellStyle name="Ênfase6 7 2" xfId="705" xr:uid="{00000000-0005-0000-0000-0000F8020000}"/>
    <cellStyle name="Ênfase6 8 2" xfId="706" xr:uid="{00000000-0005-0000-0000-0000F9020000}"/>
    <cellStyle name="Ênfase6 9 2" xfId="707" xr:uid="{00000000-0005-0000-0000-0000FA020000}"/>
    <cellStyle name="Entrada" xfId="29" builtinId="20" customBuiltin="1"/>
    <cellStyle name="Entrada 10 2" xfId="708" xr:uid="{00000000-0005-0000-0000-0000FC020000}"/>
    <cellStyle name="Entrada 11 2" xfId="709" xr:uid="{00000000-0005-0000-0000-0000FD020000}"/>
    <cellStyle name="Entrada 12 2" xfId="710" xr:uid="{00000000-0005-0000-0000-0000FE020000}"/>
    <cellStyle name="Entrada 13 2" xfId="711" xr:uid="{00000000-0005-0000-0000-0000FF020000}"/>
    <cellStyle name="Entrada 14 2" xfId="712" xr:uid="{00000000-0005-0000-0000-000000030000}"/>
    <cellStyle name="Entrada 15 2" xfId="713" xr:uid="{00000000-0005-0000-0000-000001030000}"/>
    <cellStyle name="Entrada 16 2" xfId="714" xr:uid="{00000000-0005-0000-0000-000002030000}"/>
    <cellStyle name="Entrada 17 2" xfId="715" xr:uid="{00000000-0005-0000-0000-000003030000}"/>
    <cellStyle name="Entrada 2" xfId="716" xr:uid="{00000000-0005-0000-0000-000004030000}"/>
    <cellStyle name="Entrada 2 2" xfId="717" xr:uid="{00000000-0005-0000-0000-000005030000}"/>
    <cellStyle name="Entrada 3" xfId="718" xr:uid="{00000000-0005-0000-0000-000006030000}"/>
    <cellStyle name="Entrada 3 2" xfId="719" xr:uid="{00000000-0005-0000-0000-000007030000}"/>
    <cellStyle name="Entrada 4" xfId="720" xr:uid="{00000000-0005-0000-0000-000008030000}"/>
    <cellStyle name="Entrada 4 2" xfId="721" xr:uid="{00000000-0005-0000-0000-000009030000}"/>
    <cellStyle name="Entrada 5" xfId="722" xr:uid="{00000000-0005-0000-0000-00000A030000}"/>
    <cellStyle name="Entrada 5 2" xfId="723" xr:uid="{00000000-0005-0000-0000-00000B030000}"/>
    <cellStyle name="Entrada 6" xfId="2426" xr:uid="{00000000-0005-0000-0000-00000C030000}"/>
    <cellStyle name="Entrada 6 2" xfId="724" xr:uid="{00000000-0005-0000-0000-00000D030000}"/>
    <cellStyle name="Entrada 7 2" xfId="725" xr:uid="{00000000-0005-0000-0000-00000E030000}"/>
    <cellStyle name="Entrada 8 2" xfId="726" xr:uid="{00000000-0005-0000-0000-00000F030000}"/>
    <cellStyle name="Entrada 9 2" xfId="727" xr:uid="{00000000-0005-0000-0000-000010030000}"/>
    <cellStyle name="Euro" xfId="2427" xr:uid="{00000000-0005-0000-0000-000011030000}"/>
    <cellStyle name="Euro 2" xfId="2428" xr:uid="{00000000-0005-0000-0000-000012030000}"/>
    <cellStyle name="Excel Built-in Normal" xfId="1666" xr:uid="{00000000-0005-0000-0000-000013030000}"/>
    <cellStyle name="Excel_BuiltIn_Comma 1_Plan1" xfId="2429" xr:uid="{00000000-0005-0000-0000-000014030000}"/>
    <cellStyle name="Explanatory Text" xfId="2430" xr:uid="{00000000-0005-0000-0000-000015030000}"/>
    <cellStyle name="Fixo" xfId="728" xr:uid="{00000000-0005-0000-0000-000016030000}"/>
    <cellStyle name="Good" xfId="2431" xr:uid="{00000000-0005-0000-0000-000017030000}"/>
    <cellStyle name="Graphics" xfId="2432" xr:uid="{00000000-0005-0000-0000-000018030000}"/>
    <cellStyle name="Heading 1" xfId="2433" xr:uid="{00000000-0005-0000-0000-000019030000}"/>
    <cellStyle name="Heading 2" xfId="2434" xr:uid="{00000000-0005-0000-0000-00001A030000}"/>
    <cellStyle name="Heading 3" xfId="2435" xr:uid="{00000000-0005-0000-0000-00001B030000}"/>
    <cellStyle name="Heading 4" xfId="2436" xr:uid="{00000000-0005-0000-0000-00001C030000}"/>
    <cellStyle name="Hiperlink" xfId="2956" builtinId="8"/>
    <cellStyle name="Hyperlink 2" xfId="1959" xr:uid="{00000000-0005-0000-0000-00001E030000}"/>
    <cellStyle name="Hyperlink 3" xfId="2437" xr:uid="{00000000-0005-0000-0000-00001F030000}"/>
    <cellStyle name="Incorreto 10 2" xfId="729" xr:uid="{00000000-0005-0000-0000-000021030000}"/>
    <cellStyle name="Incorreto 11 2" xfId="730" xr:uid="{00000000-0005-0000-0000-000022030000}"/>
    <cellStyle name="Incorreto 12 2" xfId="731" xr:uid="{00000000-0005-0000-0000-000023030000}"/>
    <cellStyle name="Incorreto 13 2" xfId="732" xr:uid="{00000000-0005-0000-0000-000024030000}"/>
    <cellStyle name="Incorreto 14 2" xfId="733" xr:uid="{00000000-0005-0000-0000-000025030000}"/>
    <cellStyle name="Incorreto 15 2" xfId="734" xr:uid="{00000000-0005-0000-0000-000026030000}"/>
    <cellStyle name="Incorreto 16 2" xfId="735" xr:uid="{00000000-0005-0000-0000-000027030000}"/>
    <cellStyle name="Incorreto 17 2" xfId="736" xr:uid="{00000000-0005-0000-0000-000028030000}"/>
    <cellStyle name="Incorreto 2" xfId="737" xr:uid="{00000000-0005-0000-0000-000029030000}"/>
    <cellStyle name="Incorreto 2 2" xfId="738" xr:uid="{00000000-0005-0000-0000-00002A030000}"/>
    <cellStyle name="Incorreto 3" xfId="739" xr:uid="{00000000-0005-0000-0000-00002B030000}"/>
    <cellStyle name="Incorreto 3 2" xfId="740" xr:uid="{00000000-0005-0000-0000-00002C030000}"/>
    <cellStyle name="Incorreto 4" xfId="741" xr:uid="{00000000-0005-0000-0000-00002D030000}"/>
    <cellStyle name="Incorreto 4 2" xfId="742" xr:uid="{00000000-0005-0000-0000-00002E030000}"/>
    <cellStyle name="Incorreto 5" xfId="743" xr:uid="{00000000-0005-0000-0000-00002F030000}"/>
    <cellStyle name="Incorreto 5 2" xfId="744" xr:uid="{00000000-0005-0000-0000-000030030000}"/>
    <cellStyle name="Incorreto 6" xfId="2438" xr:uid="{00000000-0005-0000-0000-000031030000}"/>
    <cellStyle name="Incorreto 6 2" xfId="745" xr:uid="{00000000-0005-0000-0000-000032030000}"/>
    <cellStyle name="Incorreto 7 2" xfId="746" xr:uid="{00000000-0005-0000-0000-000033030000}"/>
    <cellStyle name="Incorreto 8 2" xfId="747" xr:uid="{00000000-0005-0000-0000-000034030000}"/>
    <cellStyle name="Incorreto 9 2" xfId="748" xr:uid="{00000000-0005-0000-0000-000035030000}"/>
    <cellStyle name="Indefinido" xfId="2439" xr:uid="{00000000-0005-0000-0000-000036030000}"/>
    <cellStyle name="Input" xfId="2440" xr:uid="{00000000-0005-0000-0000-000037030000}"/>
    <cellStyle name="item" xfId="2441" xr:uid="{00000000-0005-0000-0000-000038030000}"/>
    <cellStyle name="Linked Cell" xfId="2442" xr:uid="{00000000-0005-0000-0000-000039030000}"/>
    <cellStyle name="Moeda" xfId="1956" builtinId="4"/>
    <cellStyle name="Moeda 2" xfId="749" xr:uid="{00000000-0005-0000-0000-00003B030000}"/>
    <cellStyle name="Moeda 2 2" xfId="750" xr:uid="{00000000-0005-0000-0000-00003C030000}"/>
    <cellStyle name="Moeda 2 2 2" xfId="2248" xr:uid="{00000000-0005-0000-0000-00003D030000}"/>
    <cellStyle name="Moeda 2 2 3" xfId="2249" xr:uid="{00000000-0005-0000-0000-00003E030000}"/>
    <cellStyle name="Moeda 2 2 3 2" xfId="2250" xr:uid="{00000000-0005-0000-0000-00003F030000}"/>
    <cellStyle name="Moeda 2 2 3 2 2" xfId="2251" xr:uid="{00000000-0005-0000-0000-000040030000}"/>
    <cellStyle name="Moeda 2 2 4" xfId="2252" xr:uid="{00000000-0005-0000-0000-000041030000}"/>
    <cellStyle name="Moeda 2 3" xfId="751" xr:uid="{00000000-0005-0000-0000-000042030000}"/>
    <cellStyle name="Moeda 2 3 2" xfId="1671" xr:uid="{00000000-0005-0000-0000-000043030000}"/>
    <cellStyle name="Moeda 2 3 2 2" xfId="1967" xr:uid="{00000000-0005-0000-0000-000044030000}"/>
    <cellStyle name="Moeda 2 4" xfId="1672" xr:uid="{00000000-0005-0000-0000-000045030000}"/>
    <cellStyle name="Moeda 2 4 2" xfId="1968" xr:uid="{00000000-0005-0000-0000-000046030000}"/>
    <cellStyle name="Moeda 3" xfId="752" xr:uid="{00000000-0005-0000-0000-000047030000}"/>
    <cellStyle name="Moeda 3 2" xfId="2253" xr:uid="{00000000-0005-0000-0000-000048030000}"/>
    <cellStyle name="Moeda 3 2 2" xfId="2254" xr:uid="{00000000-0005-0000-0000-000049030000}"/>
    <cellStyle name="Moeda 3 2 2 2" xfId="2255" xr:uid="{00000000-0005-0000-0000-00004A030000}"/>
    <cellStyle name="Moeda 3 2 3" xfId="2256" xr:uid="{00000000-0005-0000-0000-00004B030000}"/>
    <cellStyle name="Moeda 3 3" xfId="2257" xr:uid="{00000000-0005-0000-0000-00004C030000}"/>
    <cellStyle name="Moeda 3 3 2" xfId="2258" xr:uid="{00000000-0005-0000-0000-00004D030000}"/>
    <cellStyle name="Moeda 3 4" xfId="2259" xr:uid="{00000000-0005-0000-0000-00004E030000}"/>
    <cellStyle name="Moeda 4" xfId="1958" xr:uid="{00000000-0005-0000-0000-00004F030000}"/>
    <cellStyle name="Moeda 4 2" xfId="1960" xr:uid="{00000000-0005-0000-0000-000050030000}"/>
    <cellStyle name="Moeda 4 2 2" xfId="2260" xr:uid="{00000000-0005-0000-0000-000051030000}"/>
    <cellStyle name="Moeda 4 2 3" xfId="2261" xr:uid="{00000000-0005-0000-0000-000052030000}"/>
    <cellStyle name="Moeda 4 3" xfId="2247" xr:uid="{00000000-0005-0000-0000-000053030000}"/>
    <cellStyle name="Moeda 5" xfId="753" xr:uid="{00000000-0005-0000-0000-000054030000}"/>
    <cellStyle name="Moeda 5 2" xfId="754" xr:uid="{00000000-0005-0000-0000-000055030000}"/>
    <cellStyle name="Moeda 5 2 2" xfId="2262" xr:uid="{00000000-0005-0000-0000-000056030000}"/>
    <cellStyle name="Moeda 5 3" xfId="2263" xr:uid="{00000000-0005-0000-0000-000057030000}"/>
    <cellStyle name="Moeda 6" xfId="2245" xr:uid="{00000000-0005-0000-0000-000058030000}"/>
    <cellStyle name="Moeda 6 2" xfId="2264" xr:uid="{00000000-0005-0000-0000-000059030000}"/>
    <cellStyle name="Moeda 7" xfId="2265" xr:uid="{00000000-0005-0000-0000-00005A030000}"/>
    <cellStyle name="Moeda 8" xfId="2266" xr:uid="{00000000-0005-0000-0000-00005B030000}"/>
    <cellStyle name="Moeda 9" xfId="2267" xr:uid="{00000000-0005-0000-0000-00005C030000}"/>
    <cellStyle name="Moeda_capa 54107" xfId="1665" xr:uid="{00000000-0005-0000-0000-00005D030000}"/>
    <cellStyle name="Moeda0" xfId="755" xr:uid="{00000000-0005-0000-0000-00005E030000}"/>
    <cellStyle name="Neutra 10 2" xfId="756" xr:uid="{00000000-0005-0000-0000-000060030000}"/>
    <cellStyle name="Neutra 11 2" xfId="757" xr:uid="{00000000-0005-0000-0000-000061030000}"/>
    <cellStyle name="Neutra 12 2" xfId="758" xr:uid="{00000000-0005-0000-0000-000062030000}"/>
    <cellStyle name="Neutra 13 2" xfId="759" xr:uid="{00000000-0005-0000-0000-000063030000}"/>
    <cellStyle name="Neutra 14 2" xfId="760" xr:uid="{00000000-0005-0000-0000-000064030000}"/>
    <cellStyle name="Neutra 15 2" xfId="761" xr:uid="{00000000-0005-0000-0000-000065030000}"/>
    <cellStyle name="Neutra 16 2" xfId="762" xr:uid="{00000000-0005-0000-0000-000066030000}"/>
    <cellStyle name="Neutra 17 2" xfId="763" xr:uid="{00000000-0005-0000-0000-000067030000}"/>
    <cellStyle name="Neutra 2" xfId="764" xr:uid="{00000000-0005-0000-0000-000068030000}"/>
    <cellStyle name="Neutra 2 2" xfId="765" xr:uid="{00000000-0005-0000-0000-000069030000}"/>
    <cellStyle name="Neutra 3" xfId="766" xr:uid="{00000000-0005-0000-0000-00006A030000}"/>
    <cellStyle name="Neutra 3 2" xfId="767" xr:uid="{00000000-0005-0000-0000-00006B030000}"/>
    <cellStyle name="Neutra 4" xfId="768" xr:uid="{00000000-0005-0000-0000-00006C030000}"/>
    <cellStyle name="Neutra 4 2" xfId="769" xr:uid="{00000000-0005-0000-0000-00006D030000}"/>
    <cellStyle name="Neutra 5" xfId="770" xr:uid="{00000000-0005-0000-0000-00006E030000}"/>
    <cellStyle name="Neutra 5 2" xfId="771" xr:uid="{00000000-0005-0000-0000-00006F030000}"/>
    <cellStyle name="Neutra 6" xfId="2443" xr:uid="{00000000-0005-0000-0000-000070030000}"/>
    <cellStyle name="Neutra 6 2" xfId="772" xr:uid="{00000000-0005-0000-0000-000071030000}"/>
    <cellStyle name="Neutra 7 2" xfId="773" xr:uid="{00000000-0005-0000-0000-000072030000}"/>
    <cellStyle name="Neutra 8 2" xfId="774" xr:uid="{00000000-0005-0000-0000-000073030000}"/>
    <cellStyle name="Neutra 9 2" xfId="775" xr:uid="{00000000-0005-0000-0000-000074030000}"/>
    <cellStyle name="Neutral" xfId="2444" xr:uid="{00000000-0005-0000-0000-000075030000}"/>
    <cellStyle name="Neutro" xfId="31" builtinId="28" customBuiltin="1"/>
    <cellStyle name="Normal" xfId="0" builtinId="0"/>
    <cellStyle name="Normal 10" xfId="42" xr:uid="{00000000-0005-0000-0000-000077030000}"/>
    <cellStyle name="Normal 10 10" xfId="2445" xr:uid="{00000000-0005-0000-0000-000078030000}"/>
    <cellStyle name="Normal 10 11" xfId="2446" xr:uid="{00000000-0005-0000-0000-000079030000}"/>
    <cellStyle name="Normal 10 12" xfId="2447" xr:uid="{00000000-0005-0000-0000-00007A030000}"/>
    <cellStyle name="Normal 10 13" xfId="2448" xr:uid="{00000000-0005-0000-0000-00007B030000}"/>
    <cellStyle name="Normal 10 14" xfId="2449" xr:uid="{00000000-0005-0000-0000-00007C030000}"/>
    <cellStyle name="Normal 10 15" xfId="2450" xr:uid="{00000000-0005-0000-0000-00007D030000}"/>
    <cellStyle name="Normal 10 16" xfId="2451" xr:uid="{00000000-0005-0000-0000-00007E030000}"/>
    <cellStyle name="Normal 10 17" xfId="2452" xr:uid="{00000000-0005-0000-0000-00007F030000}"/>
    <cellStyle name="Normal 10 18" xfId="2453" xr:uid="{00000000-0005-0000-0000-000080030000}"/>
    <cellStyle name="Normal 10 19" xfId="2454" xr:uid="{00000000-0005-0000-0000-000081030000}"/>
    <cellStyle name="Normal 10 2" xfId="43" xr:uid="{00000000-0005-0000-0000-000082030000}"/>
    <cellStyle name="Normal 10 2 2" xfId="1673" xr:uid="{00000000-0005-0000-0000-000083030000}"/>
    <cellStyle name="Normal 10 2 3" xfId="2455" xr:uid="{00000000-0005-0000-0000-000084030000}"/>
    <cellStyle name="Normal 10 20" xfId="2456" xr:uid="{00000000-0005-0000-0000-000085030000}"/>
    <cellStyle name="Normal 10 21" xfId="2457" xr:uid="{00000000-0005-0000-0000-000086030000}"/>
    <cellStyle name="Normal 10 22" xfId="2458" xr:uid="{00000000-0005-0000-0000-000087030000}"/>
    <cellStyle name="Normal 10 23" xfId="2459" xr:uid="{00000000-0005-0000-0000-000088030000}"/>
    <cellStyle name="Normal 10 24" xfId="2460" xr:uid="{00000000-0005-0000-0000-000089030000}"/>
    <cellStyle name="Normal 10 25" xfId="2461" xr:uid="{00000000-0005-0000-0000-00008A030000}"/>
    <cellStyle name="Normal 10 26" xfId="2462" xr:uid="{00000000-0005-0000-0000-00008B030000}"/>
    <cellStyle name="Normal 10 27" xfId="2463" xr:uid="{00000000-0005-0000-0000-00008C030000}"/>
    <cellStyle name="Normal 10 28" xfId="2464" xr:uid="{00000000-0005-0000-0000-00008D030000}"/>
    <cellStyle name="Normal 10 29" xfId="2465" xr:uid="{00000000-0005-0000-0000-00008E030000}"/>
    <cellStyle name="Normal 10 3" xfId="2466" xr:uid="{00000000-0005-0000-0000-00008F030000}"/>
    <cellStyle name="Normal 10 30" xfId="2467" xr:uid="{00000000-0005-0000-0000-000090030000}"/>
    <cellStyle name="Normal 10 31" xfId="2468" xr:uid="{00000000-0005-0000-0000-000091030000}"/>
    <cellStyle name="Normal 10 32" xfId="2469" xr:uid="{00000000-0005-0000-0000-000092030000}"/>
    <cellStyle name="Normal 10 33" xfId="2470" xr:uid="{00000000-0005-0000-0000-000093030000}"/>
    <cellStyle name="Normal 10 34" xfId="2471" xr:uid="{00000000-0005-0000-0000-000094030000}"/>
    <cellStyle name="Normal 10 35" xfId="2472" xr:uid="{00000000-0005-0000-0000-000095030000}"/>
    <cellStyle name="Normal 10 36" xfId="2473" xr:uid="{00000000-0005-0000-0000-000096030000}"/>
    <cellStyle name="Normal 10 37" xfId="2474" xr:uid="{00000000-0005-0000-0000-000097030000}"/>
    <cellStyle name="Normal 10 38" xfId="2475" xr:uid="{00000000-0005-0000-0000-000098030000}"/>
    <cellStyle name="Normal 10 39" xfId="2476" xr:uid="{00000000-0005-0000-0000-000099030000}"/>
    <cellStyle name="Normal 10 4" xfId="2268" xr:uid="{00000000-0005-0000-0000-00009A030000}"/>
    <cellStyle name="Normal 10 5" xfId="2477" xr:uid="{00000000-0005-0000-0000-00009B030000}"/>
    <cellStyle name="Normal 10 6" xfId="2478" xr:uid="{00000000-0005-0000-0000-00009C030000}"/>
    <cellStyle name="Normal 10 7" xfId="2479" xr:uid="{00000000-0005-0000-0000-00009D030000}"/>
    <cellStyle name="Normal 10 8" xfId="2480" xr:uid="{00000000-0005-0000-0000-00009E030000}"/>
    <cellStyle name="Normal 10 9" xfId="2481" xr:uid="{00000000-0005-0000-0000-00009F030000}"/>
    <cellStyle name="Normal 100" xfId="776" xr:uid="{00000000-0005-0000-0000-0000A0030000}"/>
    <cellStyle name="Normal 101" xfId="777" xr:uid="{00000000-0005-0000-0000-0000A1030000}"/>
    <cellStyle name="Normal 102" xfId="778" xr:uid="{00000000-0005-0000-0000-0000A2030000}"/>
    <cellStyle name="Normal 103" xfId="779" xr:uid="{00000000-0005-0000-0000-0000A3030000}"/>
    <cellStyle name="Normal 104" xfId="780" xr:uid="{00000000-0005-0000-0000-0000A4030000}"/>
    <cellStyle name="Normal 105" xfId="781" xr:uid="{00000000-0005-0000-0000-0000A5030000}"/>
    <cellStyle name="Normal 106" xfId="782" xr:uid="{00000000-0005-0000-0000-0000A6030000}"/>
    <cellStyle name="Normal 107" xfId="783" xr:uid="{00000000-0005-0000-0000-0000A7030000}"/>
    <cellStyle name="Normal 108" xfId="784" xr:uid="{00000000-0005-0000-0000-0000A8030000}"/>
    <cellStyle name="Normal 109" xfId="785" xr:uid="{00000000-0005-0000-0000-0000A9030000}"/>
    <cellStyle name="Normal 11" xfId="786" xr:uid="{00000000-0005-0000-0000-0000AA030000}"/>
    <cellStyle name="Normal 11 10" xfId="2482" xr:uid="{00000000-0005-0000-0000-0000AB030000}"/>
    <cellStyle name="Normal 11 11" xfId="2483" xr:uid="{00000000-0005-0000-0000-0000AC030000}"/>
    <cellStyle name="Normal 11 12" xfId="2484" xr:uid="{00000000-0005-0000-0000-0000AD030000}"/>
    <cellStyle name="Normal 11 13" xfId="2485" xr:uid="{00000000-0005-0000-0000-0000AE030000}"/>
    <cellStyle name="Normal 11 14" xfId="2486" xr:uid="{00000000-0005-0000-0000-0000AF030000}"/>
    <cellStyle name="Normal 11 15" xfId="2487" xr:uid="{00000000-0005-0000-0000-0000B0030000}"/>
    <cellStyle name="Normal 11 16" xfId="2488" xr:uid="{00000000-0005-0000-0000-0000B1030000}"/>
    <cellStyle name="Normal 11 17" xfId="2489" xr:uid="{00000000-0005-0000-0000-0000B2030000}"/>
    <cellStyle name="Normal 11 18" xfId="2490" xr:uid="{00000000-0005-0000-0000-0000B3030000}"/>
    <cellStyle name="Normal 11 19" xfId="2491" xr:uid="{00000000-0005-0000-0000-0000B4030000}"/>
    <cellStyle name="Normal 11 2" xfId="787" xr:uid="{00000000-0005-0000-0000-0000B5030000}"/>
    <cellStyle name="Normal 11 20" xfId="2492" xr:uid="{00000000-0005-0000-0000-0000B6030000}"/>
    <cellStyle name="Normal 11 21" xfId="2493" xr:uid="{00000000-0005-0000-0000-0000B7030000}"/>
    <cellStyle name="Normal 11 22" xfId="2494" xr:uid="{00000000-0005-0000-0000-0000B8030000}"/>
    <cellStyle name="Normal 11 23" xfId="2495" xr:uid="{00000000-0005-0000-0000-0000B9030000}"/>
    <cellStyle name="Normal 11 24" xfId="2496" xr:uid="{00000000-0005-0000-0000-0000BA030000}"/>
    <cellStyle name="Normal 11 25" xfId="2497" xr:uid="{00000000-0005-0000-0000-0000BB030000}"/>
    <cellStyle name="Normal 11 26" xfId="2498" xr:uid="{00000000-0005-0000-0000-0000BC030000}"/>
    <cellStyle name="Normal 11 27" xfId="2499" xr:uid="{00000000-0005-0000-0000-0000BD030000}"/>
    <cellStyle name="Normal 11 28" xfId="2500" xr:uid="{00000000-0005-0000-0000-0000BE030000}"/>
    <cellStyle name="Normal 11 29" xfId="2501" xr:uid="{00000000-0005-0000-0000-0000BF030000}"/>
    <cellStyle name="Normal 11 3" xfId="2269" xr:uid="{00000000-0005-0000-0000-0000C0030000}"/>
    <cellStyle name="Normal 11 30" xfId="2502" xr:uid="{00000000-0005-0000-0000-0000C1030000}"/>
    <cellStyle name="Normal 11 31" xfId="2503" xr:uid="{00000000-0005-0000-0000-0000C2030000}"/>
    <cellStyle name="Normal 11 32" xfId="2504" xr:uid="{00000000-0005-0000-0000-0000C3030000}"/>
    <cellStyle name="Normal 11 33" xfId="2505" xr:uid="{00000000-0005-0000-0000-0000C4030000}"/>
    <cellStyle name="Normal 11 34" xfId="2506" xr:uid="{00000000-0005-0000-0000-0000C5030000}"/>
    <cellStyle name="Normal 11 35" xfId="2507" xr:uid="{00000000-0005-0000-0000-0000C6030000}"/>
    <cellStyle name="Normal 11 36" xfId="2508" xr:uid="{00000000-0005-0000-0000-0000C7030000}"/>
    <cellStyle name="Normal 11 37" xfId="2509" xr:uid="{00000000-0005-0000-0000-0000C8030000}"/>
    <cellStyle name="Normal 11 38" xfId="2510" xr:uid="{00000000-0005-0000-0000-0000C9030000}"/>
    <cellStyle name="Normal 11 39" xfId="2511" xr:uid="{00000000-0005-0000-0000-0000CA030000}"/>
    <cellStyle name="Normal 11 4" xfId="2512" xr:uid="{00000000-0005-0000-0000-0000CB030000}"/>
    <cellStyle name="Normal 11 5" xfId="2513" xr:uid="{00000000-0005-0000-0000-0000CC030000}"/>
    <cellStyle name="Normal 11 6" xfId="2514" xr:uid="{00000000-0005-0000-0000-0000CD030000}"/>
    <cellStyle name="Normal 11 7" xfId="2515" xr:uid="{00000000-0005-0000-0000-0000CE030000}"/>
    <cellStyle name="Normal 11 8" xfId="2516" xr:uid="{00000000-0005-0000-0000-0000CF030000}"/>
    <cellStyle name="Normal 11 9" xfId="2517" xr:uid="{00000000-0005-0000-0000-0000D0030000}"/>
    <cellStyle name="Normal 110" xfId="788" xr:uid="{00000000-0005-0000-0000-0000D1030000}"/>
    <cellStyle name="Normal 111" xfId="789" xr:uid="{00000000-0005-0000-0000-0000D2030000}"/>
    <cellStyle name="Normal 112" xfId="790" xr:uid="{00000000-0005-0000-0000-0000D3030000}"/>
    <cellStyle name="Normal 113" xfId="791" xr:uid="{00000000-0005-0000-0000-0000D4030000}"/>
    <cellStyle name="Normal 114" xfId="792" xr:uid="{00000000-0005-0000-0000-0000D5030000}"/>
    <cellStyle name="Normal 115" xfId="793" xr:uid="{00000000-0005-0000-0000-0000D6030000}"/>
    <cellStyle name="Normal 116" xfId="794" xr:uid="{00000000-0005-0000-0000-0000D7030000}"/>
    <cellStyle name="Normal 117" xfId="795" xr:uid="{00000000-0005-0000-0000-0000D8030000}"/>
    <cellStyle name="Normal 118" xfId="796" xr:uid="{00000000-0005-0000-0000-0000D9030000}"/>
    <cellStyle name="Normal 119" xfId="797" xr:uid="{00000000-0005-0000-0000-0000DA030000}"/>
    <cellStyle name="Normal 12" xfId="798" xr:uid="{00000000-0005-0000-0000-0000DB030000}"/>
    <cellStyle name="Normal 12 2" xfId="2518" xr:uid="{00000000-0005-0000-0000-0000DC030000}"/>
    <cellStyle name="Normal 12 2 2" xfId="799" xr:uid="{00000000-0005-0000-0000-0000DD030000}"/>
    <cellStyle name="Normal 12 2 2 2" xfId="2270" xr:uid="{00000000-0005-0000-0000-0000DE030000}"/>
    <cellStyle name="Normal 12 2 2 3" xfId="2519" xr:uid="{00000000-0005-0000-0000-0000DF030000}"/>
    <cellStyle name="Normal 12 2 2 3 2" xfId="2520" xr:uid="{00000000-0005-0000-0000-0000E0030000}"/>
    <cellStyle name="Normal 12 2 2 3 3" xfId="2521" xr:uid="{00000000-0005-0000-0000-0000E1030000}"/>
    <cellStyle name="Normal 120" xfId="800" xr:uid="{00000000-0005-0000-0000-0000E2030000}"/>
    <cellStyle name="Normal 121" xfId="801" xr:uid="{00000000-0005-0000-0000-0000E3030000}"/>
    <cellStyle name="Normal 122" xfId="802" xr:uid="{00000000-0005-0000-0000-0000E4030000}"/>
    <cellStyle name="Normal 123" xfId="803" xr:uid="{00000000-0005-0000-0000-0000E5030000}"/>
    <cellStyle name="Normal 124" xfId="804" xr:uid="{00000000-0005-0000-0000-0000E6030000}"/>
    <cellStyle name="Normal 125" xfId="805" xr:uid="{00000000-0005-0000-0000-0000E7030000}"/>
    <cellStyle name="Normal 126" xfId="806" xr:uid="{00000000-0005-0000-0000-0000E8030000}"/>
    <cellStyle name="Normal 127" xfId="807" xr:uid="{00000000-0005-0000-0000-0000E9030000}"/>
    <cellStyle name="Normal 128" xfId="808" xr:uid="{00000000-0005-0000-0000-0000EA030000}"/>
    <cellStyle name="Normal 129" xfId="809" xr:uid="{00000000-0005-0000-0000-0000EB030000}"/>
    <cellStyle name="Normal 13" xfId="810" xr:uid="{00000000-0005-0000-0000-0000EC030000}"/>
    <cellStyle name="Normal 13 2" xfId="811" xr:uid="{00000000-0005-0000-0000-0000ED030000}"/>
    <cellStyle name="Normal 13 3" xfId="2522" xr:uid="{00000000-0005-0000-0000-0000EE030000}"/>
    <cellStyle name="Normal 130" xfId="812" xr:uid="{00000000-0005-0000-0000-0000EF030000}"/>
    <cellStyle name="Normal 131" xfId="813" xr:uid="{00000000-0005-0000-0000-0000F0030000}"/>
    <cellStyle name="Normal 132" xfId="814" xr:uid="{00000000-0005-0000-0000-0000F1030000}"/>
    <cellStyle name="Normal 133" xfId="815" xr:uid="{00000000-0005-0000-0000-0000F2030000}"/>
    <cellStyle name="Normal 134" xfId="816" xr:uid="{00000000-0005-0000-0000-0000F3030000}"/>
    <cellStyle name="Normal 135" xfId="817" xr:uid="{00000000-0005-0000-0000-0000F4030000}"/>
    <cellStyle name="Normal 136" xfId="818" xr:uid="{00000000-0005-0000-0000-0000F5030000}"/>
    <cellStyle name="Normal 137" xfId="819" xr:uid="{00000000-0005-0000-0000-0000F6030000}"/>
    <cellStyle name="Normal 138" xfId="820" xr:uid="{00000000-0005-0000-0000-0000F7030000}"/>
    <cellStyle name="Normal 139" xfId="821" xr:uid="{00000000-0005-0000-0000-0000F8030000}"/>
    <cellStyle name="Normal 14" xfId="822" xr:uid="{00000000-0005-0000-0000-0000F9030000}"/>
    <cellStyle name="Normal 14 2" xfId="823" xr:uid="{00000000-0005-0000-0000-0000FA030000}"/>
    <cellStyle name="Normal 140" xfId="824" xr:uid="{00000000-0005-0000-0000-0000FB030000}"/>
    <cellStyle name="Normal 141" xfId="825" xr:uid="{00000000-0005-0000-0000-0000FC030000}"/>
    <cellStyle name="Normal 142" xfId="826" xr:uid="{00000000-0005-0000-0000-0000FD030000}"/>
    <cellStyle name="Normal 143" xfId="827" xr:uid="{00000000-0005-0000-0000-0000FE030000}"/>
    <cellStyle name="Normal 144" xfId="828" xr:uid="{00000000-0005-0000-0000-0000FF030000}"/>
    <cellStyle name="Normal 145" xfId="829" xr:uid="{00000000-0005-0000-0000-000000040000}"/>
    <cellStyle name="Normal 146" xfId="830" xr:uid="{00000000-0005-0000-0000-000001040000}"/>
    <cellStyle name="Normal 147" xfId="831" xr:uid="{00000000-0005-0000-0000-000002040000}"/>
    <cellStyle name="Normal 148" xfId="832" xr:uid="{00000000-0005-0000-0000-000003040000}"/>
    <cellStyle name="Normal 149" xfId="833" xr:uid="{00000000-0005-0000-0000-000004040000}"/>
    <cellStyle name="Normal 15" xfId="834" xr:uid="{00000000-0005-0000-0000-000005040000}"/>
    <cellStyle name="Normal 15 2" xfId="835" xr:uid="{00000000-0005-0000-0000-000006040000}"/>
    <cellStyle name="Normal 150" xfId="836" xr:uid="{00000000-0005-0000-0000-000007040000}"/>
    <cellStyle name="Normal 151" xfId="837" xr:uid="{00000000-0005-0000-0000-000008040000}"/>
    <cellStyle name="Normal 152" xfId="838" xr:uid="{00000000-0005-0000-0000-000009040000}"/>
    <cellStyle name="Normal 153" xfId="839" xr:uid="{00000000-0005-0000-0000-00000A040000}"/>
    <cellStyle name="Normal 154" xfId="840" xr:uid="{00000000-0005-0000-0000-00000B040000}"/>
    <cellStyle name="Normal 155" xfId="841" xr:uid="{00000000-0005-0000-0000-00000C040000}"/>
    <cellStyle name="Normal 156" xfId="842" xr:uid="{00000000-0005-0000-0000-00000D040000}"/>
    <cellStyle name="Normal 157" xfId="843" xr:uid="{00000000-0005-0000-0000-00000E040000}"/>
    <cellStyle name="Normal 158" xfId="844" xr:uid="{00000000-0005-0000-0000-00000F040000}"/>
    <cellStyle name="Normal 159" xfId="845" xr:uid="{00000000-0005-0000-0000-000010040000}"/>
    <cellStyle name="Normal 16" xfId="846" xr:uid="{00000000-0005-0000-0000-000011040000}"/>
    <cellStyle name="Normal 16 2" xfId="847" xr:uid="{00000000-0005-0000-0000-000012040000}"/>
    <cellStyle name="Normal 160" xfId="848" xr:uid="{00000000-0005-0000-0000-000013040000}"/>
    <cellStyle name="Normal 161" xfId="849" xr:uid="{00000000-0005-0000-0000-000014040000}"/>
    <cellStyle name="Normal 162" xfId="850" xr:uid="{00000000-0005-0000-0000-000015040000}"/>
    <cellStyle name="Normal 163" xfId="851" xr:uid="{00000000-0005-0000-0000-000016040000}"/>
    <cellStyle name="Normal 164" xfId="852" xr:uid="{00000000-0005-0000-0000-000017040000}"/>
    <cellStyle name="Normal 165" xfId="853" xr:uid="{00000000-0005-0000-0000-000018040000}"/>
    <cellStyle name="Normal 166" xfId="854" xr:uid="{00000000-0005-0000-0000-000019040000}"/>
    <cellStyle name="Normal 167" xfId="855" xr:uid="{00000000-0005-0000-0000-00001A040000}"/>
    <cellStyle name="Normal 168" xfId="856" xr:uid="{00000000-0005-0000-0000-00001B040000}"/>
    <cellStyle name="Normal 169" xfId="857" xr:uid="{00000000-0005-0000-0000-00001C040000}"/>
    <cellStyle name="Normal 17" xfId="858" xr:uid="{00000000-0005-0000-0000-00001D040000}"/>
    <cellStyle name="Normal 17 2" xfId="859" xr:uid="{00000000-0005-0000-0000-00001E040000}"/>
    <cellStyle name="Normal 170" xfId="860" xr:uid="{00000000-0005-0000-0000-00001F040000}"/>
    <cellStyle name="Normal 171" xfId="861" xr:uid="{00000000-0005-0000-0000-000020040000}"/>
    <cellStyle name="Normal 172" xfId="862" xr:uid="{00000000-0005-0000-0000-000021040000}"/>
    <cellStyle name="Normal 173" xfId="863" xr:uid="{00000000-0005-0000-0000-000022040000}"/>
    <cellStyle name="Normal 174" xfId="864" xr:uid="{00000000-0005-0000-0000-000023040000}"/>
    <cellStyle name="Normal 175" xfId="865" xr:uid="{00000000-0005-0000-0000-000024040000}"/>
    <cellStyle name="Normal 176" xfId="866" xr:uid="{00000000-0005-0000-0000-000025040000}"/>
    <cellStyle name="Normal 177" xfId="867" xr:uid="{00000000-0005-0000-0000-000026040000}"/>
    <cellStyle name="Normal 178" xfId="868" xr:uid="{00000000-0005-0000-0000-000027040000}"/>
    <cellStyle name="Normal 179" xfId="869" xr:uid="{00000000-0005-0000-0000-000028040000}"/>
    <cellStyle name="Normal 18" xfId="870" xr:uid="{00000000-0005-0000-0000-000029040000}"/>
    <cellStyle name="Normal 18 2" xfId="2523" xr:uid="{00000000-0005-0000-0000-00002A040000}"/>
    <cellStyle name="Normal 180" xfId="871" xr:uid="{00000000-0005-0000-0000-00002B040000}"/>
    <cellStyle name="Normal 181" xfId="872" xr:uid="{00000000-0005-0000-0000-00002C040000}"/>
    <cellStyle name="Normal 182" xfId="873" xr:uid="{00000000-0005-0000-0000-00002D040000}"/>
    <cellStyle name="Normal 183" xfId="874" xr:uid="{00000000-0005-0000-0000-00002E040000}"/>
    <cellStyle name="Normal 184" xfId="875" xr:uid="{00000000-0005-0000-0000-00002F040000}"/>
    <cellStyle name="Normal 184 2" xfId="876" xr:uid="{00000000-0005-0000-0000-000030040000}"/>
    <cellStyle name="Normal 185" xfId="877" xr:uid="{00000000-0005-0000-0000-000031040000}"/>
    <cellStyle name="Normal 186" xfId="878" xr:uid="{00000000-0005-0000-0000-000032040000}"/>
    <cellStyle name="Normal 187" xfId="879" xr:uid="{00000000-0005-0000-0000-000033040000}"/>
    <cellStyle name="Normal 188" xfId="880" xr:uid="{00000000-0005-0000-0000-000034040000}"/>
    <cellStyle name="Normal 189" xfId="881" xr:uid="{00000000-0005-0000-0000-000035040000}"/>
    <cellStyle name="Normal 19" xfId="882" xr:uid="{00000000-0005-0000-0000-000036040000}"/>
    <cellStyle name="Normal 19 2" xfId="2524" xr:uid="{00000000-0005-0000-0000-000037040000}"/>
    <cellStyle name="Normal 190" xfId="883" xr:uid="{00000000-0005-0000-0000-000038040000}"/>
    <cellStyle name="Normal 191" xfId="884" xr:uid="{00000000-0005-0000-0000-000039040000}"/>
    <cellStyle name="Normal 192" xfId="885" xr:uid="{00000000-0005-0000-0000-00003A040000}"/>
    <cellStyle name="Normal 193" xfId="886" xr:uid="{00000000-0005-0000-0000-00003B040000}"/>
    <cellStyle name="Normal 194" xfId="887" xr:uid="{00000000-0005-0000-0000-00003C040000}"/>
    <cellStyle name="Normal 195" xfId="888" xr:uid="{00000000-0005-0000-0000-00003D040000}"/>
    <cellStyle name="Normal 196" xfId="889" xr:uid="{00000000-0005-0000-0000-00003E040000}"/>
    <cellStyle name="Normal 197" xfId="890" xr:uid="{00000000-0005-0000-0000-00003F040000}"/>
    <cellStyle name="Normal 198" xfId="891" xr:uid="{00000000-0005-0000-0000-000040040000}"/>
    <cellStyle name="Normal 199" xfId="892" xr:uid="{00000000-0005-0000-0000-000041040000}"/>
    <cellStyle name="Normal 2" xfId="46" xr:uid="{00000000-0005-0000-0000-000042040000}"/>
    <cellStyle name="Normal 2 10" xfId="893" xr:uid="{00000000-0005-0000-0000-000043040000}"/>
    <cellStyle name="Normal 2 10 2" xfId="2525" xr:uid="{00000000-0005-0000-0000-000044040000}"/>
    <cellStyle name="Normal 2 11" xfId="894" xr:uid="{00000000-0005-0000-0000-000045040000}"/>
    <cellStyle name="Normal 2 12" xfId="895" xr:uid="{00000000-0005-0000-0000-000046040000}"/>
    <cellStyle name="Normal 2 13" xfId="896" xr:uid="{00000000-0005-0000-0000-000047040000}"/>
    <cellStyle name="Normal 2 14" xfId="897" xr:uid="{00000000-0005-0000-0000-000048040000}"/>
    <cellStyle name="Normal 2 15" xfId="898" xr:uid="{00000000-0005-0000-0000-000049040000}"/>
    <cellStyle name="Normal 2 16" xfId="899" xr:uid="{00000000-0005-0000-0000-00004A040000}"/>
    <cellStyle name="Normal 2 17" xfId="900" xr:uid="{00000000-0005-0000-0000-00004B040000}"/>
    <cellStyle name="Normal 2 18" xfId="901" xr:uid="{00000000-0005-0000-0000-00004C040000}"/>
    <cellStyle name="Normal 2 19" xfId="1664" xr:uid="{00000000-0005-0000-0000-00004D040000}"/>
    <cellStyle name="Normal 2 2" xfId="902" xr:uid="{00000000-0005-0000-0000-00004E040000}"/>
    <cellStyle name="Normal 2 2 10" xfId="903" xr:uid="{00000000-0005-0000-0000-00004F040000}"/>
    <cellStyle name="Normal 2 2 11" xfId="904" xr:uid="{00000000-0005-0000-0000-000050040000}"/>
    <cellStyle name="Normal 2 2 12" xfId="905" xr:uid="{00000000-0005-0000-0000-000051040000}"/>
    <cellStyle name="Normal 2 2 13" xfId="906" xr:uid="{00000000-0005-0000-0000-000052040000}"/>
    <cellStyle name="Normal 2 2 14" xfId="907" xr:uid="{00000000-0005-0000-0000-000053040000}"/>
    <cellStyle name="Normal 2 2 15" xfId="908" xr:uid="{00000000-0005-0000-0000-000054040000}"/>
    <cellStyle name="Normal 2 2 16" xfId="2526" xr:uid="{00000000-0005-0000-0000-000055040000}"/>
    <cellStyle name="Normal 2 2 2" xfId="909" xr:uid="{00000000-0005-0000-0000-000056040000}"/>
    <cellStyle name="Normal 2 2 2 10" xfId="910" xr:uid="{00000000-0005-0000-0000-000057040000}"/>
    <cellStyle name="Normal 2 2 2 11" xfId="911" xr:uid="{00000000-0005-0000-0000-000058040000}"/>
    <cellStyle name="Normal 2 2 2 12" xfId="912" xr:uid="{00000000-0005-0000-0000-000059040000}"/>
    <cellStyle name="Normal 2 2 2 2" xfId="913" xr:uid="{00000000-0005-0000-0000-00005A040000}"/>
    <cellStyle name="Normal 2 2 2 2 2" xfId="914" xr:uid="{00000000-0005-0000-0000-00005B040000}"/>
    <cellStyle name="Normal 2 2 2 3" xfId="915" xr:uid="{00000000-0005-0000-0000-00005C040000}"/>
    <cellStyle name="Normal 2 2 2 4" xfId="916" xr:uid="{00000000-0005-0000-0000-00005D040000}"/>
    <cellStyle name="Normal 2 2 2 5" xfId="917" xr:uid="{00000000-0005-0000-0000-00005E040000}"/>
    <cellStyle name="Normal 2 2 2 6" xfId="918" xr:uid="{00000000-0005-0000-0000-00005F040000}"/>
    <cellStyle name="Normal 2 2 2 7" xfId="919" xr:uid="{00000000-0005-0000-0000-000060040000}"/>
    <cellStyle name="Normal 2 2 2 8" xfId="920" xr:uid="{00000000-0005-0000-0000-000061040000}"/>
    <cellStyle name="Normal 2 2 2 9" xfId="921" xr:uid="{00000000-0005-0000-0000-000062040000}"/>
    <cellStyle name="Normal 2 2 3" xfId="922" xr:uid="{00000000-0005-0000-0000-000063040000}"/>
    <cellStyle name="Normal 2 2 4" xfId="923" xr:uid="{00000000-0005-0000-0000-000064040000}"/>
    <cellStyle name="Normal 2 2 5" xfId="924" xr:uid="{00000000-0005-0000-0000-000065040000}"/>
    <cellStyle name="Normal 2 2 5 2" xfId="925" xr:uid="{00000000-0005-0000-0000-000066040000}"/>
    <cellStyle name="Normal 2 2 6" xfId="926" xr:uid="{00000000-0005-0000-0000-000067040000}"/>
    <cellStyle name="Normal 2 2 7" xfId="927" xr:uid="{00000000-0005-0000-0000-000068040000}"/>
    <cellStyle name="Normal 2 2 8" xfId="928" xr:uid="{00000000-0005-0000-0000-000069040000}"/>
    <cellStyle name="Normal 2 2 9" xfId="929" xr:uid="{00000000-0005-0000-0000-00006A040000}"/>
    <cellStyle name="Normal 2 25" xfId="1674" xr:uid="{00000000-0005-0000-0000-00006B040000}"/>
    <cellStyle name="Normal 2 3" xfId="930" xr:uid="{00000000-0005-0000-0000-00006C040000}"/>
    <cellStyle name="Normal 2 3 10" xfId="931" xr:uid="{00000000-0005-0000-0000-00006D040000}"/>
    <cellStyle name="Normal 2 3 11" xfId="932" xr:uid="{00000000-0005-0000-0000-00006E040000}"/>
    <cellStyle name="Normal 2 3 12" xfId="933" xr:uid="{00000000-0005-0000-0000-00006F040000}"/>
    <cellStyle name="Normal 2 3 2" xfId="934" xr:uid="{00000000-0005-0000-0000-000070040000}"/>
    <cellStyle name="Normal 2 3 2 2" xfId="935" xr:uid="{00000000-0005-0000-0000-000071040000}"/>
    <cellStyle name="Normal 2 3 3" xfId="936" xr:uid="{00000000-0005-0000-0000-000072040000}"/>
    <cellStyle name="Normal 2 3 4" xfId="937" xr:uid="{00000000-0005-0000-0000-000073040000}"/>
    <cellStyle name="Normal 2 3 5" xfId="938" xr:uid="{00000000-0005-0000-0000-000074040000}"/>
    <cellStyle name="Normal 2 3 6" xfId="939" xr:uid="{00000000-0005-0000-0000-000075040000}"/>
    <cellStyle name="Normal 2 3 7" xfId="940" xr:uid="{00000000-0005-0000-0000-000076040000}"/>
    <cellStyle name="Normal 2 3 8" xfId="941" xr:uid="{00000000-0005-0000-0000-000077040000}"/>
    <cellStyle name="Normal 2 3 9" xfId="942" xr:uid="{00000000-0005-0000-0000-000078040000}"/>
    <cellStyle name="Normal 2 4" xfId="943" xr:uid="{00000000-0005-0000-0000-000079040000}"/>
    <cellStyle name="Normal 2 4 2" xfId="2271" xr:uid="{00000000-0005-0000-0000-00007A040000}"/>
    <cellStyle name="Normal 2 5" xfId="944" xr:uid="{00000000-0005-0000-0000-00007B040000}"/>
    <cellStyle name="Normal 2 5 2" xfId="945" xr:uid="{00000000-0005-0000-0000-00007C040000}"/>
    <cellStyle name="Normal 2 55" xfId="2527" xr:uid="{00000000-0005-0000-0000-00007D040000}"/>
    <cellStyle name="Normal 2 6" xfId="946" xr:uid="{00000000-0005-0000-0000-00007E040000}"/>
    <cellStyle name="Normal 2 7" xfId="947" xr:uid="{00000000-0005-0000-0000-00007F040000}"/>
    <cellStyle name="Normal 2 8" xfId="948" xr:uid="{00000000-0005-0000-0000-000080040000}"/>
    <cellStyle name="Normal 2 9" xfId="949" xr:uid="{00000000-0005-0000-0000-000081040000}"/>
    <cellStyle name="Normal 2_Cálculos_Instalações_Elétricas" xfId="2528" xr:uid="{00000000-0005-0000-0000-000082040000}"/>
    <cellStyle name="Normal 20" xfId="950" xr:uid="{00000000-0005-0000-0000-000083040000}"/>
    <cellStyle name="Normal 20 2" xfId="2529" xr:uid="{00000000-0005-0000-0000-000084040000}"/>
    <cellStyle name="Normal 200" xfId="951" xr:uid="{00000000-0005-0000-0000-000085040000}"/>
    <cellStyle name="Normal 201" xfId="952" xr:uid="{00000000-0005-0000-0000-000086040000}"/>
    <cellStyle name="Normal 202" xfId="953" xr:uid="{00000000-0005-0000-0000-000087040000}"/>
    <cellStyle name="Normal 203" xfId="954" xr:uid="{00000000-0005-0000-0000-000088040000}"/>
    <cellStyle name="Normal 204" xfId="955" xr:uid="{00000000-0005-0000-0000-000089040000}"/>
    <cellStyle name="Normal 205" xfId="956" xr:uid="{00000000-0005-0000-0000-00008A040000}"/>
    <cellStyle name="Normal 206" xfId="957" xr:uid="{00000000-0005-0000-0000-00008B040000}"/>
    <cellStyle name="Normal 207" xfId="958" xr:uid="{00000000-0005-0000-0000-00008C040000}"/>
    <cellStyle name="Normal 208" xfId="1675" xr:uid="{00000000-0005-0000-0000-00008D040000}"/>
    <cellStyle name="Normal 208 2" xfId="2272" xr:uid="{00000000-0005-0000-0000-00008E040000}"/>
    <cellStyle name="Normal 209" xfId="1676" xr:uid="{00000000-0005-0000-0000-00008F040000}"/>
    <cellStyle name="Normal 21" xfId="959" xr:uid="{00000000-0005-0000-0000-000090040000}"/>
    <cellStyle name="Normal 21 2" xfId="960" xr:uid="{00000000-0005-0000-0000-000091040000}"/>
    <cellStyle name="Normal 210" xfId="1957" xr:uid="{00000000-0005-0000-0000-000092040000}"/>
    <cellStyle name="Normal 210 2" xfId="2246" xr:uid="{00000000-0005-0000-0000-000093040000}"/>
    <cellStyle name="Normal 210 3" xfId="2954" xr:uid="{00000000-0005-0000-0000-000094040000}"/>
    <cellStyle name="Normal 211" xfId="1962" xr:uid="{00000000-0005-0000-0000-000095040000}"/>
    <cellStyle name="Normal 211 2" xfId="2530" xr:uid="{00000000-0005-0000-0000-000096040000}"/>
    <cellStyle name="Normal 211 3" xfId="2955" xr:uid="{00000000-0005-0000-0000-000097040000}"/>
    <cellStyle name="Normal 212" xfId="2531" xr:uid="{00000000-0005-0000-0000-000098040000}"/>
    <cellStyle name="Normal 212 2" xfId="2532" xr:uid="{00000000-0005-0000-0000-000099040000}"/>
    <cellStyle name="Normal 213" xfId="2533" xr:uid="{00000000-0005-0000-0000-00009A040000}"/>
    <cellStyle name="Normal 214" xfId="2534" xr:uid="{00000000-0005-0000-0000-00009B040000}"/>
    <cellStyle name="Normal 215" xfId="2535" xr:uid="{00000000-0005-0000-0000-00009C040000}"/>
    <cellStyle name="Normal 216" xfId="2536" xr:uid="{00000000-0005-0000-0000-00009D040000}"/>
    <cellStyle name="Normal 217" xfId="2537" xr:uid="{00000000-0005-0000-0000-00009E040000}"/>
    <cellStyle name="Normal 218" xfId="2538" xr:uid="{00000000-0005-0000-0000-00009F040000}"/>
    <cellStyle name="Normal 219" xfId="2273" xr:uid="{00000000-0005-0000-0000-0000A0040000}"/>
    <cellStyle name="Normal 219 2" xfId="2353" xr:uid="{00000000-0005-0000-0000-0000A1040000}"/>
    <cellStyle name="Normal 219 2 2" xfId="2953" xr:uid="{00000000-0005-0000-0000-0000A2040000}"/>
    <cellStyle name="Normal 22" xfId="961" xr:uid="{00000000-0005-0000-0000-0000A3040000}"/>
    <cellStyle name="Normal 22 2" xfId="962" xr:uid="{00000000-0005-0000-0000-0000A4040000}"/>
    <cellStyle name="Normal 23" xfId="963" xr:uid="{00000000-0005-0000-0000-0000A5040000}"/>
    <cellStyle name="Normal 23 2" xfId="2539" xr:uid="{00000000-0005-0000-0000-0000A6040000}"/>
    <cellStyle name="Normal 24" xfId="964" xr:uid="{00000000-0005-0000-0000-0000A7040000}"/>
    <cellStyle name="Normal 24 2" xfId="2540" xr:uid="{00000000-0005-0000-0000-0000A8040000}"/>
    <cellStyle name="Normal 25" xfId="965" xr:uid="{00000000-0005-0000-0000-0000A9040000}"/>
    <cellStyle name="Normal 25 2" xfId="966" xr:uid="{00000000-0005-0000-0000-0000AA040000}"/>
    <cellStyle name="Normal 26" xfId="967" xr:uid="{00000000-0005-0000-0000-0000AB040000}"/>
    <cellStyle name="Normal 26 2" xfId="968" xr:uid="{00000000-0005-0000-0000-0000AC040000}"/>
    <cellStyle name="Normal 27" xfId="969" xr:uid="{00000000-0005-0000-0000-0000AD040000}"/>
    <cellStyle name="Normal 27 2" xfId="2541" xr:uid="{00000000-0005-0000-0000-0000AE040000}"/>
    <cellStyle name="Normal 28" xfId="970" xr:uid="{00000000-0005-0000-0000-0000AF040000}"/>
    <cellStyle name="Normal 28 2" xfId="971" xr:uid="{00000000-0005-0000-0000-0000B0040000}"/>
    <cellStyle name="Normal 29" xfId="972" xr:uid="{00000000-0005-0000-0000-0000B1040000}"/>
    <cellStyle name="Normal 29 2" xfId="973" xr:uid="{00000000-0005-0000-0000-0000B2040000}"/>
    <cellStyle name="Normal 3" xfId="974" xr:uid="{00000000-0005-0000-0000-0000B3040000}"/>
    <cellStyle name="Normal 3 10" xfId="975" xr:uid="{00000000-0005-0000-0000-0000B4040000}"/>
    <cellStyle name="Normal 3 11" xfId="976" xr:uid="{00000000-0005-0000-0000-0000B5040000}"/>
    <cellStyle name="Normal 3 12" xfId="977" xr:uid="{00000000-0005-0000-0000-0000B6040000}"/>
    <cellStyle name="Normal 3 13" xfId="978" xr:uid="{00000000-0005-0000-0000-0000B7040000}"/>
    <cellStyle name="Normal 3 14" xfId="979" xr:uid="{00000000-0005-0000-0000-0000B8040000}"/>
    <cellStyle name="Normal 3 15" xfId="980" xr:uid="{00000000-0005-0000-0000-0000B9040000}"/>
    <cellStyle name="Normal 3 16" xfId="981" xr:uid="{00000000-0005-0000-0000-0000BA040000}"/>
    <cellStyle name="Normal 3 17" xfId="982" xr:uid="{00000000-0005-0000-0000-0000BB040000}"/>
    <cellStyle name="Normal 3 18" xfId="983" xr:uid="{00000000-0005-0000-0000-0000BC040000}"/>
    <cellStyle name="Normal 3 19" xfId="984" xr:uid="{00000000-0005-0000-0000-0000BD040000}"/>
    <cellStyle name="Normal 3 2" xfId="985" xr:uid="{00000000-0005-0000-0000-0000BE040000}"/>
    <cellStyle name="Normal 3 2 2" xfId="2542" xr:uid="{00000000-0005-0000-0000-0000BF040000}"/>
    <cellStyle name="Normal 3 20" xfId="986" xr:uid="{00000000-0005-0000-0000-0000C0040000}"/>
    <cellStyle name="Normal 3 21" xfId="987" xr:uid="{00000000-0005-0000-0000-0000C1040000}"/>
    <cellStyle name="Normal 3 22" xfId="988" xr:uid="{00000000-0005-0000-0000-0000C2040000}"/>
    <cellStyle name="Normal 3 23" xfId="989" xr:uid="{00000000-0005-0000-0000-0000C3040000}"/>
    <cellStyle name="Normal 3 24" xfId="990" xr:uid="{00000000-0005-0000-0000-0000C4040000}"/>
    <cellStyle name="Normal 3 25" xfId="991" xr:uid="{00000000-0005-0000-0000-0000C5040000}"/>
    <cellStyle name="Normal 3 26" xfId="992" xr:uid="{00000000-0005-0000-0000-0000C6040000}"/>
    <cellStyle name="Normal 3 27" xfId="993" xr:uid="{00000000-0005-0000-0000-0000C7040000}"/>
    <cellStyle name="Normal 3 28" xfId="2543" xr:uid="{00000000-0005-0000-0000-0000C8040000}"/>
    <cellStyle name="Normal 3 29" xfId="2544" xr:uid="{00000000-0005-0000-0000-0000C9040000}"/>
    <cellStyle name="Normal 3 3" xfId="994" xr:uid="{00000000-0005-0000-0000-0000CA040000}"/>
    <cellStyle name="Normal 3 30" xfId="2545" xr:uid="{00000000-0005-0000-0000-0000CB040000}"/>
    <cellStyle name="Normal 3 31" xfId="2546" xr:uid="{00000000-0005-0000-0000-0000CC040000}"/>
    <cellStyle name="Normal 3 32" xfId="2547" xr:uid="{00000000-0005-0000-0000-0000CD040000}"/>
    <cellStyle name="Normal 3 33" xfId="2548" xr:uid="{00000000-0005-0000-0000-0000CE040000}"/>
    <cellStyle name="Normal 3 34" xfId="2549" xr:uid="{00000000-0005-0000-0000-0000CF040000}"/>
    <cellStyle name="Normal 3 35" xfId="2550" xr:uid="{00000000-0005-0000-0000-0000D0040000}"/>
    <cellStyle name="Normal 3 36" xfId="2551" xr:uid="{00000000-0005-0000-0000-0000D1040000}"/>
    <cellStyle name="Normal 3 37" xfId="2552" xr:uid="{00000000-0005-0000-0000-0000D2040000}"/>
    <cellStyle name="Normal 3 38" xfId="2553" xr:uid="{00000000-0005-0000-0000-0000D3040000}"/>
    <cellStyle name="Normal 3 39" xfId="2554" xr:uid="{00000000-0005-0000-0000-0000D4040000}"/>
    <cellStyle name="Normal 3 4" xfId="995" xr:uid="{00000000-0005-0000-0000-0000D5040000}"/>
    <cellStyle name="Normal 3 4 2" xfId="996" xr:uid="{00000000-0005-0000-0000-0000D6040000}"/>
    <cellStyle name="Normal 3 40" xfId="2555" xr:uid="{00000000-0005-0000-0000-0000D7040000}"/>
    <cellStyle name="Normal 3 5" xfId="997" xr:uid="{00000000-0005-0000-0000-0000D8040000}"/>
    <cellStyle name="Normal 3 6" xfId="998" xr:uid="{00000000-0005-0000-0000-0000D9040000}"/>
    <cellStyle name="Normal 3 7" xfId="999" xr:uid="{00000000-0005-0000-0000-0000DA040000}"/>
    <cellStyle name="Normal 3 8" xfId="1000" xr:uid="{00000000-0005-0000-0000-0000DB040000}"/>
    <cellStyle name="Normal 3 9" xfId="1001" xr:uid="{00000000-0005-0000-0000-0000DC040000}"/>
    <cellStyle name="Normal 30" xfId="1002" xr:uid="{00000000-0005-0000-0000-0000DD040000}"/>
    <cellStyle name="Normal 30 2" xfId="1003" xr:uid="{00000000-0005-0000-0000-0000DE040000}"/>
    <cellStyle name="Normal 31" xfId="1004" xr:uid="{00000000-0005-0000-0000-0000DF040000}"/>
    <cellStyle name="Normal 31 2" xfId="1005" xr:uid="{00000000-0005-0000-0000-0000E0040000}"/>
    <cellStyle name="Normal 32" xfId="1006" xr:uid="{00000000-0005-0000-0000-0000E1040000}"/>
    <cellStyle name="Normal 32 2" xfId="1007" xr:uid="{00000000-0005-0000-0000-0000E2040000}"/>
    <cellStyle name="Normal 33" xfId="1008" xr:uid="{00000000-0005-0000-0000-0000E3040000}"/>
    <cellStyle name="Normal 33 2" xfId="1009" xr:uid="{00000000-0005-0000-0000-0000E4040000}"/>
    <cellStyle name="Normal 34" xfId="1010" xr:uid="{00000000-0005-0000-0000-0000E5040000}"/>
    <cellStyle name="Normal 34 2" xfId="1011" xr:uid="{00000000-0005-0000-0000-0000E6040000}"/>
    <cellStyle name="Normal 35" xfId="1012" xr:uid="{00000000-0005-0000-0000-0000E7040000}"/>
    <cellStyle name="Normal 35 2" xfId="1013" xr:uid="{00000000-0005-0000-0000-0000E8040000}"/>
    <cellStyle name="Normal 36" xfId="1014" xr:uid="{00000000-0005-0000-0000-0000E9040000}"/>
    <cellStyle name="Normal 36 2" xfId="1015" xr:uid="{00000000-0005-0000-0000-0000EA040000}"/>
    <cellStyle name="Normal 36 2 2" xfId="2556" xr:uid="{00000000-0005-0000-0000-0000EB040000}"/>
    <cellStyle name="Normal 37" xfId="1016" xr:uid="{00000000-0005-0000-0000-0000EC040000}"/>
    <cellStyle name="Normal 37 2" xfId="1017" xr:uid="{00000000-0005-0000-0000-0000ED040000}"/>
    <cellStyle name="Normal 38" xfId="1018" xr:uid="{00000000-0005-0000-0000-0000EE040000}"/>
    <cellStyle name="Normal 38 2" xfId="1019" xr:uid="{00000000-0005-0000-0000-0000EF040000}"/>
    <cellStyle name="Normal 39" xfId="1020" xr:uid="{00000000-0005-0000-0000-0000F0040000}"/>
    <cellStyle name="Normal 39 2" xfId="1021" xr:uid="{00000000-0005-0000-0000-0000F1040000}"/>
    <cellStyle name="Normal 4" xfId="1022" xr:uid="{00000000-0005-0000-0000-0000F2040000}"/>
    <cellStyle name="Normal 4 10" xfId="1023" xr:uid="{00000000-0005-0000-0000-0000F3040000}"/>
    <cellStyle name="Normal 4 11" xfId="1024" xr:uid="{00000000-0005-0000-0000-0000F4040000}"/>
    <cellStyle name="Normal 4 12" xfId="1025" xr:uid="{00000000-0005-0000-0000-0000F5040000}"/>
    <cellStyle name="Normal 4 13" xfId="1026" xr:uid="{00000000-0005-0000-0000-0000F6040000}"/>
    <cellStyle name="Normal 4 14" xfId="1027" xr:uid="{00000000-0005-0000-0000-0000F7040000}"/>
    <cellStyle name="Normal 4 15" xfId="1028" xr:uid="{00000000-0005-0000-0000-0000F8040000}"/>
    <cellStyle name="Normal 4 16" xfId="1029" xr:uid="{00000000-0005-0000-0000-0000F9040000}"/>
    <cellStyle name="Normal 4 17" xfId="1030" xr:uid="{00000000-0005-0000-0000-0000FA040000}"/>
    <cellStyle name="Normal 4 18" xfId="1031" xr:uid="{00000000-0005-0000-0000-0000FB040000}"/>
    <cellStyle name="Normal 4 19" xfId="1032" xr:uid="{00000000-0005-0000-0000-0000FC040000}"/>
    <cellStyle name="Normal 4 2" xfId="1033" xr:uid="{00000000-0005-0000-0000-0000FD040000}"/>
    <cellStyle name="Normal 4 2 2" xfId="1034" xr:uid="{00000000-0005-0000-0000-0000FE040000}"/>
    <cellStyle name="Normal 4 20" xfId="2352" xr:uid="{00000000-0005-0000-0000-0000FF040000}"/>
    <cellStyle name="Normal 4 21" xfId="2557" xr:uid="{00000000-0005-0000-0000-000000050000}"/>
    <cellStyle name="Normal 4 22" xfId="2558" xr:uid="{00000000-0005-0000-0000-000001050000}"/>
    <cellStyle name="Normal 4 23" xfId="2559" xr:uid="{00000000-0005-0000-0000-000002050000}"/>
    <cellStyle name="Normal 4 24" xfId="2560" xr:uid="{00000000-0005-0000-0000-000003050000}"/>
    <cellStyle name="Normal 4 25" xfId="2561" xr:uid="{00000000-0005-0000-0000-000004050000}"/>
    <cellStyle name="Normal 4 26" xfId="2562" xr:uid="{00000000-0005-0000-0000-000005050000}"/>
    <cellStyle name="Normal 4 27" xfId="2563" xr:uid="{00000000-0005-0000-0000-000006050000}"/>
    <cellStyle name="Normal 4 28" xfId="2564" xr:uid="{00000000-0005-0000-0000-000007050000}"/>
    <cellStyle name="Normal 4 29" xfId="2565" xr:uid="{00000000-0005-0000-0000-000008050000}"/>
    <cellStyle name="Normal 4 3" xfId="1035" xr:uid="{00000000-0005-0000-0000-000009050000}"/>
    <cellStyle name="Normal 4 3 2" xfId="2566" xr:uid="{00000000-0005-0000-0000-00000A050000}"/>
    <cellStyle name="Normal 4 30" xfId="2567" xr:uid="{00000000-0005-0000-0000-00000B050000}"/>
    <cellStyle name="Normal 4 31" xfId="2568" xr:uid="{00000000-0005-0000-0000-00000C050000}"/>
    <cellStyle name="Normal 4 32" xfId="2569" xr:uid="{00000000-0005-0000-0000-00000D050000}"/>
    <cellStyle name="Normal 4 33" xfId="2570" xr:uid="{00000000-0005-0000-0000-00000E050000}"/>
    <cellStyle name="Normal 4 34" xfId="2571" xr:uid="{00000000-0005-0000-0000-00000F050000}"/>
    <cellStyle name="Normal 4 35" xfId="2572" xr:uid="{00000000-0005-0000-0000-000010050000}"/>
    <cellStyle name="Normal 4 36" xfId="2573" xr:uid="{00000000-0005-0000-0000-000011050000}"/>
    <cellStyle name="Normal 4 37" xfId="2574" xr:uid="{00000000-0005-0000-0000-000012050000}"/>
    <cellStyle name="Normal 4 38" xfId="2575" xr:uid="{00000000-0005-0000-0000-000013050000}"/>
    <cellStyle name="Normal 4 39" xfId="2576" xr:uid="{00000000-0005-0000-0000-000014050000}"/>
    <cellStyle name="Normal 4 4" xfId="1036" xr:uid="{00000000-0005-0000-0000-000015050000}"/>
    <cellStyle name="Normal 4 5" xfId="1037" xr:uid="{00000000-0005-0000-0000-000016050000}"/>
    <cellStyle name="Normal 4 6" xfId="1038" xr:uid="{00000000-0005-0000-0000-000017050000}"/>
    <cellStyle name="Normal 4 7" xfId="1039" xr:uid="{00000000-0005-0000-0000-000018050000}"/>
    <cellStyle name="Normal 4 8" xfId="1040" xr:uid="{00000000-0005-0000-0000-000019050000}"/>
    <cellStyle name="Normal 4 9" xfId="1041" xr:uid="{00000000-0005-0000-0000-00001A050000}"/>
    <cellStyle name="Normal 40" xfId="1042" xr:uid="{00000000-0005-0000-0000-00001B050000}"/>
    <cellStyle name="Normal 40 2" xfId="1043" xr:uid="{00000000-0005-0000-0000-00001C050000}"/>
    <cellStyle name="Normal 41" xfId="1044" xr:uid="{00000000-0005-0000-0000-00001D050000}"/>
    <cellStyle name="Normal 41 2" xfId="1045" xr:uid="{00000000-0005-0000-0000-00001E050000}"/>
    <cellStyle name="Normal 42" xfId="1046" xr:uid="{00000000-0005-0000-0000-00001F050000}"/>
    <cellStyle name="Normal 42 2" xfId="1047" xr:uid="{00000000-0005-0000-0000-000020050000}"/>
    <cellStyle name="Normal 43" xfId="1048" xr:uid="{00000000-0005-0000-0000-000021050000}"/>
    <cellStyle name="Normal 44" xfId="1049" xr:uid="{00000000-0005-0000-0000-000022050000}"/>
    <cellStyle name="Normal 45" xfId="1050" xr:uid="{00000000-0005-0000-0000-000023050000}"/>
    <cellStyle name="Normal 46" xfId="1051" xr:uid="{00000000-0005-0000-0000-000024050000}"/>
    <cellStyle name="Normal 46 2" xfId="44" xr:uid="{00000000-0005-0000-0000-000025050000}"/>
    <cellStyle name="Normal 46 2 2" xfId="2577" xr:uid="{00000000-0005-0000-0000-000026050000}"/>
    <cellStyle name="Normal 46 2 3" xfId="2578" xr:uid="{00000000-0005-0000-0000-000027050000}"/>
    <cellStyle name="Normal 46 3" xfId="1677" xr:uid="{00000000-0005-0000-0000-000028050000}"/>
    <cellStyle name="Normal 47" xfId="1052" xr:uid="{00000000-0005-0000-0000-000029050000}"/>
    <cellStyle name="Normal 47 2" xfId="1053" xr:uid="{00000000-0005-0000-0000-00002A050000}"/>
    <cellStyle name="Normal 48" xfId="1054" xr:uid="{00000000-0005-0000-0000-00002B050000}"/>
    <cellStyle name="Normal 48 2" xfId="1055" xr:uid="{00000000-0005-0000-0000-00002C050000}"/>
    <cellStyle name="Normal 49" xfId="1056" xr:uid="{00000000-0005-0000-0000-00002D050000}"/>
    <cellStyle name="Normal 5" xfId="1667" xr:uid="{00000000-0005-0000-0000-00002E050000}"/>
    <cellStyle name="Normal 5 10" xfId="2579" xr:uid="{00000000-0005-0000-0000-00002F050000}"/>
    <cellStyle name="Normal 5 11" xfId="2580" xr:uid="{00000000-0005-0000-0000-000030050000}"/>
    <cellStyle name="Normal 5 12" xfId="2581" xr:uid="{00000000-0005-0000-0000-000031050000}"/>
    <cellStyle name="Normal 5 13" xfId="2582" xr:uid="{00000000-0005-0000-0000-000032050000}"/>
    <cellStyle name="Normal 5 14" xfId="2583" xr:uid="{00000000-0005-0000-0000-000033050000}"/>
    <cellStyle name="Normal 5 15" xfId="2584" xr:uid="{00000000-0005-0000-0000-000034050000}"/>
    <cellStyle name="Normal 5 16" xfId="2585" xr:uid="{00000000-0005-0000-0000-000035050000}"/>
    <cellStyle name="Normal 5 17" xfId="2586" xr:uid="{00000000-0005-0000-0000-000036050000}"/>
    <cellStyle name="Normal 5 18" xfId="2587" xr:uid="{00000000-0005-0000-0000-000037050000}"/>
    <cellStyle name="Normal 5 19" xfId="2588" xr:uid="{00000000-0005-0000-0000-000038050000}"/>
    <cellStyle name="Normal 5 2" xfId="1057" xr:uid="{00000000-0005-0000-0000-000039050000}"/>
    <cellStyle name="Normal 5 2 2" xfId="1058" xr:uid="{00000000-0005-0000-0000-00003A050000}"/>
    <cellStyle name="Normal 5 2 3" xfId="2589" xr:uid="{00000000-0005-0000-0000-00003B050000}"/>
    <cellStyle name="Normal 5 20" xfId="2590" xr:uid="{00000000-0005-0000-0000-00003C050000}"/>
    <cellStyle name="Normal 5 21" xfId="2591" xr:uid="{00000000-0005-0000-0000-00003D050000}"/>
    <cellStyle name="Normal 5 22" xfId="2592" xr:uid="{00000000-0005-0000-0000-00003E050000}"/>
    <cellStyle name="Normal 5 23" xfId="2593" xr:uid="{00000000-0005-0000-0000-00003F050000}"/>
    <cellStyle name="Normal 5 24" xfId="2594" xr:uid="{00000000-0005-0000-0000-000040050000}"/>
    <cellStyle name="Normal 5 25" xfId="2595" xr:uid="{00000000-0005-0000-0000-000041050000}"/>
    <cellStyle name="Normal 5 26" xfId="2596" xr:uid="{00000000-0005-0000-0000-000042050000}"/>
    <cellStyle name="Normal 5 27" xfId="2597" xr:uid="{00000000-0005-0000-0000-000043050000}"/>
    <cellStyle name="Normal 5 28" xfId="2598" xr:uid="{00000000-0005-0000-0000-000044050000}"/>
    <cellStyle name="Normal 5 29" xfId="2599" xr:uid="{00000000-0005-0000-0000-000045050000}"/>
    <cellStyle name="Normal 5 3" xfId="2600" xr:uid="{00000000-0005-0000-0000-000046050000}"/>
    <cellStyle name="Normal 5 30" xfId="2601" xr:uid="{00000000-0005-0000-0000-000047050000}"/>
    <cellStyle name="Normal 5 31" xfId="2602" xr:uid="{00000000-0005-0000-0000-000048050000}"/>
    <cellStyle name="Normal 5 32" xfId="2603" xr:uid="{00000000-0005-0000-0000-000049050000}"/>
    <cellStyle name="Normal 5 33" xfId="2604" xr:uid="{00000000-0005-0000-0000-00004A050000}"/>
    <cellStyle name="Normal 5 34" xfId="2605" xr:uid="{00000000-0005-0000-0000-00004B050000}"/>
    <cellStyle name="Normal 5 35" xfId="2606" xr:uid="{00000000-0005-0000-0000-00004C050000}"/>
    <cellStyle name="Normal 5 36" xfId="2607" xr:uid="{00000000-0005-0000-0000-00004D050000}"/>
    <cellStyle name="Normal 5 37" xfId="2608" xr:uid="{00000000-0005-0000-0000-00004E050000}"/>
    <cellStyle name="Normal 5 38" xfId="2609" xr:uid="{00000000-0005-0000-0000-00004F050000}"/>
    <cellStyle name="Normal 5 39" xfId="2610" xr:uid="{00000000-0005-0000-0000-000050050000}"/>
    <cellStyle name="Normal 5 4" xfId="2611" xr:uid="{00000000-0005-0000-0000-000051050000}"/>
    <cellStyle name="Normal 5 40" xfId="2612" xr:uid="{00000000-0005-0000-0000-000052050000}"/>
    <cellStyle name="Normal 5 41" xfId="2613" xr:uid="{00000000-0005-0000-0000-000053050000}"/>
    <cellStyle name="Normal 5 5" xfId="2614" xr:uid="{00000000-0005-0000-0000-000054050000}"/>
    <cellStyle name="Normal 5 6" xfId="2615" xr:uid="{00000000-0005-0000-0000-000055050000}"/>
    <cellStyle name="Normal 5 7" xfId="2616" xr:uid="{00000000-0005-0000-0000-000056050000}"/>
    <cellStyle name="Normal 5 8" xfId="2617" xr:uid="{00000000-0005-0000-0000-000057050000}"/>
    <cellStyle name="Normal 5 9" xfId="2618" xr:uid="{00000000-0005-0000-0000-000058050000}"/>
    <cellStyle name="Normal 50" xfId="1059" xr:uid="{00000000-0005-0000-0000-000059050000}"/>
    <cellStyle name="Normal 50 2" xfId="1060" xr:uid="{00000000-0005-0000-0000-00005A050000}"/>
    <cellStyle name="Normal 51" xfId="1061" xr:uid="{00000000-0005-0000-0000-00005B050000}"/>
    <cellStyle name="Normal 52" xfId="1062" xr:uid="{00000000-0005-0000-0000-00005C050000}"/>
    <cellStyle name="Normal 52 2" xfId="1063" xr:uid="{00000000-0005-0000-0000-00005D050000}"/>
    <cellStyle name="Normal 53" xfId="1064" xr:uid="{00000000-0005-0000-0000-00005E050000}"/>
    <cellStyle name="Normal 54" xfId="1065" xr:uid="{00000000-0005-0000-0000-00005F050000}"/>
    <cellStyle name="Normal 55" xfId="1066" xr:uid="{00000000-0005-0000-0000-000060050000}"/>
    <cellStyle name="Normal 56" xfId="1067" xr:uid="{00000000-0005-0000-0000-000061050000}"/>
    <cellStyle name="Normal 56 2" xfId="1068" xr:uid="{00000000-0005-0000-0000-000062050000}"/>
    <cellStyle name="Normal 57" xfId="1069" xr:uid="{00000000-0005-0000-0000-000063050000}"/>
    <cellStyle name="Normal 57 2" xfId="1070" xr:uid="{00000000-0005-0000-0000-000064050000}"/>
    <cellStyle name="Normal 58" xfId="1071" xr:uid="{00000000-0005-0000-0000-000065050000}"/>
    <cellStyle name="Normal 59" xfId="1072" xr:uid="{00000000-0005-0000-0000-000066050000}"/>
    <cellStyle name="Normal 6" xfId="1668" xr:uid="{00000000-0005-0000-0000-000067050000}"/>
    <cellStyle name="Normal 6 10" xfId="2619" xr:uid="{00000000-0005-0000-0000-000068050000}"/>
    <cellStyle name="Normal 6 11" xfId="2620" xr:uid="{00000000-0005-0000-0000-000069050000}"/>
    <cellStyle name="Normal 6 12" xfId="2621" xr:uid="{00000000-0005-0000-0000-00006A050000}"/>
    <cellStyle name="Normal 6 13" xfId="2622" xr:uid="{00000000-0005-0000-0000-00006B050000}"/>
    <cellStyle name="Normal 6 14" xfId="2623" xr:uid="{00000000-0005-0000-0000-00006C050000}"/>
    <cellStyle name="Normal 6 15" xfId="2624" xr:uid="{00000000-0005-0000-0000-00006D050000}"/>
    <cellStyle name="Normal 6 16" xfId="2625" xr:uid="{00000000-0005-0000-0000-00006E050000}"/>
    <cellStyle name="Normal 6 17" xfId="2626" xr:uid="{00000000-0005-0000-0000-00006F050000}"/>
    <cellStyle name="Normal 6 18" xfId="2627" xr:uid="{00000000-0005-0000-0000-000070050000}"/>
    <cellStyle name="Normal 6 19" xfId="2628" xr:uid="{00000000-0005-0000-0000-000071050000}"/>
    <cellStyle name="Normal 6 2" xfId="1073" xr:uid="{00000000-0005-0000-0000-000072050000}"/>
    <cellStyle name="Normal 6 2 2" xfId="2629" xr:uid="{00000000-0005-0000-0000-000073050000}"/>
    <cellStyle name="Normal 6 20" xfId="2630" xr:uid="{00000000-0005-0000-0000-000074050000}"/>
    <cellStyle name="Normal 6 21" xfId="2631" xr:uid="{00000000-0005-0000-0000-000075050000}"/>
    <cellStyle name="Normal 6 22" xfId="2632" xr:uid="{00000000-0005-0000-0000-000076050000}"/>
    <cellStyle name="Normal 6 23" xfId="2633" xr:uid="{00000000-0005-0000-0000-000077050000}"/>
    <cellStyle name="Normal 6 24" xfId="2634" xr:uid="{00000000-0005-0000-0000-000078050000}"/>
    <cellStyle name="Normal 6 25" xfId="2635" xr:uid="{00000000-0005-0000-0000-000079050000}"/>
    <cellStyle name="Normal 6 26" xfId="2636" xr:uid="{00000000-0005-0000-0000-00007A050000}"/>
    <cellStyle name="Normal 6 27" xfId="2637" xr:uid="{00000000-0005-0000-0000-00007B050000}"/>
    <cellStyle name="Normal 6 28" xfId="2638" xr:uid="{00000000-0005-0000-0000-00007C050000}"/>
    <cellStyle name="Normal 6 29" xfId="2639" xr:uid="{00000000-0005-0000-0000-00007D050000}"/>
    <cellStyle name="Normal 6 3" xfId="1074" xr:uid="{00000000-0005-0000-0000-00007E050000}"/>
    <cellStyle name="Normal 6 30" xfId="2640" xr:uid="{00000000-0005-0000-0000-00007F050000}"/>
    <cellStyle name="Normal 6 31" xfId="2641" xr:uid="{00000000-0005-0000-0000-000080050000}"/>
    <cellStyle name="Normal 6 32" xfId="2642" xr:uid="{00000000-0005-0000-0000-000081050000}"/>
    <cellStyle name="Normal 6 33" xfId="2643" xr:uid="{00000000-0005-0000-0000-000082050000}"/>
    <cellStyle name="Normal 6 34" xfId="2644" xr:uid="{00000000-0005-0000-0000-000083050000}"/>
    <cellStyle name="Normal 6 35" xfId="2645" xr:uid="{00000000-0005-0000-0000-000084050000}"/>
    <cellStyle name="Normal 6 36" xfId="2646" xr:uid="{00000000-0005-0000-0000-000085050000}"/>
    <cellStyle name="Normal 6 37" xfId="2647" xr:uid="{00000000-0005-0000-0000-000086050000}"/>
    <cellStyle name="Normal 6 38" xfId="2648" xr:uid="{00000000-0005-0000-0000-000087050000}"/>
    <cellStyle name="Normal 6 39" xfId="2649" xr:uid="{00000000-0005-0000-0000-000088050000}"/>
    <cellStyle name="Normal 6 4" xfId="2650" xr:uid="{00000000-0005-0000-0000-000089050000}"/>
    <cellStyle name="Normal 6 40" xfId="2651" xr:uid="{00000000-0005-0000-0000-00008A050000}"/>
    <cellStyle name="Normal 6 5" xfId="2652" xr:uid="{00000000-0005-0000-0000-00008B050000}"/>
    <cellStyle name="Normal 6 6" xfId="2653" xr:uid="{00000000-0005-0000-0000-00008C050000}"/>
    <cellStyle name="Normal 6 7" xfId="2654" xr:uid="{00000000-0005-0000-0000-00008D050000}"/>
    <cellStyle name="Normal 6 8" xfId="2655" xr:uid="{00000000-0005-0000-0000-00008E050000}"/>
    <cellStyle name="Normal 6 9" xfId="2656" xr:uid="{00000000-0005-0000-0000-00008F050000}"/>
    <cellStyle name="Normal 60" xfId="1075" xr:uid="{00000000-0005-0000-0000-000090050000}"/>
    <cellStyle name="Normal 60 2" xfId="1076" xr:uid="{00000000-0005-0000-0000-000091050000}"/>
    <cellStyle name="Normal 61" xfId="1077" xr:uid="{00000000-0005-0000-0000-000092050000}"/>
    <cellStyle name="Normal 62" xfId="1078" xr:uid="{00000000-0005-0000-0000-000093050000}"/>
    <cellStyle name="Normal 63" xfId="1079" xr:uid="{00000000-0005-0000-0000-000094050000}"/>
    <cellStyle name="Normal 64" xfId="1080" xr:uid="{00000000-0005-0000-0000-000095050000}"/>
    <cellStyle name="Normal 65" xfId="1081" xr:uid="{00000000-0005-0000-0000-000096050000}"/>
    <cellStyle name="Normal 66" xfId="1082" xr:uid="{00000000-0005-0000-0000-000097050000}"/>
    <cellStyle name="Normal 67" xfId="1083" xr:uid="{00000000-0005-0000-0000-000098050000}"/>
    <cellStyle name="Normal 68" xfId="1084" xr:uid="{00000000-0005-0000-0000-000099050000}"/>
    <cellStyle name="Normal 69" xfId="1085" xr:uid="{00000000-0005-0000-0000-00009A050000}"/>
    <cellStyle name="Normal 7" xfId="1086" xr:uid="{00000000-0005-0000-0000-00009B050000}"/>
    <cellStyle name="Normal 7 10" xfId="2657" xr:uid="{00000000-0005-0000-0000-00009C050000}"/>
    <cellStyle name="Normal 7 11" xfId="2658" xr:uid="{00000000-0005-0000-0000-00009D050000}"/>
    <cellStyle name="Normal 7 12" xfId="2659" xr:uid="{00000000-0005-0000-0000-00009E050000}"/>
    <cellStyle name="Normal 7 13" xfId="2660" xr:uid="{00000000-0005-0000-0000-00009F050000}"/>
    <cellStyle name="Normal 7 14" xfId="2661" xr:uid="{00000000-0005-0000-0000-0000A0050000}"/>
    <cellStyle name="Normal 7 15" xfId="2662" xr:uid="{00000000-0005-0000-0000-0000A1050000}"/>
    <cellStyle name="Normal 7 16" xfId="2663" xr:uid="{00000000-0005-0000-0000-0000A2050000}"/>
    <cellStyle name="Normal 7 17" xfId="2664" xr:uid="{00000000-0005-0000-0000-0000A3050000}"/>
    <cellStyle name="Normal 7 18" xfId="2665" xr:uid="{00000000-0005-0000-0000-0000A4050000}"/>
    <cellStyle name="Normal 7 19" xfId="2666" xr:uid="{00000000-0005-0000-0000-0000A5050000}"/>
    <cellStyle name="Normal 7 2" xfId="1087" xr:uid="{00000000-0005-0000-0000-0000A6050000}"/>
    <cellStyle name="Normal 7 2 2" xfId="2667" xr:uid="{00000000-0005-0000-0000-0000A7050000}"/>
    <cellStyle name="Normal 7 20" xfId="2668" xr:uid="{00000000-0005-0000-0000-0000A8050000}"/>
    <cellStyle name="Normal 7 21" xfId="2669" xr:uid="{00000000-0005-0000-0000-0000A9050000}"/>
    <cellStyle name="Normal 7 22" xfId="2670" xr:uid="{00000000-0005-0000-0000-0000AA050000}"/>
    <cellStyle name="Normal 7 23" xfId="2671" xr:uid="{00000000-0005-0000-0000-0000AB050000}"/>
    <cellStyle name="Normal 7 24" xfId="2672" xr:uid="{00000000-0005-0000-0000-0000AC050000}"/>
    <cellStyle name="Normal 7 25" xfId="2673" xr:uid="{00000000-0005-0000-0000-0000AD050000}"/>
    <cellStyle name="Normal 7 26" xfId="2674" xr:uid="{00000000-0005-0000-0000-0000AE050000}"/>
    <cellStyle name="Normal 7 27" xfId="2675" xr:uid="{00000000-0005-0000-0000-0000AF050000}"/>
    <cellStyle name="Normal 7 28" xfId="2676" xr:uid="{00000000-0005-0000-0000-0000B0050000}"/>
    <cellStyle name="Normal 7 29" xfId="2677" xr:uid="{00000000-0005-0000-0000-0000B1050000}"/>
    <cellStyle name="Normal 7 3" xfId="1088" xr:uid="{00000000-0005-0000-0000-0000B2050000}"/>
    <cellStyle name="Normal 7 3 2" xfId="1089" xr:uid="{00000000-0005-0000-0000-0000B3050000}"/>
    <cellStyle name="Normal 7 30" xfId="2678" xr:uid="{00000000-0005-0000-0000-0000B4050000}"/>
    <cellStyle name="Normal 7 31" xfId="2679" xr:uid="{00000000-0005-0000-0000-0000B5050000}"/>
    <cellStyle name="Normal 7 32" xfId="2680" xr:uid="{00000000-0005-0000-0000-0000B6050000}"/>
    <cellStyle name="Normal 7 33" xfId="2681" xr:uid="{00000000-0005-0000-0000-0000B7050000}"/>
    <cellStyle name="Normal 7 34" xfId="2682" xr:uid="{00000000-0005-0000-0000-0000B8050000}"/>
    <cellStyle name="Normal 7 35" xfId="2683" xr:uid="{00000000-0005-0000-0000-0000B9050000}"/>
    <cellStyle name="Normal 7 36" xfId="2684" xr:uid="{00000000-0005-0000-0000-0000BA050000}"/>
    <cellStyle name="Normal 7 37" xfId="2685" xr:uid="{00000000-0005-0000-0000-0000BB050000}"/>
    <cellStyle name="Normal 7 38" xfId="2686" xr:uid="{00000000-0005-0000-0000-0000BC050000}"/>
    <cellStyle name="Normal 7 39" xfId="2687" xr:uid="{00000000-0005-0000-0000-0000BD050000}"/>
    <cellStyle name="Normal 7 4" xfId="2688" xr:uid="{00000000-0005-0000-0000-0000BE050000}"/>
    <cellStyle name="Normal 7 40" xfId="2689" xr:uid="{00000000-0005-0000-0000-0000BF050000}"/>
    <cellStyle name="Normal 7 5" xfId="2690" xr:uid="{00000000-0005-0000-0000-0000C0050000}"/>
    <cellStyle name="Normal 7 6" xfId="2691" xr:uid="{00000000-0005-0000-0000-0000C1050000}"/>
    <cellStyle name="Normal 7 7" xfId="2692" xr:uid="{00000000-0005-0000-0000-0000C2050000}"/>
    <cellStyle name="Normal 7 8" xfId="2693" xr:uid="{00000000-0005-0000-0000-0000C3050000}"/>
    <cellStyle name="Normal 7 9" xfId="2694" xr:uid="{00000000-0005-0000-0000-0000C4050000}"/>
    <cellStyle name="Normal 70" xfId="1090" xr:uid="{00000000-0005-0000-0000-0000C5050000}"/>
    <cellStyle name="Normal 71" xfId="1091" xr:uid="{00000000-0005-0000-0000-0000C6050000}"/>
    <cellStyle name="Normal 72" xfId="1092" xr:uid="{00000000-0005-0000-0000-0000C7050000}"/>
    <cellStyle name="Normal 73" xfId="1093" xr:uid="{00000000-0005-0000-0000-0000C8050000}"/>
    <cellStyle name="Normal 74" xfId="1094" xr:uid="{00000000-0005-0000-0000-0000C9050000}"/>
    <cellStyle name="Normal 75" xfId="1095" xr:uid="{00000000-0005-0000-0000-0000CA050000}"/>
    <cellStyle name="Normal 76" xfId="1096" xr:uid="{00000000-0005-0000-0000-0000CB050000}"/>
    <cellStyle name="Normal 77" xfId="1097" xr:uid="{00000000-0005-0000-0000-0000CC050000}"/>
    <cellStyle name="Normal 78" xfId="1098" xr:uid="{00000000-0005-0000-0000-0000CD050000}"/>
    <cellStyle name="Normal 79" xfId="1099" xr:uid="{00000000-0005-0000-0000-0000CE050000}"/>
    <cellStyle name="Normal 8" xfId="1100" xr:uid="{00000000-0005-0000-0000-0000CF050000}"/>
    <cellStyle name="Normal 8 10" xfId="2695" xr:uid="{00000000-0005-0000-0000-0000D0050000}"/>
    <cellStyle name="Normal 8 11" xfId="2696" xr:uid="{00000000-0005-0000-0000-0000D1050000}"/>
    <cellStyle name="Normal 8 12" xfId="2697" xr:uid="{00000000-0005-0000-0000-0000D2050000}"/>
    <cellStyle name="Normal 8 13" xfId="2698" xr:uid="{00000000-0005-0000-0000-0000D3050000}"/>
    <cellStyle name="Normal 8 14" xfId="2699" xr:uid="{00000000-0005-0000-0000-0000D4050000}"/>
    <cellStyle name="Normal 8 15" xfId="2700" xr:uid="{00000000-0005-0000-0000-0000D5050000}"/>
    <cellStyle name="Normal 8 16" xfId="2701" xr:uid="{00000000-0005-0000-0000-0000D6050000}"/>
    <cellStyle name="Normal 8 17" xfId="2702" xr:uid="{00000000-0005-0000-0000-0000D7050000}"/>
    <cellStyle name="Normal 8 18" xfId="2703" xr:uid="{00000000-0005-0000-0000-0000D8050000}"/>
    <cellStyle name="Normal 8 19" xfId="2704" xr:uid="{00000000-0005-0000-0000-0000D9050000}"/>
    <cellStyle name="Normal 8 2" xfId="1101" xr:uid="{00000000-0005-0000-0000-0000DA050000}"/>
    <cellStyle name="Normal 8 20" xfId="2705" xr:uid="{00000000-0005-0000-0000-0000DB050000}"/>
    <cellStyle name="Normal 8 21" xfId="2706" xr:uid="{00000000-0005-0000-0000-0000DC050000}"/>
    <cellStyle name="Normal 8 22" xfId="2707" xr:uid="{00000000-0005-0000-0000-0000DD050000}"/>
    <cellStyle name="Normal 8 23" xfId="2708" xr:uid="{00000000-0005-0000-0000-0000DE050000}"/>
    <cellStyle name="Normal 8 24" xfId="2709" xr:uid="{00000000-0005-0000-0000-0000DF050000}"/>
    <cellStyle name="Normal 8 25" xfId="2710" xr:uid="{00000000-0005-0000-0000-0000E0050000}"/>
    <cellStyle name="Normal 8 26" xfId="2711" xr:uid="{00000000-0005-0000-0000-0000E1050000}"/>
    <cellStyle name="Normal 8 27" xfId="2712" xr:uid="{00000000-0005-0000-0000-0000E2050000}"/>
    <cellStyle name="Normal 8 28" xfId="2713" xr:uid="{00000000-0005-0000-0000-0000E3050000}"/>
    <cellStyle name="Normal 8 29" xfId="2714" xr:uid="{00000000-0005-0000-0000-0000E4050000}"/>
    <cellStyle name="Normal 8 3" xfId="2715" xr:uid="{00000000-0005-0000-0000-0000E5050000}"/>
    <cellStyle name="Normal 8 30" xfId="2716" xr:uid="{00000000-0005-0000-0000-0000E6050000}"/>
    <cellStyle name="Normal 8 31" xfId="2717" xr:uid="{00000000-0005-0000-0000-0000E7050000}"/>
    <cellStyle name="Normal 8 32" xfId="2718" xr:uid="{00000000-0005-0000-0000-0000E8050000}"/>
    <cellStyle name="Normal 8 33" xfId="2719" xr:uid="{00000000-0005-0000-0000-0000E9050000}"/>
    <cellStyle name="Normal 8 34" xfId="2720" xr:uid="{00000000-0005-0000-0000-0000EA050000}"/>
    <cellStyle name="Normal 8 35" xfId="2721" xr:uid="{00000000-0005-0000-0000-0000EB050000}"/>
    <cellStyle name="Normal 8 36" xfId="2722" xr:uid="{00000000-0005-0000-0000-0000EC050000}"/>
    <cellStyle name="Normal 8 37" xfId="2723" xr:uid="{00000000-0005-0000-0000-0000ED050000}"/>
    <cellStyle name="Normal 8 38" xfId="2724" xr:uid="{00000000-0005-0000-0000-0000EE050000}"/>
    <cellStyle name="Normal 8 39" xfId="2725" xr:uid="{00000000-0005-0000-0000-0000EF050000}"/>
    <cellStyle name="Normal 8 4" xfId="2726" xr:uid="{00000000-0005-0000-0000-0000F0050000}"/>
    <cellStyle name="Normal 8 5" xfId="2727" xr:uid="{00000000-0005-0000-0000-0000F1050000}"/>
    <cellStyle name="Normal 8 6" xfId="2728" xr:uid="{00000000-0005-0000-0000-0000F2050000}"/>
    <cellStyle name="Normal 8 7" xfId="2729" xr:uid="{00000000-0005-0000-0000-0000F3050000}"/>
    <cellStyle name="Normal 8 8" xfId="2730" xr:uid="{00000000-0005-0000-0000-0000F4050000}"/>
    <cellStyle name="Normal 8 9" xfId="2731" xr:uid="{00000000-0005-0000-0000-0000F5050000}"/>
    <cellStyle name="Normal 80" xfId="1102" xr:uid="{00000000-0005-0000-0000-0000F6050000}"/>
    <cellStyle name="Normal 81" xfId="1103" xr:uid="{00000000-0005-0000-0000-0000F7050000}"/>
    <cellStyle name="Normal 82" xfId="1104" xr:uid="{00000000-0005-0000-0000-0000F8050000}"/>
    <cellStyle name="Normal 83" xfId="1105" xr:uid="{00000000-0005-0000-0000-0000F9050000}"/>
    <cellStyle name="Normal 84" xfId="1106" xr:uid="{00000000-0005-0000-0000-0000FA050000}"/>
    <cellStyle name="Normal 85" xfId="1107" xr:uid="{00000000-0005-0000-0000-0000FB050000}"/>
    <cellStyle name="Normal 86" xfId="1108" xr:uid="{00000000-0005-0000-0000-0000FC050000}"/>
    <cellStyle name="Normal 87" xfId="1109" xr:uid="{00000000-0005-0000-0000-0000FD050000}"/>
    <cellStyle name="Normal 88" xfId="1110" xr:uid="{00000000-0005-0000-0000-0000FE050000}"/>
    <cellStyle name="Normal 89" xfId="1111" xr:uid="{00000000-0005-0000-0000-0000FF050000}"/>
    <cellStyle name="Normal 9" xfId="1112" xr:uid="{00000000-0005-0000-0000-000000060000}"/>
    <cellStyle name="Normal 9 10" xfId="2732" xr:uid="{00000000-0005-0000-0000-000001060000}"/>
    <cellStyle name="Normal 9 11" xfId="2733" xr:uid="{00000000-0005-0000-0000-000002060000}"/>
    <cellStyle name="Normal 9 12" xfId="2734" xr:uid="{00000000-0005-0000-0000-000003060000}"/>
    <cellStyle name="Normal 9 13" xfId="2735" xr:uid="{00000000-0005-0000-0000-000004060000}"/>
    <cellStyle name="Normal 9 14" xfId="2736" xr:uid="{00000000-0005-0000-0000-000005060000}"/>
    <cellStyle name="Normal 9 15" xfId="2737" xr:uid="{00000000-0005-0000-0000-000006060000}"/>
    <cellStyle name="Normal 9 16" xfId="2738" xr:uid="{00000000-0005-0000-0000-000007060000}"/>
    <cellStyle name="Normal 9 17" xfId="2739" xr:uid="{00000000-0005-0000-0000-000008060000}"/>
    <cellStyle name="Normal 9 18" xfId="2740" xr:uid="{00000000-0005-0000-0000-000009060000}"/>
    <cellStyle name="Normal 9 19" xfId="2741" xr:uid="{00000000-0005-0000-0000-00000A060000}"/>
    <cellStyle name="Normal 9 2" xfId="1113" xr:uid="{00000000-0005-0000-0000-00000B060000}"/>
    <cellStyle name="Normal 9 2 2" xfId="2742" xr:uid="{00000000-0005-0000-0000-00000C060000}"/>
    <cellStyle name="Normal 9 20" xfId="2743" xr:uid="{00000000-0005-0000-0000-00000D060000}"/>
    <cellStyle name="Normal 9 21" xfId="2744" xr:uid="{00000000-0005-0000-0000-00000E060000}"/>
    <cellStyle name="Normal 9 22" xfId="2745" xr:uid="{00000000-0005-0000-0000-00000F060000}"/>
    <cellStyle name="Normal 9 23" xfId="2746" xr:uid="{00000000-0005-0000-0000-000010060000}"/>
    <cellStyle name="Normal 9 24" xfId="2747" xr:uid="{00000000-0005-0000-0000-000011060000}"/>
    <cellStyle name="Normal 9 25" xfId="2748" xr:uid="{00000000-0005-0000-0000-000012060000}"/>
    <cellStyle name="Normal 9 26" xfId="2749" xr:uid="{00000000-0005-0000-0000-000013060000}"/>
    <cellStyle name="Normal 9 27" xfId="2750" xr:uid="{00000000-0005-0000-0000-000014060000}"/>
    <cellStyle name="Normal 9 28" xfId="2751" xr:uid="{00000000-0005-0000-0000-000015060000}"/>
    <cellStyle name="Normal 9 29" xfId="2752" xr:uid="{00000000-0005-0000-0000-000016060000}"/>
    <cellStyle name="Normal 9 3" xfId="2753" xr:uid="{00000000-0005-0000-0000-000017060000}"/>
    <cellStyle name="Normal 9 3 2" xfId="2754" xr:uid="{00000000-0005-0000-0000-000018060000}"/>
    <cellStyle name="Normal 9 30" xfId="2755" xr:uid="{00000000-0005-0000-0000-000019060000}"/>
    <cellStyle name="Normal 9 31" xfId="2756" xr:uid="{00000000-0005-0000-0000-00001A060000}"/>
    <cellStyle name="Normal 9 32" xfId="2757" xr:uid="{00000000-0005-0000-0000-00001B060000}"/>
    <cellStyle name="Normal 9 33" xfId="2758" xr:uid="{00000000-0005-0000-0000-00001C060000}"/>
    <cellStyle name="Normal 9 34" xfId="2759" xr:uid="{00000000-0005-0000-0000-00001D060000}"/>
    <cellStyle name="Normal 9 35" xfId="2760" xr:uid="{00000000-0005-0000-0000-00001E060000}"/>
    <cellStyle name="Normal 9 36" xfId="2761" xr:uid="{00000000-0005-0000-0000-00001F060000}"/>
    <cellStyle name="Normal 9 37" xfId="2762" xr:uid="{00000000-0005-0000-0000-000020060000}"/>
    <cellStyle name="Normal 9 38" xfId="2763" xr:uid="{00000000-0005-0000-0000-000021060000}"/>
    <cellStyle name="Normal 9 39" xfId="2764" xr:uid="{00000000-0005-0000-0000-000022060000}"/>
    <cellStyle name="Normal 9 4" xfId="2765" xr:uid="{00000000-0005-0000-0000-000023060000}"/>
    <cellStyle name="Normal 9 5" xfId="2766" xr:uid="{00000000-0005-0000-0000-000024060000}"/>
    <cellStyle name="Normal 9 6" xfId="2767" xr:uid="{00000000-0005-0000-0000-000025060000}"/>
    <cellStyle name="Normal 9 7" xfId="2768" xr:uid="{00000000-0005-0000-0000-000026060000}"/>
    <cellStyle name="Normal 9 8" xfId="2769" xr:uid="{00000000-0005-0000-0000-000027060000}"/>
    <cellStyle name="Normal 9 9" xfId="2770" xr:uid="{00000000-0005-0000-0000-000028060000}"/>
    <cellStyle name="Normal 90" xfId="1114" xr:uid="{00000000-0005-0000-0000-000029060000}"/>
    <cellStyle name="Normal 91" xfId="1115" xr:uid="{00000000-0005-0000-0000-00002A060000}"/>
    <cellStyle name="Normal 92" xfId="1116" xr:uid="{00000000-0005-0000-0000-00002B060000}"/>
    <cellStyle name="Normal 93" xfId="1117" xr:uid="{00000000-0005-0000-0000-00002C060000}"/>
    <cellStyle name="Normal 94" xfId="1118" xr:uid="{00000000-0005-0000-0000-00002D060000}"/>
    <cellStyle name="Normal 95" xfId="1119" xr:uid="{00000000-0005-0000-0000-00002E060000}"/>
    <cellStyle name="Normal 96" xfId="1120" xr:uid="{00000000-0005-0000-0000-00002F060000}"/>
    <cellStyle name="Normal 97" xfId="1121" xr:uid="{00000000-0005-0000-0000-000030060000}"/>
    <cellStyle name="Normal 98" xfId="1122" xr:uid="{00000000-0005-0000-0000-000031060000}"/>
    <cellStyle name="Normal 99" xfId="1123" xr:uid="{00000000-0005-0000-0000-000032060000}"/>
    <cellStyle name="Nota" xfId="32" builtinId="10" customBuiltin="1"/>
    <cellStyle name="Nota 10" xfId="1124" xr:uid="{00000000-0005-0000-0000-000034060000}"/>
    <cellStyle name="Nota 10 2" xfId="1125" xr:uid="{00000000-0005-0000-0000-000035060000}"/>
    <cellStyle name="Nota 11" xfId="1126" xr:uid="{00000000-0005-0000-0000-000036060000}"/>
    <cellStyle name="Nota 11 2" xfId="1127" xr:uid="{00000000-0005-0000-0000-000037060000}"/>
    <cellStyle name="Nota 12" xfId="1128" xr:uid="{00000000-0005-0000-0000-000038060000}"/>
    <cellStyle name="Nota 12 2" xfId="1129" xr:uid="{00000000-0005-0000-0000-000039060000}"/>
    <cellStyle name="Nota 13" xfId="1130" xr:uid="{00000000-0005-0000-0000-00003A060000}"/>
    <cellStyle name="Nota 13 2" xfId="1131" xr:uid="{00000000-0005-0000-0000-00003B060000}"/>
    <cellStyle name="Nota 14" xfId="1132" xr:uid="{00000000-0005-0000-0000-00003C060000}"/>
    <cellStyle name="Nota 14 2" xfId="1133" xr:uid="{00000000-0005-0000-0000-00003D060000}"/>
    <cellStyle name="Nota 15" xfId="1134" xr:uid="{00000000-0005-0000-0000-00003E060000}"/>
    <cellStyle name="Nota 15 2" xfId="1135" xr:uid="{00000000-0005-0000-0000-00003F060000}"/>
    <cellStyle name="Nota 16" xfId="1136" xr:uid="{00000000-0005-0000-0000-000040060000}"/>
    <cellStyle name="Nota 16 2" xfId="1137" xr:uid="{00000000-0005-0000-0000-000041060000}"/>
    <cellStyle name="Nota 17" xfId="1138" xr:uid="{00000000-0005-0000-0000-000042060000}"/>
    <cellStyle name="Nota 17 2" xfId="1139" xr:uid="{00000000-0005-0000-0000-000043060000}"/>
    <cellStyle name="Nota 18" xfId="1140" xr:uid="{00000000-0005-0000-0000-000044060000}"/>
    <cellStyle name="Nota 18 2" xfId="2771" xr:uid="{00000000-0005-0000-0000-000045060000}"/>
    <cellStyle name="Nota 19" xfId="1141" xr:uid="{00000000-0005-0000-0000-000046060000}"/>
    <cellStyle name="Nota 19 2" xfId="2772" xr:uid="{00000000-0005-0000-0000-000047060000}"/>
    <cellStyle name="Nota 2" xfId="1142" xr:uid="{00000000-0005-0000-0000-000048060000}"/>
    <cellStyle name="Nota 2 10" xfId="1143" xr:uid="{00000000-0005-0000-0000-000049060000}"/>
    <cellStyle name="Nota 2 11" xfId="1144" xr:uid="{00000000-0005-0000-0000-00004A060000}"/>
    <cellStyle name="Nota 2 12" xfId="1145" xr:uid="{00000000-0005-0000-0000-00004B060000}"/>
    <cellStyle name="Nota 2 13" xfId="1146" xr:uid="{00000000-0005-0000-0000-00004C060000}"/>
    <cellStyle name="Nota 2 14" xfId="1147" xr:uid="{00000000-0005-0000-0000-00004D060000}"/>
    <cellStyle name="Nota 2 15" xfId="1148" xr:uid="{00000000-0005-0000-0000-00004E060000}"/>
    <cellStyle name="Nota 2 16" xfId="1149" xr:uid="{00000000-0005-0000-0000-00004F060000}"/>
    <cellStyle name="Nota 2 17" xfId="1150" xr:uid="{00000000-0005-0000-0000-000050060000}"/>
    <cellStyle name="Nota 2 18" xfId="1151" xr:uid="{00000000-0005-0000-0000-000051060000}"/>
    <cellStyle name="Nota 2 2" xfId="1152" xr:uid="{00000000-0005-0000-0000-000052060000}"/>
    <cellStyle name="Nota 2 3" xfId="1153" xr:uid="{00000000-0005-0000-0000-000053060000}"/>
    <cellStyle name="Nota 2 4" xfId="1154" xr:uid="{00000000-0005-0000-0000-000054060000}"/>
    <cellStyle name="Nota 2 5" xfId="1155" xr:uid="{00000000-0005-0000-0000-000055060000}"/>
    <cellStyle name="Nota 2 6" xfId="1156" xr:uid="{00000000-0005-0000-0000-000056060000}"/>
    <cellStyle name="Nota 2 7" xfId="1157" xr:uid="{00000000-0005-0000-0000-000057060000}"/>
    <cellStyle name="Nota 2 8" xfId="1158" xr:uid="{00000000-0005-0000-0000-000058060000}"/>
    <cellStyle name="Nota 2 9" xfId="1159" xr:uid="{00000000-0005-0000-0000-000059060000}"/>
    <cellStyle name="Nota 20" xfId="1160" xr:uid="{00000000-0005-0000-0000-00005A060000}"/>
    <cellStyle name="Nota 20 2" xfId="2773" xr:uid="{00000000-0005-0000-0000-00005B060000}"/>
    <cellStyle name="Nota 21" xfId="1161" xr:uid="{00000000-0005-0000-0000-00005C060000}"/>
    <cellStyle name="Nota 21 2" xfId="2774" xr:uid="{00000000-0005-0000-0000-00005D060000}"/>
    <cellStyle name="Nota 22" xfId="1162" xr:uid="{00000000-0005-0000-0000-00005E060000}"/>
    <cellStyle name="Nota 22 2" xfId="2775" xr:uid="{00000000-0005-0000-0000-00005F060000}"/>
    <cellStyle name="Nota 23" xfId="1163" xr:uid="{00000000-0005-0000-0000-000060060000}"/>
    <cellStyle name="Nota 23 2" xfId="2776" xr:uid="{00000000-0005-0000-0000-000061060000}"/>
    <cellStyle name="Nota 24" xfId="1164" xr:uid="{00000000-0005-0000-0000-000062060000}"/>
    <cellStyle name="Nota 24 2" xfId="2777" xr:uid="{00000000-0005-0000-0000-000063060000}"/>
    <cellStyle name="Nota 25" xfId="1165" xr:uid="{00000000-0005-0000-0000-000064060000}"/>
    <cellStyle name="Nota 25 2" xfId="2778" xr:uid="{00000000-0005-0000-0000-000065060000}"/>
    <cellStyle name="Nota 26" xfId="1166" xr:uid="{00000000-0005-0000-0000-000066060000}"/>
    <cellStyle name="Nota 26 2" xfId="2779" xr:uid="{00000000-0005-0000-0000-000067060000}"/>
    <cellStyle name="Nota 27" xfId="1167" xr:uid="{00000000-0005-0000-0000-000068060000}"/>
    <cellStyle name="Nota 27 2" xfId="2780" xr:uid="{00000000-0005-0000-0000-000069060000}"/>
    <cellStyle name="Nota 28" xfId="2781" xr:uid="{00000000-0005-0000-0000-00006A060000}"/>
    <cellStyle name="Nota 28 2" xfId="2782" xr:uid="{00000000-0005-0000-0000-00006B060000}"/>
    <cellStyle name="Nota 29" xfId="2783" xr:uid="{00000000-0005-0000-0000-00006C060000}"/>
    <cellStyle name="Nota 29 2" xfId="2784" xr:uid="{00000000-0005-0000-0000-00006D060000}"/>
    <cellStyle name="Nota 3" xfId="1168" xr:uid="{00000000-0005-0000-0000-00006E060000}"/>
    <cellStyle name="Nota 3 2" xfId="1169" xr:uid="{00000000-0005-0000-0000-00006F060000}"/>
    <cellStyle name="Nota 30" xfId="2785" xr:uid="{00000000-0005-0000-0000-000070060000}"/>
    <cellStyle name="Nota 30 2" xfId="2786" xr:uid="{00000000-0005-0000-0000-000071060000}"/>
    <cellStyle name="Nota 31" xfId="2787" xr:uid="{00000000-0005-0000-0000-000072060000}"/>
    <cellStyle name="Nota 31 2" xfId="2788" xr:uid="{00000000-0005-0000-0000-000073060000}"/>
    <cellStyle name="Nota 32" xfId="2789" xr:uid="{00000000-0005-0000-0000-000074060000}"/>
    <cellStyle name="Nota 32 2" xfId="2790" xr:uid="{00000000-0005-0000-0000-000075060000}"/>
    <cellStyle name="Nota 33" xfId="2791" xr:uid="{00000000-0005-0000-0000-000076060000}"/>
    <cellStyle name="Nota 33 2" xfId="2792" xr:uid="{00000000-0005-0000-0000-000077060000}"/>
    <cellStyle name="Nota 34" xfId="2793" xr:uid="{00000000-0005-0000-0000-000078060000}"/>
    <cellStyle name="Nota 34 2" xfId="2794" xr:uid="{00000000-0005-0000-0000-000079060000}"/>
    <cellStyle name="Nota 35" xfId="2795" xr:uid="{00000000-0005-0000-0000-00007A060000}"/>
    <cellStyle name="Nota 35 2" xfId="2796" xr:uid="{00000000-0005-0000-0000-00007B060000}"/>
    <cellStyle name="Nota 36" xfId="2797" xr:uid="{00000000-0005-0000-0000-00007C060000}"/>
    <cellStyle name="Nota 36 2" xfId="2798" xr:uid="{00000000-0005-0000-0000-00007D060000}"/>
    <cellStyle name="Nota 37" xfId="2799" xr:uid="{00000000-0005-0000-0000-00007E060000}"/>
    <cellStyle name="Nota 37 2" xfId="2800" xr:uid="{00000000-0005-0000-0000-00007F060000}"/>
    <cellStyle name="Nota 38" xfId="2801" xr:uid="{00000000-0005-0000-0000-000080060000}"/>
    <cellStyle name="Nota 38 2" xfId="2802" xr:uid="{00000000-0005-0000-0000-000081060000}"/>
    <cellStyle name="Nota 39" xfId="2803" xr:uid="{00000000-0005-0000-0000-000082060000}"/>
    <cellStyle name="Nota 39 2" xfId="2804" xr:uid="{00000000-0005-0000-0000-000083060000}"/>
    <cellStyle name="Nota 4" xfId="1170" xr:uid="{00000000-0005-0000-0000-000084060000}"/>
    <cellStyle name="Nota 4 2" xfId="1171" xr:uid="{00000000-0005-0000-0000-000085060000}"/>
    <cellStyle name="Nota 40" xfId="2805" xr:uid="{00000000-0005-0000-0000-000086060000}"/>
    <cellStyle name="Nota 40 2" xfId="2806" xr:uid="{00000000-0005-0000-0000-000087060000}"/>
    <cellStyle name="Nota 41" xfId="2807" xr:uid="{00000000-0005-0000-0000-000088060000}"/>
    <cellStyle name="Nota 41 2" xfId="2808" xr:uid="{00000000-0005-0000-0000-000089060000}"/>
    <cellStyle name="Nota 42" xfId="2809" xr:uid="{00000000-0005-0000-0000-00008A060000}"/>
    <cellStyle name="Nota 42 2" xfId="2810" xr:uid="{00000000-0005-0000-0000-00008B060000}"/>
    <cellStyle name="Nota 43" xfId="2811" xr:uid="{00000000-0005-0000-0000-00008C060000}"/>
    <cellStyle name="Nota 43 2" xfId="2812" xr:uid="{00000000-0005-0000-0000-00008D060000}"/>
    <cellStyle name="Nota 44" xfId="2813" xr:uid="{00000000-0005-0000-0000-00008E060000}"/>
    <cellStyle name="Nota 44 2" xfId="2814" xr:uid="{00000000-0005-0000-0000-00008F060000}"/>
    <cellStyle name="Nota 45" xfId="2815" xr:uid="{00000000-0005-0000-0000-000090060000}"/>
    <cellStyle name="Nota 45 2" xfId="2816" xr:uid="{00000000-0005-0000-0000-000091060000}"/>
    <cellStyle name="Nota 46" xfId="2817" xr:uid="{00000000-0005-0000-0000-000092060000}"/>
    <cellStyle name="Nota 47" xfId="2818" xr:uid="{00000000-0005-0000-0000-000093060000}"/>
    <cellStyle name="Nota 48" xfId="2819" xr:uid="{00000000-0005-0000-0000-000094060000}"/>
    <cellStyle name="Nota 49" xfId="2820" xr:uid="{00000000-0005-0000-0000-000095060000}"/>
    <cellStyle name="Nota 5" xfId="1172" xr:uid="{00000000-0005-0000-0000-000096060000}"/>
    <cellStyle name="Nota 5 2" xfId="1173" xr:uid="{00000000-0005-0000-0000-000097060000}"/>
    <cellStyle name="Nota 6" xfId="1174" xr:uid="{00000000-0005-0000-0000-000098060000}"/>
    <cellStyle name="Nota 6 2" xfId="1175" xr:uid="{00000000-0005-0000-0000-000099060000}"/>
    <cellStyle name="Nota 7" xfId="1176" xr:uid="{00000000-0005-0000-0000-00009A060000}"/>
    <cellStyle name="Nota 7 2" xfId="1177" xr:uid="{00000000-0005-0000-0000-00009B060000}"/>
    <cellStyle name="Nota 8" xfId="1178" xr:uid="{00000000-0005-0000-0000-00009C060000}"/>
    <cellStyle name="Nota 8 2" xfId="1179" xr:uid="{00000000-0005-0000-0000-00009D060000}"/>
    <cellStyle name="Nota 9" xfId="1180" xr:uid="{00000000-0005-0000-0000-00009E060000}"/>
    <cellStyle name="Nota 9 2" xfId="1181" xr:uid="{00000000-0005-0000-0000-00009F060000}"/>
    <cellStyle name="Note" xfId="2821" xr:uid="{00000000-0005-0000-0000-0000A0060000}"/>
    <cellStyle name="Note 2" xfId="2822" xr:uid="{00000000-0005-0000-0000-0000A1060000}"/>
    <cellStyle name="Output" xfId="2823" xr:uid="{00000000-0005-0000-0000-0000A2060000}"/>
    <cellStyle name="PERCENT" xfId="2824" xr:uid="{00000000-0005-0000-0000-0000A3060000}"/>
    <cellStyle name="Percent 2" xfId="1182" xr:uid="{00000000-0005-0000-0000-0000A4060000}"/>
    <cellStyle name="Porcentagem" xfId="1663" builtinId="5"/>
    <cellStyle name="Porcentagem 10 2" xfId="1183" xr:uid="{00000000-0005-0000-0000-0000A6060000}"/>
    <cellStyle name="Porcentagem 10 2 2" xfId="2825" xr:uid="{00000000-0005-0000-0000-0000A7060000}"/>
    <cellStyle name="Porcentagem 12 2" xfId="1184" xr:uid="{00000000-0005-0000-0000-0000A8060000}"/>
    <cellStyle name="Porcentagem 2" xfId="1185" xr:uid="{00000000-0005-0000-0000-0000A9060000}"/>
    <cellStyle name="Porcentagem 2 2" xfId="1678" xr:uid="{00000000-0005-0000-0000-0000AA060000}"/>
    <cellStyle name="Porcentagem 2 3" xfId="2826" xr:uid="{00000000-0005-0000-0000-0000AB060000}"/>
    <cellStyle name="Porcentagem 2 4" xfId="2827" xr:uid="{00000000-0005-0000-0000-0000AC060000}"/>
    <cellStyle name="Porcentagem 2 5" xfId="2828" xr:uid="{00000000-0005-0000-0000-0000AD060000}"/>
    <cellStyle name="Porcentagem 2 6" xfId="2829" xr:uid="{00000000-0005-0000-0000-0000AE060000}"/>
    <cellStyle name="Porcentagem 2 7" xfId="2830" xr:uid="{00000000-0005-0000-0000-0000AF060000}"/>
    <cellStyle name="Porcentagem 2 8" xfId="2831" xr:uid="{00000000-0005-0000-0000-0000B0060000}"/>
    <cellStyle name="Porcentagem 3" xfId="1186" xr:uid="{00000000-0005-0000-0000-0000B1060000}"/>
    <cellStyle name="Porcentagem 3 2" xfId="1187" xr:uid="{00000000-0005-0000-0000-0000B2060000}"/>
    <cellStyle name="Porcentagem 3 2 2" xfId="1188" xr:uid="{00000000-0005-0000-0000-0000B3060000}"/>
    <cellStyle name="Porcentagem 3 2 3" xfId="2832" xr:uid="{00000000-0005-0000-0000-0000B4060000}"/>
    <cellStyle name="Porcentagem 3 3" xfId="1189" xr:uid="{00000000-0005-0000-0000-0000B5060000}"/>
    <cellStyle name="Porcentagem 3 3 2" xfId="1190" xr:uid="{00000000-0005-0000-0000-0000B6060000}"/>
    <cellStyle name="Porcentagem 4" xfId="1669" xr:uid="{00000000-0005-0000-0000-0000B7060000}"/>
    <cellStyle name="Porcentagem 4 2" xfId="2833" xr:uid="{00000000-0005-0000-0000-0000B8060000}"/>
    <cellStyle name="Porcentagem 5" xfId="1679" xr:uid="{00000000-0005-0000-0000-0000B9060000}"/>
    <cellStyle name="Porcentagem 5 2" xfId="1191" xr:uid="{00000000-0005-0000-0000-0000BA060000}"/>
    <cellStyle name="Porcentagem 6" xfId="2834" xr:uid="{00000000-0005-0000-0000-0000BB060000}"/>
    <cellStyle name="Porcentagem 7" xfId="2835" xr:uid="{00000000-0005-0000-0000-0000BC060000}"/>
    <cellStyle name="Porcentagem 7 2" xfId="1192" xr:uid="{00000000-0005-0000-0000-0000BD060000}"/>
    <cellStyle name="Porcentagem 8" xfId="2836" xr:uid="{00000000-0005-0000-0000-0000BE060000}"/>
    <cellStyle name="Porcentagem 8 2" xfId="1193" xr:uid="{00000000-0005-0000-0000-0000BF060000}"/>
    <cellStyle name="Porcentagem 9 2" xfId="1194" xr:uid="{00000000-0005-0000-0000-0000C0060000}"/>
    <cellStyle name="Ruim" xfId="30" builtinId="27" customBuiltin="1"/>
    <cellStyle name="Saída" xfId="33" builtinId="21" customBuiltin="1"/>
    <cellStyle name="Saída 10 2" xfId="1195" xr:uid="{00000000-0005-0000-0000-0000C2060000}"/>
    <cellStyle name="Saída 11 2" xfId="1196" xr:uid="{00000000-0005-0000-0000-0000C3060000}"/>
    <cellStyle name="Saída 12 2" xfId="1197" xr:uid="{00000000-0005-0000-0000-0000C4060000}"/>
    <cellStyle name="Saída 13 2" xfId="1198" xr:uid="{00000000-0005-0000-0000-0000C5060000}"/>
    <cellStyle name="Saída 14 2" xfId="1199" xr:uid="{00000000-0005-0000-0000-0000C6060000}"/>
    <cellStyle name="Saída 15 2" xfId="1200" xr:uid="{00000000-0005-0000-0000-0000C7060000}"/>
    <cellStyle name="Saída 16 2" xfId="1201" xr:uid="{00000000-0005-0000-0000-0000C8060000}"/>
    <cellStyle name="Saída 17 2" xfId="1202" xr:uid="{00000000-0005-0000-0000-0000C9060000}"/>
    <cellStyle name="Saída 2" xfId="1203" xr:uid="{00000000-0005-0000-0000-0000CA060000}"/>
    <cellStyle name="Saída 2 2" xfId="1204" xr:uid="{00000000-0005-0000-0000-0000CB060000}"/>
    <cellStyle name="Saída 3" xfId="1205" xr:uid="{00000000-0005-0000-0000-0000CC060000}"/>
    <cellStyle name="Saída 3 2" xfId="1206" xr:uid="{00000000-0005-0000-0000-0000CD060000}"/>
    <cellStyle name="Saída 4" xfId="1207" xr:uid="{00000000-0005-0000-0000-0000CE060000}"/>
    <cellStyle name="Saída 4 2" xfId="1208" xr:uid="{00000000-0005-0000-0000-0000CF060000}"/>
    <cellStyle name="Saída 5" xfId="1209" xr:uid="{00000000-0005-0000-0000-0000D0060000}"/>
    <cellStyle name="Saída 5 2" xfId="1210" xr:uid="{00000000-0005-0000-0000-0000D1060000}"/>
    <cellStyle name="Saída 6" xfId="2837" xr:uid="{00000000-0005-0000-0000-0000D2060000}"/>
    <cellStyle name="Saída 6 2" xfId="1211" xr:uid="{00000000-0005-0000-0000-0000D3060000}"/>
    <cellStyle name="Saída 7 2" xfId="1212" xr:uid="{00000000-0005-0000-0000-0000D4060000}"/>
    <cellStyle name="Saída 8 2" xfId="1213" xr:uid="{00000000-0005-0000-0000-0000D5060000}"/>
    <cellStyle name="Saída 9 2" xfId="1214" xr:uid="{00000000-0005-0000-0000-0000D6060000}"/>
    <cellStyle name="Separador de milhares [0] 2" xfId="2838" xr:uid="{00000000-0005-0000-0000-0000D8060000}"/>
    <cellStyle name="Separador de milhares 10" xfId="1215" xr:uid="{00000000-0005-0000-0000-0000D9060000}"/>
    <cellStyle name="Separador de milhares 10 10" xfId="1216" xr:uid="{00000000-0005-0000-0000-0000DA060000}"/>
    <cellStyle name="Separador de milhares 10 10 2" xfId="1680" xr:uid="{00000000-0005-0000-0000-0000DB060000}"/>
    <cellStyle name="Separador de milhares 10 10 2 2" xfId="1969" xr:uid="{00000000-0005-0000-0000-0000DC060000}"/>
    <cellStyle name="Separador de milhares 10 11" xfId="1217" xr:uid="{00000000-0005-0000-0000-0000DD060000}"/>
    <cellStyle name="Separador de milhares 10 11 2" xfId="1681" xr:uid="{00000000-0005-0000-0000-0000DE060000}"/>
    <cellStyle name="Separador de milhares 10 11 2 2" xfId="1970" xr:uid="{00000000-0005-0000-0000-0000DF060000}"/>
    <cellStyle name="Separador de milhares 10 12" xfId="1218" xr:uid="{00000000-0005-0000-0000-0000E0060000}"/>
    <cellStyle name="Separador de milhares 10 12 2" xfId="1682" xr:uid="{00000000-0005-0000-0000-0000E1060000}"/>
    <cellStyle name="Separador de milhares 10 12 2 2" xfId="1971" xr:uid="{00000000-0005-0000-0000-0000E2060000}"/>
    <cellStyle name="Separador de milhares 10 13" xfId="1219" xr:uid="{00000000-0005-0000-0000-0000E3060000}"/>
    <cellStyle name="Separador de milhares 10 13 2" xfId="1683" xr:uid="{00000000-0005-0000-0000-0000E4060000}"/>
    <cellStyle name="Separador de milhares 10 13 2 2" xfId="1972" xr:uid="{00000000-0005-0000-0000-0000E5060000}"/>
    <cellStyle name="Separador de milhares 10 14" xfId="1220" xr:uid="{00000000-0005-0000-0000-0000E6060000}"/>
    <cellStyle name="Separador de milhares 10 14 2" xfId="1684" xr:uid="{00000000-0005-0000-0000-0000E7060000}"/>
    <cellStyle name="Separador de milhares 10 14 2 2" xfId="1973" xr:uid="{00000000-0005-0000-0000-0000E8060000}"/>
    <cellStyle name="Separador de milhares 10 15" xfId="1685" xr:uid="{00000000-0005-0000-0000-0000E9060000}"/>
    <cellStyle name="Separador de milhares 10 15 2" xfId="1974" xr:uid="{00000000-0005-0000-0000-0000EA060000}"/>
    <cellStyle name="Separador de milhares 10 2" xfId="1221" xr:uid="{00000000-0005-0000-0000-0000EB060000}"/>
    <cellStyle name="Separador de milhares 10 2 2" xfId="1686" xr:uid="{00000000-0005-0000-0000-0000EC060000}"/>
    <cellStyle name="Separador de milhares 10 2 2 2" xfId="1975" xr:uid="{00000000-0005-0000-0000-0000ED060000}"/>
    <cellStyle name="Separador de milhares 10 2 2 2 2" xfId="2274" xr:uid="{00000000-0005-0000-0000-0000EE060000}"/>
    <cellStyle name="Separador de milhares 10 2 2 3" xfId="2275" xr:uid="{00000000-0005-0000-0000-0000EF060000}"/>
    <cellStyle name="Separador de milhares 10 2 3" xfId="2276" xr:uid="{00000000-0005-0000-0000-0000F0060000}"/>
    <cellStyle name="Separador de milhares 10 2 3 2" xfId="2277" xr:uid="{00000000-0005-0000-0000-0000F1060000}"/>
    <cellStyle name="Separador de milhares 10 2 4" xfId="2278" xr:uid="{00000000-0005-0000-0000-0000F2060000}"/>
    <cellStyle name="Separador de milhares 10 3" xfId="1222" xr:uid="{00000000-0005-0000-0000-0000F3060000}"/>
    <cellStyle name="Separador de milhares 10 3 2" xfId="1687" xr:uid="{00000000-0005-0000-0000-0000F4060000}"/>
    <cellStyle name="Separador de milhares 10 3 2 2" xfId="1976" xr:uid="{00000000-0005-0000-0000-0000F5060000}"/>
    <cellStyle name="Separador de milhares 10 3 2 2 2" xfId="2279" xr:uid="{00000000-0005-0000-0000-0000F6060000}"/>
    <cellStyle name="Separador de milhares 10 3 2 3" xfId="2280" xr:uid="{00000000-0005-0000-0000-0000F7060000}"/>
    <cellStyle name="Separador de milhares 10 3 3" xfId="2281" xr:uid="{00000000-0005-0000-0000-0000F8060000}"/>
    <cellStyle name="Separador de milhares 10 3 3 2" xfId="2282" xr:uid="{00000000-0005-0000-0000-0000F9060000}"/>
    <cellStyle name="Separador de milhares 10 3 4" xfId="2283" xr:uid="{00000000-0005-0000-0000-0000FA060000}"/>
    <cellStyle name="Separador de milhares 10 4" xfId="1223" xr:uid="{00000000-0005-0000-0000-0000FB060000}"/>
    <cellStyle name="Separador de milhares 10 4 2" xfId="1688" xr:uid="{00000000-0005-0000-0000-0000FC060000}"/>
    <cellStyle name="Separador de milhares 10 4 2 2" xfId="1977" xr:uid="{00000000-0005-0000-0000-0000FD060000}"/>
    <cellStyle name="Separador de milhares 10 4 3" xfId="2284" xr:uid="{00000000-0005-0000-0000-0000FE060000}"/>
    <cellStyle name="Separador de milhares 10 5" xfId="1224" xr:uid="{00000000-0005-0000-0000-0000FF060000}"/>
    <cellStyle name="Separador de milhares 10 5 2" xfId="1689" xr:uid="{00000000-0005-0000-0000-000000070000}"/>
    <cellStyle name="Separador de milhares 10 5 2 2" xfId="1978" xr:uid="{00000000-0005-0000-0000-000001070000}"/>
    <cellStyle name="Separador de milhares 10 6" xfId="1225" xr:uid="{00000000-0005-0000-0000-000002070000}"/>
    <cellStyle name="Separador de milhares 10 6 2" xfId="1690" xr:uid="{00000000-0005-0000-0000-000003070000}"/>
    <cellStyle name="Separador de milhares 10 6 2 2" xfId="1979" xr:uid="{00000000-0005-0000-0000-000004070000}"/>
    <cellStyle name="Separador de milhares 10 7" xfId="1226" xr:uid="{00000000-0005-0000-0000-000005070000}"/>
    <cellStyle name="Separador de milhares 10 7 2" xfId="1691" xr:uid="{00000000-0005-0000-0000-000006070000}"/>
    <cellStyle name="Separador de milhares 10 7 2 2" xfId="1980" xr:uid="{00000000-0005-0000-0000-000007070000}"/>
    <cellStyle name="Separador de milhares 10 8" xfId="1227" xr:uid="{00000000-0005-0000-0000-000008070000}"/>
    <cellStyle name="Separador de milhares 10 8 2" xfId="1692" xr:uid="{00000000-0005-0000-0000-000009070000}"/>
    <cellStyle name="Separador de milhares 10 8 2 2" xfId="1981" xr:uid="{00000000-0005-0000-0000-00000A070000}"/>
    <cellStyle name="Separador de milhares 10 9" xfId="1228" xr:uid="{00000000-0005-0000-0000-00000B070000}"/>
    <cellStyle name="Separador de milhares 10 9 2" xfId="1693" xr:uid="{00000000-0005-0000-0000-00000C070000}"/>
    <cellStyle name="Separador de milhares 10 9 2 2" xfId="1982" xr:uid="{00000000-0005-0000-0000-00000D070000}"/>
    <cellStyle name="Separador de milhares 100" xfId="1229" xr:uid="{00000000-0005-0000-0000-00000E070000}"/>
    <cellStyle name="Separador de milhares 100 2" xfId="1694" xr:uid="{00000000-0005-0000-0000-00000F070000}"/>
    <cellStyle name="Separador de milhares 100 2 2" xfId="1983" xr:uid="{00000000-0005-0000-0000-000010070000}"/>
    <cellStyle name="Separador de milhares 101" xfId="1230" xr:uid="{00000000-0005-0000-0000-000011070000}"/>
    <cellStyle name="Separador de milhares 101 2" xfId="1695" xr:uid="{00000000-0005-0000-0000-000012070000}"/>
    <cellStyle name="Separador de milhares 101 2 2" xfId="1984" xr:uid="{00000000-0005-0000-0000-000013070000}"/>
    <cellStyle name="Separador de milhares 102" xfId="1231" xr:uid="{00000000-0005-0000-0000-000014070000}"/>
    <cellStyle name="Separador de milhares 102 2" xfId="1696" xr:uid="{00000000-0005-0000-0000-000015070000}"/>
    <cellStyle name="Separador de milhares 102 2 2" xfId="1985" xr:uid="{00000000-0005-0000-0000-000016070000}"/>
    <cellStyle name="Separador de milhares 103" xfId="1232" xr:uid="{00000000-0005-0000-0000-000017070000}"/>
    <cellStyle name="Separador de milhares 103 2" xfId="1697" xr:uid="{00000000-0005-0000-0000-000018070000}"/>
    <cellStyle name="Separador de milhares 103 2 2" xfId="1986" xr:uid="{00000000-0005-0000-0000-000019070000}"/>
    <cellStyle name="Separador de milhares 104" xfId="1233" xr:uid="{00000000-0005-0000-0000-00001A070000}"/>
    <cellStyle name="Separador de milhares 104 2" xfId="1698" xr:uid="{00000000-0005-0000-0000-00001B070000}"/>
    <cellStyle name="Separador de milhares 104 2 2" xfId="1987" xr:uid="{00000000-0005-0000-0000-00001C070000}"/>
    <cellStyle name="Separador de milhares 105" xfId="1234" xr:uid="{00000000-0005-0000-0000-00001D070000}"/>
    <cellStyle name="Separador de milhares 105 2" xfId="1699" xr:uid="{00000000-0005-0000-0000-00001E070000}"/>
    <cellStyle name="Separador de milhares 105 2 2" xfId="1988" xr:uid="{00000000-0005-0000-0000-00001F070000}"/>
    <cellStyle name="Separador de milhares 106" xfId="1235" xr:uid="{00000000-0005-0000-0000-000020070000}"/>
    <cellStyle name="Separador de milhares 106 2" xfId="1700" xr:uid="{00000000-0005-0000-0000-000021070000}"/>
    <cellStyle name="Separador de milhares 106 2 2" xfId="1989" xr:uid="{00000000-0005-0000-0000-000022070000}"/>
    <cellStyle name="Separador de milhares 107" xfId="1236" xr:uid="{00000000-0005-0000-0000-000023070000}"/>
    <cellStyle name="Separador de milhares 107 2" xfId="1701" xr:uid="{00000000-0005-0000-0000-000024070000}"/>
    <cellStyle name="Separador de milhares 107 2 2" xfId="1990" xr:uid="{00000000-0005-0000-0000-000025070000}"/>
    <cellStyle name="Separador de milhares 108" xfId="1237" xr:uid="{00000000-0005-0000-0000-000026070000}"/>
    <cellStyle name="Separador de milhares 108 2" xfId="1702" xr:uid="{00000000-0005-0000-0000-000027070000}"/>
    <cellStyle name="Separador de milhares 108 2 2" xfId="1991" xr:uid="{00000000-0005-0000-0000-000028070000}"/>
    <cellStyle name="Separador de milhares 109" xfId="1238" xr:uid="{00000000-0005-0000-0000-000029070000}"/>
    <cellStyle name="Separador de milhares 109 2" xfId="1703" xr:uid="{00000000-0005-0000-0000-00002A070000}"/>
    <cellStyle name="Separador de milhares 109 2 2" xfId="1992" xr:uid="{00000000-0005-0000-0000-00002B070000}"/>
    <cellStyle name="Separador de milhares 11" xfId="1239" xr:uid="{00000000-0005-0000-0000-00002C070000}"/>
    <cellStyle name="Separador de milhares 11 2" xfId="1240" xr:uid="{00000000-0005-0000-0000-00002D070000}"/>
    <cellStyle name="Separador de milhares 11 2 2" xfId="1704" xr:uid="{00000000-0005-0000-0000-00002E070000}"/>
    <cellStyle name="Separador de milhares 11 2 2 2" xfId="1993" xr:uid="{00000000-0005-0000-0000-00002F070000}"/>
    <cellStyle name="Separador de milhares 11 3" xfId="1705" xr:uid="{00000000-0005-0000-0000-000030070000}"/>
    <cellStyle name="Separador de milhares 11 3 2" xfId="1994" xr:uid="{00000000-0005-0000-0000-000031070000}"/>
    <cellStyle name="Separador de milhares 110" xfId="1241" xr:uid="{00000000-0005-0000-0000-000032070000}"/>
    <cellStyle name="Separador de milhares 110 2" xfId="1706" xr:uid="{00000000-0005-0000-0000-000033070000}"/>
    <cellStyle name="Separador de milhares 110 2 2" xfId="1995" xr:uid="{00000000-0005-0000-0000-000034070000}"/>
    <cellStyle name="Separador de milhares 111" xfId="1242" xr:uid="{00000000-0005-0000-0000-000035070000}"/>
    <cellStyle name="Separador de milhares 111 2" xfId="1707" xr:uid="{00000000-0005-0000-0000-000036070000}"/>
    <cellStyle name="Separador de milhares 111 2 2" xfId="1996" xr:uid="{00000000-0005-0000-0000-000037070000}"/>
    <cellStyle name="Separador de milhares 112" xfId="1243" xr:uid="{00000000-0005-0000-0000-000038070000}"/>
    <cellStyle name="Separador de milhares 112 2" xfId="1708" xr:uid="{00000000-0005-0000-0000-000039070000}"/>
    <cellStyle name="Separador de milhares 112 2 2" xfId="1997" xr:uid="{00000000-0005-0000-0000-00003A070000}"/>
    <cellStyle name="Separador de milhares 113" xfId="1244" xr:uid="{00000000-0005-0000-0000-00003B070000}"/>
    <cellStyle name="Separador de milhares 113 2" xfId="1709" xr:uid="{00000000-0005-0000-0000-00003C070000}"/>
    <cellStyle name="Separador de milhares 113 2 2" xfId="1998" xr:uid="{00000000-0005-0000-0000-00003D070000}"/>
    <cellStyle name="Separador de milhares 114" xfId="1245" xr:uid="{00000000-0005-0000-0000-00003E070000}"/>
    <cellStyle name="Separador de milhares 114 2" xfId="1710" xr:uid="{00000000-0005-0000-0000-00003F070000}"/>
    <cellStyle name="Separador de milhares 114 2 2" xfId="1999" xr:uid="{00000000-0005-0000-0000-000040070000}"/>
    <cellStyle name="Separador de milhares 115" xfId="1246" xr:uid="{00000000-0005-0000-0000-000041070000}"/>
    <cellStyle name="Separador de milhares 115 2" xfId="1711" xr:uid="{00000000-0005-0000-0000-000042070000}"/>
    <cellStyle name="Separador de milhares 115 2 2" xfId="2000" xr:uid="{00000000-0005-0000-0000-000043070000}"/>
    <cellStyle name="Separador de milhares 116" xfId="1247" xr:uid="{00000000-0005-0000-0000-000044070000}"/>
    <cellStyle name="Separador de milhares 116 2" xfId="1712" xr:uid="{00000000-0005-0000-0000-000045070000}"/>
    <cellStyle name="Separador de milhares 116 2 2" xfId="2001" xr:uid="{00000000-0005-0000-0000-000046070000}"/>
    <cellStyle name="Separador de milhares 117" xfId="1248" xr:uid="{00000000-0005-0000-0000-000047070000}"/>
    <cellStyle name="Separador de milhares 117 2" xfId="1713" xr:uid="{00000000-0005-0000-0000-000048070000}"/>
    <cellStyle name="Separador de milhares 117 2 2" xfId="2002" xr:uid="{00000000-0005-0000-0000-000049070000}"/>
    <cellStyle name="Separador de milhares 118" xfId="1249" xr:uid="{00000000-0005-0000-0000-00004A070000}"/>
    <cellStyle name="Separador de milhares 118 2" xfId="1714" xr:uid="{00000000-0005-0000-0000-00004B070000}"/>
    <cellStyle name="Separador de milhares 118 2 2" xfId="2003" xr:uid="{00000000-0005-0000-0000-00004C070000}"/>
    <cellStyle name="Separador de milhares 119" xfId="1250" xr:uid="{00000000-0005-0000-0000-00004D070000}"/>
    <cellStyle name="Separador de milhares 119 2" xfId="1715" xr:uid="{00000000-0005-0000-0000-00004E070000}"/>
    <cellStyle name="Separador de milhares 119 2 2" xfId="2004" xr:uid="{00000000-0005-0000-0000-00004F070000}"/>
    <cellStyle name="Separador de milhares 12" xfId="1251" xr:uid="{00000000-0005-0000-0000-000050070000}"/>
    <cellStyle name="Separador de milhares 12 2" xfId="1252" xr:uid="{00000000-0005-0000-0000-000051070000}"/>
    <cellStyle name="Separador de milhares 12 2 2" xfId="1716" xr:uid="{00000000-0005-0000-0000-000052070000}"/>
    <cellStyle name="Separador de milhares 12 2 2 2" xfId="2005" xr:uid="{00000000-0005-0000-0000-000053070000}"/>
    <cellStyle name="Separador de milhares 12 3" xfId="1717" xr:uid="{00000000-0005-0000-0000-000054070000}"/>
    <cellStyle name="Separador de milhares 12 3 2" xfId="2006" xr:uid="{00000000-0005-0000-0000-000055070000}"/>
    <cellStyle name="Separador de milhares 120" xfId="1253" xr:uid="{00000000-0005-0000-0000-000056070000}"/>
    <cellStyle name="Separador de milhares 120 2" xfId="1718" xr:uid="{00000000-0005-0000-0000-000057070000}"/>
    <cellStyle name="Separador de milhares 120 2 2" xfId="2007" xr:uid="{00000000-0005-0000-0000-000058070000}"/>
    <cellStyle name="Separador de milhares 121" xfId="1254" xr:uid="{00000000-0005-0000-0000-000059070000}"/>
    <cellStyle name="Separador de milhares 121 2" xfId="1719" xr:uid="{00000000-0005-0000-0000-00005A070000}"/>
    <cellStyle name="Separador de milhares 121 2 2" xfId="2008" xr:uid="{00000000-0005-0000-0000-00005B070000}"/>
    <cellStyle name="Separador de milhares 122" xfId="1255" xr:uid="{00000000-0005-0000-0000-00005C070000}"/>
    <cellStyle name="Separador de milhares 122 2" xfId="1720" xr:uid="{00000000-0005-0000-0000-00005D070000}"/>
    <cellStyle name="Separador de milhares 122 2 2" xfId="2009" xr:uid="{00000000-0005-0000-0000-00005E070000}"/>
    <cellStyle name="Separador de milhares 123" xfId="1256" xr:uid="{00000000-0005-0000-0000-00005F070000}"/>
    <cellStyle name="Separador de milhares 123 2" xfId="1721" xr:uid="{00000000-0005-0000-0000-000060070000}"/>
    <cellStyle name="Separador de milhares 123 2 2" xfId="2010" xr:uid="{00000000-0005-0000-0000-000061070000}"/>
    <cellStyle name="Separador de milhares 124" xfId="1257" xr:uid="{00000000-0005-0000-0000-000062070000}"/>
    <cellStyle name="Separador de milhares 124 2" xfId="1722" xr:uid="{00000000-0005-0000-0000-000063070000}"/>
    <cellStyle name="Separador de milhares 124 2 2" xfId="2011" xr:uid="{00000000-0005-0000-0000-000064070000}"/>
    <cellStyle name="Separador de milhares 125" xfId="1258" xr:uid="{00000000-0005-0000-0000-000065070000}"/>
    <cellStyle name="Separador de milhares 125 2" xfId="1723" xr:uid="{00000000-0005-0000-0000-000066070000}"/>
    <cellStyle name="Separador de milhares 125 2 2" xfId="2012" xr:uid="{00000000-0005-0000-0000-000067070000}"/>
    <cellStyle name="Separador de milhares 126" xfId="1259" xr:uid="{00000000-0005-0000-0000-000068070000}"/>
    <cellStyle name="Separador de milhares 126 2" xfId="1724" xr:uid="{00000000-0005-0000-0000-000069070000}"/>
    <cellStyle name="Separador de milhares 126 2 2" xfId="2013" xr:uid="{00000000-0005-0000-0000-00006A070000}"/>
    <cellStyle name="Separador de milhares 127" xfId="1260" xr:uid="{00000000-0005-0000-0000-00006B070000}"/>
    <cellStyle name="Separador de milhares 127 2" xfId="1725" xr:uid="{00000000-0005-0000-0000-00006C070000}"/>
    <cellStyle name="Separador de milhares 127 2 2" xfId="2014" xr:uid="{00000000-0005-0000-0000-00006D070000}"/>
    <cellStyle name="Separador de milhares 128" xfId="1261" xr:uid="{00000000-0005-0000-0000-00006E070000}"/>
    <cellStyle name="Separador de milhares 128 2" xfId="1726" xr:uid="{00000000-0005-0000-0000-00006F070000}"/>
    <cellStyle name="Separador de milhares 128 2 2" xfId="2015" xr:uid="{00000000-0005-0000-0000-000070070000}"/>
    <cellStyle name="Separador de milhares 129" xfId="1262" xr:uid="{00000000-0005-0000-0000-000071070000}"/>
    <cellStyle name="Separador de milhares 129 2" xfId="1727" xr:uid="{00000000-0005-0000-0000-000072070000}"/>
    <cellStyle name="Separador de milhares 129 2 2" xfId="2016" xr:uid="{00000000-0005-0000-0000-000073070000}"/>
    <cellStyle name="Separador de milhares 13" xfId="1263" xr:uid="{00000000-0005-0000-0000-000074070000}"/>
    <cellStyle name="Separador de milhares 13 2" xfId="1264" xr:uid="{00000000-0005-0000-0000-000075070000}"/>
    <cellStyle name="Separador de milhares 13 2 2" xfId="1728" xr:uid="{00000000-0005-0000-0000-000076070000}"/>
    <cellStyle name="Separador de milhares 13 2 2 2" xfId="2017" xr:uid="{00000000-0005-0000-0000-000077070000}"/>
    <cellStyle name="Separador de milhares 13 3" xfId="1729" xr:uid="{00000000-0005-0000-0000-000078070000}"/>
    <cellStyle name="Separador de milhares 13 3 2" xfId="2018" xr:uid="{00000000-0005-0000-0000-000079070000}"/>
    <cellStyle name="Separador de milhares 130" xfId="1265" xr:uid="{00000000-0005-0000-0000-00007A070000}"/>
    <cellStyle name="Separador de milhares 130 2" xfId="1730" xr:uid="{00000000-0005-0000-0000-00007B070000}"/>
    <cellStyle name="Separador de milhares 130 2 2" xfId="2019" xr:uid="{00000000-0005-0000-0000-00007C070000}"/>
    <cellStyle name="Separador de milhares 131" xfId="1266" xr:uid="{00000000-0005-0000-0000-00007D070000}"/>
    <cellStyle name="Separador de milhares 131 2" xfId="1731" xr:uid="{00000000-0005-0000-0000-00007E070000}"/>
    <cellStyle name="Separador de milhares 131 2 2" xfId="2020" xr:uid="{00000000-0005-0000-0000-00007F070000}"/>
    <cellStyle name="Separador de milhares 132" xfId="1267" xr:uid="{00000000-0005-0000-0000-000080070000}"/>
    <cellStyle name="Separador de milhares 132 2" xfId="1732" xr:uid="{00000000-0005-0000-0000-000081070000}"/>
    <cellStyle name="Separador de milhares 132 2 2" xfId="2021" xr:uid="{00000000-0005-0000-0000-000082070000}"/>
    <cellStyle name="Separador de milhares 133" xfId="1268" xr:uid="{00000000-0005-0000-0000-000083070000}"/>
    <cellStyle name="Separador de milhares 133 2" xfId="1733" xr:uid="{00000000-0005-0000-0000-000084070000}"/>
    <cellStyle name="Separador de milhares 133 2 2" xfId="2022" xr:uid="{00000000-0005-0000-0000-000085070000}"/>
    <cellStyle name="Separador de milhares 134" xfId="1269" xr:uid="{00000000-0005-0000-0000-000086070000}"/>
    <cellStyle name="Separador de milhares 134 2" xfId="1734" xr:uid="{00000000-0005-0000-0000-000087070000}"/>
    <cellStyle name="Separador de milhares 134 2 2" xfId="2023" xr:uid="{00000000-0005-0000-0000-000088070000}"/>
    <cellStyle name="Separador de milhares 135" xfId="1270" xr:uid="{00000000-0005-0000-0000-000089070000}"/>
    <cellStyle name="Separador de milhares 135 2" xfId="1735" xr:uid="{00000000-0005-0000-0000-00008A070000}"/>
    <cellStyle name="Separador de milhares 135 2 2" xfId="2024" xr:uid="{00000000-0005-0000-0000-00008B070000}"/>
    <cellStyle name="Separador de milhares 136" xfId="1271" xr:uid="{00000000-0005-0000-0000-00008C070000}"/>
    <cellStyle name="Separador de milhares 136 2" xfId="1736" xr:uid="{00000000-0005-0000-0000-00008D070000}"/>
    <cellStyle name="Separador de milhares 136 2 2" xfId="2025" xr:uid="{00000000-0005-0000-0000-00008E070000}"/>
    <cellStyle name="Separador de milhares 137" xfId="1272" xr:uid="{00000000-0005-0000-0000-00008F070000}"/>
    <cellStyle name="Separador de milhares 137 2" xfId="1737" xr:uid="{00000000-0005-0000-0000-000090070000}"/>
    <cellStyle name="Separador de milhares 137 2 2" xfId="2026" xr:uid="{00000000-0005-0000-0000-000091070000}"/>
    <cellStyle name="Separador de milhares 138" xfId="1273" xr:uid="{00000000-0005-0000-0000-000092070000}"/>
    <cellStyle name="Separador de milhares 138 2" xfId="1738" xr:uid="{00000000-0005-0000-0000-000093070000}"/>
    <cellStyle name="Separador de milhares 138 2 2" xfId="2027" xr:uid="{00000000-0005-0000-0000-000094070000}"/>
    <cellStyle name="Separador de milhares 139" xfId="1274" xr:uid="{00000000-0005-0000-0000-000095070000}"/>
    <cellStyle name="Separador de milhares 139 2" xfId="1739" xr:uid="{00000000-0005-0000-0000-000096070000}"/>
    <cellStyle name="Separador de milhares 139 2 2" xfId="2028" xr:uid="{00000000-0005-0000-0000-000097070000}"/>
    <cellStyle name="Separador de milhares 14" xfId="1275" xr:uid="{00000000-0005-0000-0000-000098070000}"/>
    <cellStyle name="Separador de milhares 14 2" xfId="1276" xr:uid="{00000000-0005-0000-0000-000099070000}"/>
    <cellStyle name="Separador de milhares 14 2 2" xfId="1740" xr:uid="{00000000-0005-0000-0000-00009A070000}"/>
    <cellStyle name="Separador de milhares 14 2 2 2" xfId="2029" xr:uid="{00000000-0005-0000-0000-00009B070000}"/>
    <cellStyle name="Separador de milhares 14 3" xfId="1741" xr:uid="{00000000-0005-0000-0000-00009C070000}"/>
    <cellStyle name="Separador de milhares 14 3 2" xfId="2030" xr:uid="{00000000-0005-0000-0000-00009D070000}"/>
    <cellStyle name="Separador de milhares 140" xfId="1277" xr:uid="{00000000-0005-0000-0000-00009E070000}"/>
    <cellStyle name="Separador de milhares 140 2" xfId="1742" xr:uid="{00000000-0005-0000-0000-00009F070000}"/>
    <cellStyle name="Separador de milhares 140 2 2" xfId="2031" xr:uid="{00000000-0005-0000-0000-0000A0070000}"/>
    <cellStyle name="Separador de milhares 141" xfId="1278" xr:uid="{00000000-0005-0000-0000-0000A1070000}"/>
    <cellStyle name="Separador de milhares 141 2" xfId="1743" xr:uid="{00000000-0005-0000-0000-0000A2070000}"/>
    <cellStyle name="Separador de milhares 141 2 2" xfId="2032" xr:uid="{00000000-0005-0000-0000-0000A3070000}"/>
    <cellStyle name="Separador de milhares 142" xfId="1279" xr:uid="{00000000-0005-0000-0000-0000A4070000}"/>
    <cellStyle name="Separador de milhares 142 2" xfId="1744" xr:uid="{00000000-0005-0000-0000-0000A5070000}"/>
    <cellStyle name="Separador de milhares 142 2 2" xfId="2033" xr:uid="{00000000-0005-0000-0000-0000A6070000}"/>
    <cellStyle name="Separador de milhares 143" xfId="1280" xr:uid="{00000000-0005-0000-0000-0000A7070000}"/>
    <cellStyle name="Separador de milhares 143 2" xfId="1745" xr:uid="{00000000-0005-0000-0000-0000A8070000}"/>
    <cellStyle name="Separador de milhares 143 2 2" xfId="2034" xr:uid="{00000000-0005-0000-0000-0000A9070000}"/>
    <cellStyle name="Separador de milhares 144" xfId="1281" xr:uid="{00000000-0005-0000-0000-0000AA070000}"/>
    <cellStyle name="Separador de milhares 144 2" xfId="1746" xr:uid="{00000000-0005-0000-0000-0000AB070000}"/>
    <cellStyle name="Separador de milhares 144 2 2" xfId="2035" xr:uid="{00000000-0005-0000-0000-0000AC070000}"/>
    <cellStyle name="Separador de milhares 145" xfId="1282" xr:uid="{00000000-0005-0000-0000-0000AD070000}"/>
    <cellStyle name="Separador de milhares 145 2" xfId="1747" xr:uid="{00000000-0005-0000-0000-0000AE070000}"/>
    <cellStyle name="Separador de milhares 145 2 2" xfId="2036" xr:uid="{00000000-0005-0000-0000-0000AF070000}"/>
    <cellStyle name="Separador de milhares 146" xfId="1283" xr:uid="{00000000-0005-0000-0000-0000B0070000}"/>
    <cellStyle name="Separador de milhares 146 2" xfId="1748" xr:uid="{00000000-0005-0000-0000-0000B1070000}"/>
    <cellStyle name="Separador de milhares 146 2 2" xfId="2037" xr:uid="{00000000-0005-0000-0000-0000B2070000}"/>
    <cellStyle name="Separador de milhares 147" xfId="1284" xr:uid="{00000000-0005-0000-0000-0000B3070000}"/>
    <cellStyle name="Separador de milhares 147 2" xfId="1749" xr:uid="{00000000-0005-0000-0000-0000B4070000}"/>
    <cellStyle name="Separador de milhares 147 2 2" xfId="2038" xr:uid="{00000000-0005-0000-0000-0000B5070000}"/>
    <cellStyle name="Separador de milhares 148" xfId="1285" xr:uid="{00000000-0005-0000-0000-0000B6070000}"/>
    <cellStyle name="Separador de milhares 148 2" xfId="1750" xr:uid="{00000000-0005-0000-0000-0000B7070000}"/>
    <cellStyle name="Separador de milhares 148 2 2" xfId="2039" xr:uid="{00000000-0005-0000-0000-0000B8070000}"/>
    <cellStyle name="Separador de milhares 149" xfId="1286" xr:uid="{00000000-0005-0000-0000-0000B9070000}"/>
    <cellStyle name="Separador de milhares 149 2" xfId="1751" xr:uid="{00000000-0005-0000-0000-0000BA070000}"/>
    <cellStyle name="Separador de milhares 149 2 2" xfId="2040" xr:uid="{00000000-0005-0000-0000-0000BB070000}"/>
    <cellStyle name="Separador de milhares 15" xfId="1287" xr:uid="{00000000-0005-0000-0000-0000BC070000}"/>
    <cellStyle name="Separador de milhares 15 2" xfId="1288" xr:uid="{00000000-0005-0000-0000-0000BD070000}"/>
    <cellStyle name="Separador de milhares 15 2 2" xfId="1752" xr:uid="{00000000-0005-0000-0000-0000BE070000}"/>
    <cellStyle name="Separador de milhares 15 2 2 2" xfId="2041" xr:uid="{00000000-0005-0000-0000-0000BF070000}"/>
    <cellStyle name="Separador de milhares 15 3" xfId="1753" xr:uid="{00000000-0005-0000-0000-0000C0070000}"/>
    <cellStyle name="Separador de milhares 15 3 2" xfId="2042" xr:uid="{00000000-0005-0000-0000-0000C1070000}"/>
    <cellStyle name="Separador de milhares 150" xfId="1289" xr:uid="{00000000-0005-0000-0000-0000C2070000}"/>
    <cellStyle name="Separador de milhares 150 2" xfId="1754" xr:uid="{00000000-0005-0000-0000-0000C3070000}"/>
    <cellStyle name="Separador de milhares 150 2 2" xfId="2043" xr:uid="{00000000-0005-0000-0000-0000C4070000}"/>
    <cellStyle name="Separador de milhares 151" xfId="1290" xr:uid="{00000000-0005-0000-0000-0000C5070000}"/>
    <cellStyle name="Separador de milhares 151 2" xfId="1755" xr:uid="{00000000-0005-0000-0000-0000C6070000}"/>
    <cellStyle name="Separador de milhares 151 2 2" xfId="2044" xr:uid="{00000000-0005-0000-0000-0000C7070000}"/>
    <cellStyle name="Separador de milhares 152" xfId="1291" xr:uid="{00000000-0005-0000-0000-0000C8070000}"/>
    <cellStyle name="Separador de milhares 152 2" xfId="1756" xr:uid="{00000000-0005-0000-0000-0000C9070000}"/>
    <cellStyle name="Separador de milhares 152 2 2" xfId="2045" xr:uid="{00000000-0005-0000-0000-0000CA070000}"/>
    <cellStyle name="Separador de milhares 153" xfId="1292" xr:uid="{00000000-0005-0000-0000-0000CB070000}"/>
    <cellStyle name="Separador de milhares 153 2" xfId="1757" xr:uid="{00000000-0005-0000-0000-0000CC070000}"/>
    <cellStyle name="Separador de milhares 153 2 2" xfId="2046" xr:uid="{00000000-0005-0000-0000-0000CD070000}"/>
    <cellStyle name="Separador de milhares 154" xfId="1293" xr:uid="{00000000-0005-0000-0000-0000CE070000}"/>
    <cellStyle name="Separador de milhares 154 2" xfId="1758" xr:uid="{00000000-0005-0000-0000-0000CF070000}"/>
    <cellStyle name="Separador de milhares 154 2 2" xfId="2047" xr:uid="{00000000-0005-0000-0000-0000D0070000}"/>
    <cellStyle name="Separador de milhares 155" xfId="1294" xr:uid="{00000000-0005-0000-0000-0000D1070000}"/>
    <cellStyle name="Separador de milhares 155 2" xfId="1759" xr:uid="{00000000-0005-0000-0000-0000D2070000}"/>
    <cellStyle name="Separador de milhares 155 2 2" xfId="2048" xr:uid="{00000000-0005-0000-0000-0000D3070000}"/>
    <cellStyle name="Separador de milhares 156" xfId="1295" xr:uid="{00000000-0005-0000-0000-0000D4070000}"/>
    <cellStyle name="Separador de milhares 156 2" xfId="1760" xr:uid="{00000000-0005-0000-0000-0000D5070000}"/>
    <cellStyle name="Separador de milhares 156 2 2" xfId="2049" xr:uid="{00000000-0005-0000-0000-0000D6070000}"/>
    <cellStyle name="Separador de milhares 157" xfId="1296" xr:uid="{00000000-0005-0000-0000-0000D7070000}"/>
    <cellStyle name="Separador de milhares 157 2" xfId="1761" xr:uid="{00000000-0005-0000-0000-0000D8070000}"/>
    <cellStyle name="Separador de milhares 157 2 2" xfId="2050" xr:uid="{00000000-0005-0000-0000-0000D9070000}"/>
    <cellStyle name="Separador de milhares 158" xfId="1297" xr:uid="{00000000-0005-0000-0000-0000DA070000}"/>
    <cellStyle name="Separador de milhares 158 2" xfId="1762" xr:uid="{00000000-0005-0000-0000-0000DB070000}"/>
    <cellStyle name="Separador de milhares 158 2 2" xfId="2051" xr:uid="{00000000-0005-0000-0000-0000DC070000}"/>
    <cellStyle name="Separador de milhares 159" xfId="1298" xr:uid="{00000000-0005-0000-0000-0000DD070000}"/>
    <cellStyle name="Separador de milhares 159 2" xfId="1763" xr:uid="{00000000-0005-0000-0000-0000DE070000}"/>
    <cellStyle name="Separador de milhares 159 2 2" xfId="2052" xr:uid="{00000000-0005-0000-0000-0000DF070000}"/>
    <cellStyle name="Separador de milhares 16" xfId="1299" xr:uid="{00000000-0005-0000-0000-0000E0070000}"/>
    <cellStyle name="Separador de milhares 16 2" xfId="1300" xr:uid="{00000000-0005-0000-0000-0000E1070000}"/>
    <cellStyle name="Separador de milhares 16 2 2" xfId="1764" xr:uid="{00000000-0005-0000-0000-0000E2070000}"/>
    <cellStyle name="Separador de milhares 16 2 2 2" xfId="2053" xr:uid="{00000000-0005-0000-0000-0000E3070000}"/>
    <cellStyle name="Separador de milhares 16 3" xfId="1765" xr:uid="{00000000-0005-0000-0000-0000E4070000}"/>
    <cellStyle name="Separador de milhares 16 3 2" xfId="2054" xr:uid="{00000000-0005-0000-0000-0000E5070000}"/>
    <cellStyle name="Separador de milhares 160" xfId="1301" xr:uid="{00000000-0005-0000-0000-0000E6070000}"/>
    <cellStyle name="Separador de milhares 160 2" xfId="1766" xr:uid="{00000000-0005-0000-0000-0000E7070000}"/>
    <cellStyle name="Separador de milhares 160 2 2" xfId="2055" xr:uid="{00000000-0005-0000-0000-0000E8070000}"/>
    <cellStyle name="Separador de milhares 161" xfId="1302" xr:uid="{00000000-0005-0000-0000-0000E9070000}"/>
    <cellStyle name="Separador de milhares 161 2" xfId="1767" xr:uid="{00000000-0005-0000-0000-0000EA070000}"/>
    <cellStyle name="Separador de milhares 161 2 2" xfId="2056" xr:uid="{00000000-0005-0000-0000-0000EB070000}"/>
    <cellStyle name="Separador de milhares 162" xfId="1303" xr:uid="{00000000-0005-0000-0000-0000EC070000}"/>
    <cellStyle name="Separador de milhares 162 2" xfId="1768" xr:uid="{00000000-0005-0000-0000-0000ED070000}"/>
    <cellStyle name="Separador de milhares 162 2 2" xfId="2057" xr:uid="{00000000-0005-0000-0000-0000EE070000}"/>
    <cellStyle name="Separador de milhares 163" xfId="1304" xr:uid="{00000000-0005-0000-0000-0000EF070000}"/>
    <cellStyle name="Separador de milhares 163 2" xfId="1769" xr:uid="{00000000-0005-0000-0000-0000F0070000}"/>
    <cellStyle name="Separador de milhares 163 2 2" xfId="2058" xr:uid="{00000000-0005-0000-0000-0000F1070000}"/>
    <cellStyle name="Separador de milhares 164" xfId="1305" xr:uid="{00000000-0005-0000-0000-0000F2070000}"/>
    <cellStyle name="Separador de milhares 164 2" xfId="1770" xr:uid="{00000000-0005-0000-0000-0000F3070000}"/>
    <cellStyle name="Separador de milhares 164 2 2" xfId="2059" xr:uid="{00000000-0005-0000-0000-0000F4070000}"/>
    <cellStyle name="Separador de milhares 165" xfId="1306" xr:uid="{00000000-0005-0000-0000-0000F5070000}"/>
    <cellStyle name="Separador de milhares 165 2" xfId="1771" xr:uid="{00000000-0005-0000-0000-0000F6070000}"/>
    <cellStyle name="Separador de milhares 165 2 2" xfId="2060" xr:uid="{00000000-0005-0000-0000-0000F7070000}"/>
    <cellStyle name="Separador de milhares 166" xfId="1307" xr:uid="{00000000-0005-0000-0000-0000F8070000}"/>
    <cellStyle name="Separador de milhares 166 2" xfId="1772" xr:uid="{00000000-0005-0000-0000-0000F9070000}"/>
    <cellStyle name="Separador de milhares 166 2 2" xfId="2061" xr:uid="{00000000-0005-0000-0000-0000FA070000}"/>
    <cellStyle name="Separador de milhares 167" xfId="1308" xr:uid="{00000000-0005-0000-0000-0000FB070000}"/>
    <cellStyle name="Separador de milhares 167 2" xfId="1773" xr:uid="{00000000-0005-0000-0000-0000FC070000}"/>
    <cellStyle name="Separador de milhares 167 2 2" xfId="2062" xr:uid="{00000000-0005-0000-0000-0000FD070000}"/>
    <cellStyle name="Separador de milhares 168" xfId="1309" xr:uid="{00000000-0005-0000-0000-0000FE070000}"/>
    <cellStyle name="Separador de milhares 168 2" xfId="1774" xr:uid="{00000000-0005-0000-0000-0000FF070000}"/>
    <cellStyle name="Separador de milhares 168 2 2" xfId="2063" xr:uid="{00000000-0005-0000-0000-000000080000}"/>
    <cellStyle name="Separador de milhares 169" xfId="1310" xr:uid="{00000000-0005-0000-0000-000001080000}"/>
    <cellStyle name="Separador de milhares 169 2" xfId="1775" xr:uid="{00000000-0005-0000-0000-000002080000}"/>
    <cellStyle name="Separador de milhares 169 2 2" xfId="2064" xr:uid="{00000000-0005-0000-0000-000003080000}"/>
    <cellStyle name="Separador de milhares 17" xfId="1311" xr:uid="{00000000-0005-0000-0000-000004080000}"/>
    <cellStyle name="Separador de milhares 17 2" xfId="1776" xr:uid="{00000000-0005-0000-0000-000005080000}"/>
    <cellStyle name="Separador de milhares 17 2 2" xfId="2065" xr:uid="{00000000-0005-0000-0000-000006080000}"/>
    <cellStyle name="Separador de milhares 170" xfId="1312" xr:uid="{00000000-0005-0000-0000-000007080000}"/>
    <cellStyle name="Separador de milhares 170 2" xfId="1777" xr:uid="{00000000-0005-0000-0000-000008080000}"/>
    <cellStyle name="Separador de milhares 170 2 2" xfId="2066" xr:uid="{00000000-0005-0000-0000-000009080000}"/>
    <cellStyle name="Separador de milhares 171" xfId="1313" xr:uid="{00000000-0005-0000-0000-00000A080000}"/>
    <cellStyle name="Separador de milhares 171 2" xfId="1778" xr:uid="{00000000-0005-0000-0000-00000B080000}"/>
    <cellStyle name="Separador de milhares 171 2 2" xfId="2067" xr:uid="{00000000-0005-0000-0000-00000C080000}"/>
    <cellStyle name="Separador de milhares 172" xfId="1314" xr:uid="{00000000-0005-0000-0000-00000D080000}"/>
    <cellStyle name="Separador de milhares 172 2" xfId="1779" xr:uid="{00000000-0005-0000-0000-00000E080000}"/>
    <cellStyle name="Separador de milhares 172 2 2" xfId="2068" xr:uid="{00000000-0005-0000-0000-00000F080000}"/>
    <cellStyle name="Separador de milhares 173" xfId="1315" xr:uid="{00000000-0005-0000-0000-000010080000}"/>
    <cellStyle name="Separador de milhares 173 2" xfId="1780" xr:uid="{00000000-0005-0000-0000-000011080000}"/>
    <cellStyle name="Separador de milhares 173 2 2" xfId="2069" xr:uid="{00000000-0005-0000-0000-000012080000}"/>
    <cellStyle name="Separador de milhares 174" xfId="1316" xr:uid="{00000000-0005-0000-0000-000013080000}"/>
    <cellStyle name="Separador de milhares 174 2" xfId="1781" xr:uid="{00000000-0005-0000-0000-000014080000}"/>
    <cellStyle name="Separador de milhares 174 2 2" xfId="2070" xr:uid="{00000000-0005-0000-0000-000015080000}"/>
    <cellStyle name="Separador de milhares 175" xfId="1317" xr:uid="{00000000-0005-0000-0000-000016080000}"/>
    <cellStyle name="Separador de milhares 175 2" xfId="1782" xr:uid="{00000000-0005-0000-0000-000017080000}"/>
    <cellStyle name="Separador de milhares 175 2 2" xfId="2071" xr:uid="{00000000-0005-0000-0000-000018080000}"/>
    <cellStyle name="Separador de milhares 176" xfId="1318" xr:uid="{00000000-0005-0000-0000-000019080000}"/>
    <cellStyle name="Separador de milhares 176 2" xfId="1783" xr:uid="{00000000-0005-0000-0000-00001A080000}"/>
    <cellStyle name="Separador de milhares 176 2 2" xfId="2072" xr:uid="{00000000-0005-0000-0000-00001B080000}"/>
    <cellStyle name="Separador de milhares 177" xfId="1319" xr:uid="{00000000-0005-0000-0000-00001C080000}"/>
    <cellStyle name="Separador de milhares 177 2" xfId="1784" xr:uid="{00000000-0005-0000-0000-00001D080000}"/>
    <cellStyle name="Separador de milhares 177 2 2" xfId="2073" xr:uid="{00000000-0005-0000-0000-00001E080000}"/>
    <cellStyle name="Separador de milhares 178" xfId="1320" xr:uid="{00000000-0005-0000-0000-00001F080000}"/>
    <cellStyle name="Separador de milhares 178 2" xfId="1785" xr:uid="{00000000-0005-0000-0000-000020080000}"/>
    <cellStyle name="Separador de milhares 178 2 2" xfId="2074" xr:uid="{00000000-0005-0000-0000-000021080000}"/>
    <cellStyle name="Separador de milhares 179" xfId="1321" xr:uid="{00000000-0005-0000-0000-000022080000}"/>
    <cellStyle name="Separador de milhares 179 2" xfId="1786" xr:uid="{00000000-0005-0000-0000-000023080000}"/>
    <cellStyle name="Separador de milhares 179 2 2" xfId="2075" xr:uid="{00000000-0005-0000-0000-000024080000}"/>
    <cellStyle name="Separador de milhares 18" xfId="1322" xr:uid="{00000000-0005-0000-0000-000025080000}"/>
    <cellStyle name="Separador de milhares 18 2" xfId="1323" xr:uid="{00000000-0005-0000-0000-000026080000}"/>
    <cellStyle name="Separador de milhares 18 2 2" xfId="1787" xr:uid="{00000000-0005-0000-0000-000027080000}"/>
    <cellStyle name="Separador de milhares 18 2 2 2" xfId="2076" xr:uid="{00000000-0005-0000-0000-000028080000}"/>
    <cellStyle name="Separador de milhares 18 3" xfId="1788" xr:uid="{00000000-0005-0000-0000-000029080000}"/>
    <cellStyle name="Separador de milhares 18 3 2" xfId="2077" xr:uid="{00000000-0005-0000-0000-00002A080000}"/>
    <cellStyle name="Separador de milhares 180" xfId="1324" xr:uid="{00000000-0005-0000-0000-00002B080000}"/>
    <cellStyle name="Separador de milhares 180 2" xfId="1789" xr:uid="{00000000-0005-0000-0000-00002C080000}"/>
    <cellStyle name="Separador de milhares 180 2 2" xfId="2078" xr:uid="{00000000-0005-0000-0000-00002D080000}"/>
    <cellStyle name="Separador de milhares 181" xfId="1325" xr:uid="{00000000-0005-0000-0000-00002E080000}"/>
    <cellStyle name="Separador de milhares 181 2" xfId="1790" xr:uid="{00000000-0005-0000-0000-00002F080000}"/>
    <cellStyle name="Separador de milhares 181 2 2" xfId="2079" xr:uid="{00000000-0005-0000-0000-000030080000}"/>
    <cellStyle name="Separador de milhares 182" xfId="1326" xr:uid="{00000000-0005-0000-0000-000031080000}"/>
    <cellStyle name="Separador de milhares 182 2" xfId="1791" xr:uid="{00000000-0005-0000-0000-000032080000}"/>
    <cellStyle name="Separador de milhares 182 2 2" xfId="2080" xr:uid="{00000000-0005-0000-0000-000033080000}"/>
    <cellStyle name="Separador de milhares 183" xfId="1327" xr:uid="{00000000-0005-0000-0000-000034080000}"/>
    <cellStyle name="Separador de milhares 183 2" xfId="1792" xr:uid="{00000000-0005-0000-0000-000035080000}"/>
    <cellStyle name="Separador de milhares 183 2 2" xfId="2081" xr:uid="{00000000-0005-0000-0000-000036080000}"/>
    <cellStyle name="Separador de milhares 184" xfId="1328" xr:uid="{00000000-0005-0000-0000-000037080000}"/>
    <cellStyle name="Separador de milhares 184 2" xfId="1793" xr:uid="{00000000-0005-0000-0000-000038080000}"/>
    <cellStyle name="Separador de milhares 184 2 2" xfId="2082" xr:uid="{00000000-0005-0000-0000-000039080000}"/>
    <cellStyle name="Separador de milhares 184 3" xfId="1963" xr:uid="{00000000-0005-0000-0000-00003A080000}"/>
    <cellStyle name="Separador de milhares 185" xfId="1329" xr:uid="{00000000-0005-0000-0000-00003B080000}"/>
    <cellStyle name="Separador de milhares 185 2" xfId="1794" xr:uid="{00000000-0005-0000-0000-00003C080000}"/>
    <cellStyle name="Separador de milhares 185 2 2" xfId="2083" xr:uid="{00000000-0005-0000-0000-00003D080000}"/>
    <cellStyle name="Separador de milhares 186" xfId="2839" xr:uid="{00000000-0005-0000-0000-00003E080000}"/>
    <cellStyle name="Separador de milhares 19" xfId="1330" xr:uid="{00000000-0005-0000-0000-00003F080000}"/>
    <cellStyle name="Separador de milhares 19 2" xfId="1331" xr:uid="{00000000-0005-0000-0000-000040080000}"/>
    <cellStyle name="Separador de milhares 19 2 2" xfId="1795" xr:uid="{00000000-0005-0000-0000-000041080000}"/>
    <cellStyle name="Separador de milhares 19 2 2 2" xfId="2084" xr:uid="{00000000-0005-0000-0000-000042080000}"/>
    <cellStyle name="Separador de milhares 19 3" xfId="1796" xr:uid="{00000000-0005-0000-0000-000043080000}"/>
    <cellStyle name="Separador de milhares 19 3 2" xfId="2085" xr:uid="{00000000-0005-0000-0000-000044080000}"/>
    <cellStyle name="Separador de milhares 2" xfId="45" xr:uid="{00000000-0005-0000-0000-000045080000}"/>
    <cellStyle name="Separador de milhares 2 10" xfId="1332" xr:uid="{00000000-0005-0000-0000-000046080000}"/>
    <cellStyle name="Separador de milhares 2 10 2" xfId="1797" xr:uid="{00000000-0005-0000-0000-000047080000}"/>
    <cellStyle name="Separador de milhares 2 10 2 2" xfId="2086" xr:uid="{00000000-0005-0000-0000-000048080000}"/>
    <cellStyle name="Separador de milhares 2 11" xfId="1333" xr:uid="{00000000-0005-0000-0000-000049080000}"/>
    <cellStyle name="Separador de milhares 2 11 2" xfId="1798" xr:uid="{00000000-0005-0000-0000-00004A080000}"/>
    <cellStyle name="Separador de milhares 2 11 2 2" xfId="2087" xr:uid="{00000000-0005-0000-0000-00004B080000}"/>
    <cellStyle name="Separador de milhares 2 12" xfId="1334" xr:uid="{00000000-0005-0000-0000-00004C080000}"/>
    <cellStyle name="Separador de milhares 2 12 2" xfId="1799" xr:uid="{00000000-0005-0000-0000-00004D080000}"/>
    <cellStyle name="Separador de milhares 2 12 2 2" xfId="2088" xr:uid="{00000000-0005-0000-0000-00004E080000}"/>
    <cellStyle name="Separador de milhares 2 13" xfId="1335" xr:uid="{00000000-0005-0000-0000-00004F080000}"/>
    <cellStyle name="Separador de milhares 2 13 2" xfId="1800" xr:uid="{00000000-0005-0000-0000-000050080000}"/>
    <cellStyle name="Separador de milhares 2 13 2 2" xfId="2089" xr:uid="{00000000-0005-0000-0000-000051080000}"/>
    <cellStyle name="Separador de milhares 2 14" xfId="1336" xr:uid="{00000000-0005-0000-0000-000052080000}"/>
    <cellStyle name="Separador de milhares 2 14 2" xfId="1801" xr:uid="{00000000-0005-0000-0000-000053080000}"/>
    <cellStyle name="Separador de milhares 2 14 2 2" xfId="2090" xr:uid="{00000000-0005-0000-0000-000054080000}"/>
    <cellStyle name="Separador de milhares 2 15" xfId="1337" xr:uid="{00000000-0005-0000-0000-000055080000}"/>
    <cellStyle name="Separador de milhares 2 15 2" xfId="1802" xr:uid="{00000000-0005-0000-0000-000056080000}"/>
    <cellStyle name="Separador de milhares 2 15 2 2" xfId="2091" xr:uid="{00000000-0005-0000-0000-000057080000}"/>
    <cellStyle name="Separador de milhares 2 16" xfId="1338" xr:uid="{00000000-0005-0000-0000-000058080000}"/>
    <cellStyle name="Separador de milhares 2 16 2" xfId="1803" xr:uid="{00000000-0005-0000-0000-000059080000}"/>
    <cellStyle name="Separador de milhares 2 16 2 2" xfId="2092" xr:uid="{00000000-0005-0000-0000-00005A080000}"/>
    <cellStyle name="Separador de milhares 2 17" xfId="1339" xr:uid="{00000000-0005-0000-0000-00005B080000}"/>
    <cellStyle name="Separador de milhares 2 17 2" xfId="1804" xr:uid="{00000000-0005-0000-0000-00005C080000}"/>
    <cellStyle name="Separador de milhares 2 17 2 2" xfId="2093" xr:uid="{00000000-0005-0000-0000-00005D080000}"/>
    <cellStyle name="Separador de milhares 2 18" xfId="1340" xr:uid="{00000000-0005-0000-0000-00005E080000}"/>
    <cellStyle name="Separador de milhares 2 18 2" xfId="1805" xr:uid="{00000000-0005-0000-0000-00005F080000}"/>
    <cellStyle name="Separador de milhares 2 18 2 2" xfId="2094" xr:uid="{00000000-0005-0000-0000-000060080000}"/>
    <cellStyle name="Separador de milhares 2 19" xfId="1341" xr:uid="{00000000-0005-0000-0000-000061080000}"/>
    <cellStyle name="Separador de milhares 2 19 2" xfId="1806" xr:uid="{00000000-0005-0000-0000-000062080000}"/>
    <cellStyle name="Separador de milhares 2 19 2 2" xfId="2095" xr:uid="{00000000-0005-0000-0000-000063080000}"/>
    <cellStyle name="Separador de milhares 2 2" xfId="1342" xr:uid="{00000000-0005-0000-0000-000064080000}"/>
    <cellStyle name="Separador de milhares 2 2 10" xfId="1343" xr:uid="{00000000-0005-0000-0000-000065080000}"/>
    <cellStyle name="Separador de milhares 2 2 10 2" xfId="1807" xr:uid="{00000000-0005-0000-0000-000066080000}"/>
    <cellStyle name="Separador de milhares 2 2 10 2 2" xfId="2096" xr:uid="{00000000-0005-0000-0000-000067080000}"/>
    <cellStyle name="Separador de milhares 2 2 11" xfId="1344" xr:uid="{00000000-0005-0000-0000-000068080000}"/>
    <cellStyle name="Separador de milhares 2 2 11 2" xfId="1808" xr:uid="{00000000-0005-0000-0000-000069080000}"/>
    <cellStyle name="Separador de milhares 2 2 11 2 2" xfId="2097" xr:uid="{00000000-0005-0000-0000-00006A080000}"/>
    <cellStyle name="Separador de milhares 2 2 12" xfId="1345" xr:uid="{00000000-0005-0000-0000-00006B080000}"/>
    <cellStyle name="Separador de milhares 2 2 12 2" xfId="1809" xr:uid="{00000000-0005-0000-0000-00006C080000}"/>
    <cellStyle name="Separador de milhares 2 2 12 2 2" xfId="2098" xr:uid="{00000000-0005-0000-0000-00006D080000}"/>
    <cellStyle name="Separador de milhares 2 2 13" xfId="1810" xr:uid="{00000000-0005-0000-0000-00006E080000}"/>
    <cellStyle name="Separador de milhares 2 2 13 2" xfId="2099" xr:uid="{00000000-0005-0000-0000-00006F080000}"/>
    <cellStyle name="Separador de milhares 2 2 2" xfId="1346" xr:uid="{00000000-0005-0000-0000-000070080000}"/>
    <cellStyle name="Separador de milhares 2 2 2 2" xfId="1347" xr:uid="{00000000-0005-0000-0000-000071080000}"/>
    <cellStyle name="Separador de milhares 2 2 2 2 2" xfId="1811" xr:uid="{00000000-0005-0000-0000-000072080000}"/>
    <cellStyle name="Separador de milhares 2 2 2 2 2 2" xfId="2100" xr:uid="{00000000-0005-0000-0000-000073080000}"/>
    <cellStyle name="Separador de milhares 2 2 2 2 3" xfId="2285" xr:uid="{00000000-0005-0000-0000-000074080000}"/>
    <cellStyle name="Separador de milhares 2 2 2 3" xfId="1812" xr:uid="{00000000-0005-0000-0000-000075080000}"/>
    <cellStyle name="Separador de milhares 2 2 2 3 2" xfId="2101" xr:uid="{00000000-0005-0000-0000-000076080000}"/>
    <cellStyle name="Separador de milhares 2 2 2 4" xfId="2286" xr:uid="{00000000-0005-0000-0000-000077080000}"/>
    <cellStyle name="Separador de milhares 2 2 3" xfId="1348" xr:uid="{00000000-0005-0000-0000-000078080000}"/>
    <cellStyle name="Separador de milhares 2 2 3 2" xfId="1813" xr:uid="{00000000-0005-0000-0000-000079080000}"/>
    <cellStyle name="Separador de milhares 2 2 3 2 2" xfId="2102" xr:uid="{00000000-0005-0000-0000-00007A080000}"/>
    <cellStyle name="Separador de milhares 2 2 3 3" xfId="2287" xr:uid="{00000000-0005-0000-0000-00007B080000}"/>
    <cellStyle name="Separador de milhares 2 2 4" xfId="1349" xr:uid="{00000000-0005-0000-0000-00007C080000}"/>
    <cellStyle name="Separador de milhares 2 2 4 2" xfId="1814" xr:uid="{00000000-0005-0000-0000-00007D080000}"/>
    <cellStyle name="Separador de milhares 2 2 4 2 2" xfId="2103" xr:uid="{00000000-0005-0000-0000-00007E080000}"/>
    <cellStyle name="Separador de milhares 2 2 5" xfId="1350" xr:uid="{00000000-0005-0000-0000-00007F080000}"/>
    <cellStyle name="Separador de milhares 2 2 5 2" xfId="1815" xr:uid="{00000000-0005-0000-0000-000080080000}"/>
    <cellStyle name="Separador de milhares 2 2 5 2 2" xfId="2104" xr:uid="{00000000-0005-0000-0000-000081080000}"/>
    <cellStyle name="Separador de milhares 2 2 6" xfId="1351" xr:uid="{00000000-0005-0000-0000-000082080000}"/>
    <cellStyle name="Separador de milhares 2 2 6 2" xfId="1816" xr:uid="{00000000-0005-0000-0000-000083080000}"/>
    <cellStyle name="Separador de milhares 2 2 6 2 2" xfId="2105" xr:uid="{00000000-0005-0000-0000-000084080000}"/>
    <cellStyle name="Separador de milhares 2 2 7" xfId="1352" xr:uid="{00000000-0005-0000-0000-000085080000}"/>
    <cellStyle name="Separador de milhares 2 2 7 2" xfId="1817" xr:uid="{00000000-0005-0000-0000-000086080000}"/>
    <cellStyle name="Separador de milhares 2 2 7 2 2" xfId="2106" xr:uid="{00000000-0005-0000-0000-000087080000}"/>
    <cellStyle name="Separador de milhares 2 2 8" xfId="1353" xr:uid="{00000000-0005-0000-0000-000088080000}"/>
    <cellStyle name="Separador de milhares 2 2 8 2" xfId="1818" xr:uid="{00000000-0005-0000-0000-000089080000}"/>
    <cellStyle name="Separador de milhares 2 2 8 2 2" xfId="2107" xr:uid="{00000000-0005-0000-0000-00008A080000}"/>
    <cellStyle name="Separador de milhares 2 2 9" xfId="1354" xr:uid="{00000000-0005-0000-0000-00008B080000}"/>
    <cellStyle name="Separador de milhares 2 2 9 2" xfId="1819" xr:uid="{00000000-0005-0000-0000-00008C080000}"/>
    <cellStyle name="Separador de milhares 2 2 9 2 2" xfId="2108" xr:uid="{00000000-0005-0000-0000-00008D080000}"/>
    <cellStyle name="Separador de milhares 2 20" xfId="1355" xr:uid="{00000000-0005-0000-0000-00008E080000}"/>
    <cellStyle name="Separador de milhares 2 20 2" xfId="1820" xr:uid="{00000000-0005-0000-0000-00008F080000}"/>
    <cellStyle name="Separador de milhares 2 20 2 2" xfId="2109" xr:uid="{00000000-0005-0000-0000-000090080000}"/>
    <cellStyle name="Separador de milhares 2 21" xfId="1356" xr:uid="{00000000-0005-0000-0000-000091080000}"/>
    <cellStyle name="Separador de milhares 2 21 2" xfId="1821" xr:uid="{00000000-0005-0000-0000-000092080000}"/>
    <cellStyle name="Separador de milhares 2 21 2 2" xfId="2110" xr:uid="{00000000-0005-0000-0000-000093080000}"/>
    <cellStyle name="Separador de milhares 2 22" xfId="1357" xr:uid="{00000000-0005-0000-0000-000094080000}"/>
    <cellStyle name="Separador de milhares 2 22 2" xfId="1822" xr:uid="{00000000-0005-0000-0000-000095080000}"/>
    <cellStyle name="Separador de milhares 2 22 2 2" xfId="2111" xr:uid="{00000000-0005-0000-0000-000096080000}"/>
    <cellStyle name="Separador de milhares 2 23" xfId="1358" xr:uid="{00000000-0005-0000-0000-000097080000}"/>
    <cellStyle name="Separador de milhares 2 23 2" xfId="1823" xr:uid="{00000000-0005-0000-0000-000098080000}"/>
    <cellStyle name="Separador de milhares 2 23 2 2" xfId="2112" xr:uid="{00000000-0005-0000-0000-000099080000}"/>
    <cellStyle name="Separador de milhares 2 24" xfId="1359" xr:uid="{00000000-0005-0000-0000-00009A080000}"/>
    <cellStyle name="Separador de milhares 2 24 2" xfId="1824" xr:uid="{00000000-0005-0000-0000-00009B080000}"/>
    <cellStyle name="Separador de milhares 2 24 2 2" xfId="2113" xr:uid="{00000000-0005-0000-0000-00009C080000}"/>
    <cellStyle name="Separador de milhares 2 25" xfId="1360" xr:uid="{00000000-0005-0000-0000-00009D080000}"/>
    <cellStyle name="Separador de milhares 2 25 2" xfId="1825" xr:uid="{00000000-0005-0000-0000-00009E080000}"/>
    <cellStyle name="Separador de milhares 2 25 2 2" xfId="2114" xr:uid="{00000000-0005-0000-0000-00009F080000}"/>
    <cellStyle name="Separador de milhares 2 26" xfId="1361" xr:uid="{00000000-0005-0000-0000-0000A0080000}"/>
    <cellStyle name="Separador de milhares 2 26 2" xfId="1826" xr:uid="{00000000-0005-0000-0000-0000A1080000}"/>
    <cellStyle name="Separador de milhares 2 26 2 2" xfId="2115" xr:uid="{00000000-0005-0000-0000-0000A2080000}"/>
    <cellStyle name="Separador de milhares 2 27" xfId="1362" xr:uid="{00000000-0005-0000-0000-0000A3080000}"/>
    <cellStyle name="Separador de milhares 2 27 2" xfId="1827" xr:uid="{00000000-0005-0000-0000-0000A4080000}"/>
    <cellStyle name="Separador de milhares 2 27 2 2" xfId="2116" xr:uid="{00000000-0005-0000-0000-0000A5080000}"/>
    <cellStyle name="Separador de milhares 2 28" xfId="1363" xr:uid="{00000000-0005-0000-0000-0000A6080000}"/>
    <cellStyle name="Separador de milhares 2 28 2" xfId="1828" xr:uid="{00000000-0005-0000-0000-0000A7080000}"/>
    <cellStyle name="Separador de milhares 2 28 2 2" xfId="2117" xr:uid="{00000000-0005-0000-0000-0000A8080000}"/>
    <cellStyle name="Separador de milhares 2 29" xfId="1364" xr:uid="{00000000-0005-0000-0000-0000A9080000}"/>
    <cellStyle name="Separador de milhares 2 29 2" xfId="1365" xr:uid="{00000000-0005-0000-0000-0000AA080000}"/>
    <cellStyle name="Separador de milhares 2 29 2 2" xfId="1829" xr:uid="{00000000-0005-0000-0000-0000AB080000}"/>
    <cellStyle name="Separador de milhares 2 29 2 2 2" xfId="2118" xr:uid="{00000000-0005-0000-0000-0000AC080000}"/>
    <cellStyle name="Separador de milhares 2 29 3" xfId="1830" xr:uid="{00000000-0005-0000-0000-0000AD080000}"/>
    <cellStyle name="Separador de milhares 2 29 3 2" xfId="2119" xr:uid="{00000000-0005-0000-0000-0000AE080000}"/>
    <cellStyle name="Separador de milhares 2 3" xfId="1366" xr:uid="{00000000-0005-0000-0000-0000AF080000}"/>
    <cellStyle name="Separador de milhares 2 3 2" xfId="1831" xr:uid="{00000000-0005-0000-0000-0000B0080000}"/>
    <cellStyle name="Separador de milhares 2 3 2 2" xfId="2120" xr:uid="{00000000-0005-0000-0000-0000B1080000}"/>
    <cellStyle name="Separador de milhares 2 3 2 2 2" xfId="2288" xr:uid="{00000000-0005-0000-0000-0000B2080000}"/>
    <cellStyle name="Separador de milhares 2 3 2 3" xfId="2289" xr:uid="{00000000-0005-0000-0000-0000B3080000}"/>
    <cellStyle name="Separador de milhares 2 3 3" xfId="2290" xr:uid="{00000000-0005-0000-0000-0000B4080000}"/>
    <cellStyle name="Separador de milhares 2 3 3 2" xfId="2291" xr:uid="{00000000-0005-0000-0000-0000B5080000}"/>
    <cellStyle name="Separador de milhares 2 3 4" xfId="2292" xr:uid="{00000000-0005-0000-0000-0000B6080000}"/>
    <cellStyle name="Separador de milhares 2 30" xfId="1367" xr:uid="{00000000-0005-0000-0000-0000B7080000}"/>
    <cellStyle name="Separador de milhares 2 30 2" xfId="1832" xr:uid="{00000000-0005-0000-0000-0000B8080000}"/>
    <cellStyle name="Separador de milhares 2 30 2 2" xfId="2121" xr:uid="{00000000-0005-0000-0000-0000B9080000}"/>
    <cellStyle name="Separador de milhares 2 31" xfId="1368" xr:uid="{00000000-0005-0000-0000-0000BA080000}"/>
    <cellStyle name="Separador de milhares 2 31 2" xfId="1833" xr:uid="{00000000-0005-0000-0000-0000BB080000}"/>
    <cellStyle name="Separador de milhares 2 31 2 2" xfId="2122" xr:uid="{00000000-0005-0000-0000-0000BC080000}"/>
    <cellStyle name="Separador de milhares 2 32" xfId="1369" xr:uid="{00000000-0005-0000-0000-0000BD080000}"/>
    <cellStyle name="Separador de milhares 2 32 2" xfId="1834" xr:uid="{00000000-0005-0000-0000-0000BE080000}"/>
    <cellStyle name="Separador de milhares 2 32 2 2" xfId="2123" xr:uid="{00000000-0005-0000-0000-0000BF080000}"/>
    <cellStyle name="Separador de milhares 2 33" xfId="1370" xr:uid="{00000000-0005-0000-0000-0000C0080000}"/>
    <cellStyle name="Separador de milhares 2 33 2" xfId="1835" xr:uid="{00000000-0005-0000-0000-0000C1080000}"/>
    <cellStyle name="Separador de milhares 2 33 2 2" xfId="2124" xr:uid="{00000000-0005-0000-0000-0000C2080000}"/>
    <cellStyle name="Separador de milhares 2 34" xfId="1371" xr:uid="{00000000-0005-0000-0000-0000C3080000}"/>
    <cellStyle name="Separador de milhares 2 34 2" xfId="1836" xr:uid="{00000000-0005-0000-0000-0000C4080000}"/>
    <cellStyle name="Separador de milhares 2 34 2 2" xfId="2125" xr:uid="{00000000-0005-0000-0000-0000C5080000}"/>
    <cellStyle name="Separador de milhares 2 35" xfId="1372" xr:uid="{00000000-0005-0000-0000-0000C6080000}"/>
    <cellStyle name="Separador de milhares 2 35 2" xfId="1837" xr:uid="{00000000-0005-0000-0000-0000C7080000}"/>
    <cellStyle name="Separador de milhares 2 35 2 2" xfId="2126" xr:uid="{00000000-0005-0000-0000-0000C8080000}"/>
    <cellStyle name="Separador de milhares 2 36" xfId="1373" xr:uid="{00000000-0005-0000-0000-0000C9080000}"/>
    <cellStyle name="Separador de milhares 2 36 2" xfId="1838" xr:uid="{00000000-0005-0000-0000-0000CA080000}"/>
    <cellStyle name="Separador de milhares 2 36 2 2" xfId="2127" xr:uid="{00000000-0005-0000-0000-0000CB080000}"/>
    <cellStyle name="Separador de milhares 2 37" xfId="1374" xr:uid="{00000000-0005-0000-0000-0000CC080000}"/>
    <cellStyle name="Separador de milhares 2 37 2" xfId="1839" xr:uid="{00000000-0005-0000-0000-0000CD080000}"/>
    <cellStyle name="Separador de milhares 2 37 2 2" xfId="2128" xr:uid="{00000000-0005-0000-0000-0000CE080000}"/>
    <cellStyle name="Separador de milhares 2 38" xfId="1375" xr:uid="{00000000-0005-0000-0000-0000CF080000}"/>
    <cellStyle name="Separador de milhares 2 38 2" xfId="1840" xr:uid="{00000000-0005-0000-0000-0000D0080000}"/>
    <cellStyle name="Separador de milhares 2 38 2 2" xfId="2129" xr:uid="{00000000-0005-0000-0000-0000D1080000}"/>
    <cellStyle name="Separador de milhares 2 39" xfId="1376" xr:uid="{00000000-0005-0000-0000-0000D2080000}"/>
    <cellStyle name="Separador de milhares 2 39 2" xfId="1841" xr:uid="{00000000-0005-0000-0000-0000D3080000}"/>
    <cellStyle name="Separador de milhares 2 39 2 2" xfId="2130" xr:uid="{00000000-0005-0000-0000-0000D4080000}"/>
    <cellStyle name="Separador de milhares 2 4" xfId="1377" xr:uid="{00000000-0005-0000-0000-0000D5080000}"/>
    <cellStyle name="Separador de milhares 2 4 2" xfId="1842" xr:uid="{00000000-0005-0000-0000-0000D6080000}"/>
    <cellStyle name="Separador de milhares 2 4 2 2" xfId="2131" xr:uid="{00000000-0005-0000-0000-0000D7080000}"/>
    <cellStyle name="Separador de milhares 2 4 3" xfId="2293" xr:uid="{00000000-0005-0000-0000-0000D8080000}"/>
    <cellStyle name="Separador de milhares 2 4 3 2" xfId="2294" xr:uid="{00000000-0005-0000-0000-0000D9080000}"/>
    <cellStyle name="Separador de milhares 2 4 4" xfId="2295" xr:uid="{00000000-0005-0000-0000-0000DA080000}"/>
    <cellStyle name="Separador de milhares 2 40" xfId="1378" xr:uid="{00000000-0005-0000-0000-0000DB080000}"/>
    <cellStyle name="Separador de milhares 2 40 2" xfId="1843" xr:uid="{00000000-0005-0000-0000-0000DC080000}"/>
    <cellStyle name="Separador de milhares 2 40 2 2" xfId="2132" xr:uid="{00000000-0005-0000-0000-0000DD080000}"/>
    <cellStyle name="Separador de milhares 2 41" xfId="1379" xr:uid="{00000000-0005-0000-0000-0000DE080000}"/>
    <cellStyle name="Separador de milhares 2 41 2" xfId="1844" xr:uid="{00000000-0005-0000-0000-0000DF080000}"/>
    <cellStyle name="Separador de milhares 2 41 2 2" xfId="2133" xr:uid="{00000000-0005-0000-0000-0000E0080000}"/>
    <cellStyle name="Separador de milhares 2 42" xfId="1380" xr:uid="{00000000-0005-0000-0000-0000E1080000}"/>
    <cellStyle name="Separador de milhares 2 42 2" xfId="1845" xr:uid="{00000000-0005-0000-0000-0000E2080000}"/>
    <cellStyle name="Separador de milhares 2 42 2 2" xfId="2134" xr:uid="{00000000-0005-0000-0000-0000E3080000}"/>
    <cellStyle name="Separador de milhares 2 43" xfId="1381" xr:uid="{00000000-0005-0000-0000-0000E4080000}"/>
    <cellStyle name="Separador de milhares 2 43 2" xfId="1846" xr:uid="{00000000-0005-0000-0000-0000E5080000}"/>
    <cellStyle name="Separador de milhares 2 43 2 2" xfId="2135" xr:uid="{00000000-0005-0000-0000-0000E6080000}"/>
    <cellStyle name="Separador de milhares 2 44" xfId="1847" xr:uid="{00000000-0005-0000-0000-0000E7080000}"/>
    <cellStyle name="Separador de milhares 2 44 2" xfId="2136" xr:uid="{00000000-0005-0000-0000-0000E8080000}"/>
    <cellStyle name="Separador de milhares 2 5" xfId="1382" xr:uid="{00000000-0005-0000-0000-0000E9080000}"/>
    <cellStyle name="Separador de milhares 2 5 2" xfId="1848" xr:uid="{00000000-0005-0000-0000-0000EA080000}"/>
    <cellStyle name="Separador de milhares 2 5 2 2" xfId="2137" xr:uid="{00000000-0005-0000-0000-0000EB080000}"/>
    <cellStyle name="Separador de milhares 2 6" xfId="1383" xr:uid="{00000000-0005-0000-0000-0000EC080000}"/>
    <cellStyle name="Separador de milhares 2 6 2" xfId="1849" xr:uid="{00000000-0005-0000-0000-0000ED080000}"/>
    <cellStyle name="Separador de milhares 2 6 2 2" xfId="2138" xr:uid="{00000000-0005-0000-0000-0000EE080000}"/>
    <cellStyle name="Separador de milhares 2 7" xfId="1384" xr:uid="{00000000-0005-0000-0000-0000EF080000}"/>
    <cellStyle name="Separador de milhares 2 7 2" xfId="1850" xr:uid="{00000000-0005-0000-0000-0000F0080000}"/>
    <cellStyle name="Separador de milhares 2 7 2 2" xfId="2139" xr:uid="{00000000-0005-0000-0000-0000F1080000}"/>
    <cellStyle name="Separador de milhares 2 8" xfId="1385" xr:uid="{00000000-0005-0000-0000-0000F2080000}"/>
    <cellStyle name="Separador de milhares 2 8 2" xfId="1851" xr:uid="{00000000-0005-0000-0000-0000F3080000}"/>
    <cellStyle name="Separador de milhares 2 8 2 2" xfId="2140" xr:uid="{00000000-0005-0000-0000-0000F4080000}"/>
    <cellStyle name="Separador de milhares 2 9" xfId="1386" xr:uid="{00000000-0005-0000-0000-0000F5080000}"/>
    <cellStyle name="Separador de milhares 2 9 2" xfId="1852" xr:uid="{00000000-0005-0000-0000-0000F6080000}"/>
    <cellStyle name="Separador de milhares 2 9 2 2" xfId="2141" xr:uid="{00000000-0005-0000-0000-0000F7080000}"/>
    <cellStyle name="Separador de milhares 2 9 3" xfId="2840" xr:uid="{00000000-0005-0000-0000-0000F8080000}"/>
    <cellStyle name="Separador de milhares 2 9 4" xfId="2296" xr:uid="{00000000-0005-0000-0000-0000F9080000}"/>
    <cellStyle name="Separador de milhares 20" xfId="1387" xr:uid="{00000000-0005-0000-0000-0000FA080000}"/>
    <cellStyle name="Separador de milhares 20 2" xfId="1853" xr:uid="{00000000-0005-0000-0000-0000FB080000}"/>
    <cellStyle name="Separador de milhares 20 2 2" xfId="2142" xr:uid="{00000000-0005-0000-0000-0000FC080000}"/>
    <cellStyle name="Separador de milhares 21" xfId="1388" xr:uid="{00000000-0005-0000-0000-0000FD080000}"/>
    <cellStyle name="Separador de milhares 21 2" xfId="1854" xr:uid="{00000000-0005-0000-0000-0000FE080000}"/>
    <cellStyle name="Separador de milhares 21 2 2" xfId="2143" xr:uid="{00000000-0005-0000-0000-0000FF080000}"/>
    <cellStyle name="Separador de milhares 22" xfId="1389" xr:uid="{00000000-0005-0000-0000-000000090000}"/>
    <cellStyle name="Separador de milhares 22 2" xfId="1390" xr:uid="{00000000-0005-0000-0000-000001090000}"/>
    <cellStyle name="Separador de milhares 22 2 2" xfId="1855" xr:uid="{00000000-0005-0000-0000-000002090000}"/>
    <cellStyle name="Separador de milhares 22 2 2 2" xfId="2144" xr:uid="{00000000-0005-0000-0000-000003090000}"/>
    <cellStyle name="Separador de milhares 22 3" xfId="1856" xr:uid="{00000000-0005-0000-0000-000004090000}"/>
    <cellStyle name="Separador de milhares 22 3 2" xfId="2145" xr:uid="{00000000-0005-0000-0000-000005090000}"/>
    <cellStyle name="Separador de milhares 23" xfId="1391" xr:uid="{00000000-0005-0000-0000-000006090000}"/>
    <cellStyle name="Separador de milhares 23 2" xfId="1857" xr:uid="{00000000-0005-0000-0000-000007090000}"/>
    <cellStyle name="Separador de milhares 23 2 2" xfId="2146" xr:uid="{00000000-0005-0000-0000-000008090000}"/>
    <cellStyle name="Separador de milhares 24" xfId="1392" xr:uid="{00000000-0005-0000-0000-000009090000}"/>
    <cellStyle name="Separador de milhares 24 2" xfId="1858" xr:uid="{00000000-0005-0000-0000-00000A090000}"/>
    <cellStyle name="Separador de milhares 24 2 2" xfId="2147" xr:uid="{00000000-0005-0000-0000-00000B090000}"/>
    <cellStyle name="Separador de milhares 25" xfId="1393" xr:uid="{00000000-0005-0000-0000-00000C090000}"/>
    <cellStyle name="Separador de milhares 25 2" xfId="1394" xr:uid="{00000000-0005-0000-0000-00000D090000}"/>
    <cellStyle name="Separador de milhares 25 2 2" xfId="1859" xr:uid="{00000000-0005-0000-0000-00000E090000}"/>
    <cellStyle name="Separador de milhares 25 2 2 2" xfId="2148" xr:uid="{00000000-0005-0000-0000-00000F090000}"/>
    <cellStyle name="Separador de milhares 25 3" xfId="1860" xr:uid="{00000000-0005-0000-0000-000010090000}"/>
    <cellStyle name="Separador de milhares 25 3 2" xfId="2149" xr:uid="{00000000-0005-0000-0000-000011090000}"/>
    <cellStyle name="Separador de milhares 26" xfId="1395" xr:uid="{00000000-0005-0000-0000-000012090000}"/>
    <cellStyle name="Separador de milhares 26 2" xfId="1396" xr:uid="{00000000-0005-0000-0000-000013090000}"/>
    <cellStyle name="Separador de milhares 26 2 2" xfId="1861" xr:uid="{00000000-0005-0000-0000-000014090000}"/>
    <cellStyle name="Separador de milhares 26 2 2 2" xfId="2150" xr:uid="{00000000-0005-0000-0000-000015090000}"/>
    <cellStyle name="Separador de milhares 26 3" xfId="1862" xr:uid="{00000000-0005-0000-0000-000016090000}"/>
    <cellStyle name="Separador de milhares 26 3 2" xfId="2151" xr:uid="{00000000-0005-0000-0000-000017090000}"/>
    <cellStyle name="Separador de milhares 27" xfId="1397" xr:uid="{00000000-0005-0000-0000-000018090000}"/>
    <cellStyle name="Separador de milhares 27 2" xfId="1863" xr:uid="{00000000-0005-0000-0000-000019090000}"/>
    <cellStyle name="Separador de milhares 27 2 2" xfId="2152" xr:uid="{00000000-0005-0000-0000-00001A090000}"/>
    <cellStyle name="Separador de milhares 28" xfId="1398" xr:uid="{00000000-0005-0000-0000-00001B090000}"/>
    <cellStyle name="Separador de milhares 28 2" xfId="1864" xr:uid="{00000000-0005-0000-0000-00001C090000}"/>
    <cellStyle name="Separador de milhares 28 2 2" xfId="2153" xr:uid="{00000000-0005-0000-0000-00001D090000}"/>
    <cellStyle name="Separador de milhares 29" xfId="1399" xr:uid="{00000000-0005-0000-0000-00001E090000}"/>
    <cellStyle name="Separador de milhares 29 2" xfId="1865" xr:uid="{00000000-0005-0000-0000-00001F090000}"/>
    <cellStyle name="Separador de milhares 29 2 2" xfId="2154" xr:uid="{00000000-0005-0000-0000-000020090000}"/>
    <cellStyle name="Separador de milhares 3" xfId="1400" xr:uid="{00000000-0005-0000-0000-000021090000}"/>
    <cellStyle name="Separador de milhares 3 2" xfId="1866" xr:uid="{00000000-0005-0000-0000-000022090000}"/>
    <cellStyle name="Separador de milhares 3 2 2" xfId="2155" xr:uid="{00000000-0005-0000-0000-000023090000}"/>
    <cellStyle name="Separador de milhares 3 3" xfId="1401" xr:uid="{00000000-0005-0000-0000-000024090000}"/>
    <cellStyle name="Separador de milhares 3 3 2" xfId="1867" xr:uid="{00000000-0005-0000-0000-000025090000}"/>
    <cellStyle name="Separador de milhares 3 3 2 2" xfId="2156" xr:uid="{00000000-0005-0000-0000-000026090000}"/>
    <cellStyle name="Separador de milhares 3 3 3" xfId="2841" xr:uid="{00000000-0005-0000-0000-000027090000}"/>
    <cellStyle name="Separador de milhares 3 4" xfId="1964" xr:uid="{00000000-0005-0000-0000-000028090000}"/>
    <cellStyle name="Separador de milhares 30" xfId="1402" xr:uid="{00000000-0005-0000-0000-000029090000}"/>
    <cellStyle name="Separador de milhares 30 2" xfId="1868" xr:uid="{00000000-0005-0000-0000-00002A090000}"/>
    <cellStyle name="Separador de milhares 30 2 2" xfId="2157" xr:uid="{00000000-0005-0000-0000-00002B090000}"/>
    <cellStyle name="Separador de milhares 31" xfId="1403" xr:uid="{00000000-0005-0000-0000-00002C090000}"/>
    <cellStyle name="Separador de milhares 31 2" xfId="1869" xr:uid="{00000000-0005-0000-0000-00002D090000}"/>
    <cellStyle name="Separador de milhares 31 2 2" xfId="2158" xr:uid="{00000000-0005-0000-0000-00002E090000}"/>
    <cellStyle name="Separador de milhares 32" xfId="1404" xr:uid="{00000000-0005-0000-0000-00002F090000}"/>
    <cellStyle name="Separador de milhares 32 2" xfId="1870" xr:uid="{00000000-0005-0000-0000-000030090000}"/>
    <cellStyle name="Separador de milhares 32 2 2" xfId="2159" xr:uid="{00000000-0005-0000-0000-000031090000}"/>
    <cellStyle name="Separador de milhares 33" xfId="1405" xr:uid="{00000000-0005-0000-0000-000032090000}"/>
    <cellStyle name="Separador de milhares 33 2" xfId="1871" xr:uid="{00000000-0005-0000-0000-000033090000}"/>
    <cellStyle name="Separador de milhares 33 2 2" xfId="2160" xr:uid="{00000000-0005-0000-0000-000034090000}"/>
    <cellStyle name="Separador de milhares 34" xfId="1406" xr:uid="{00000000-0005-0000-0000-000035090000}"/>
    <cellStyle name="Separador de milhares 34 2" xfId="1872" xr:uid="{00000000-0005-0000-0000-000036090000}"/>
    <cellStyle name="Separador de milhares 34 2 2" xfId="2161" xr:uid="{00000000-0005-0000-0000-000037090000}"/>
    <cellStyle name="Separador de milhares 35" xfId="1407" xr:uid="{00000000-0005-0000-0000-000038090000}"/>
    <cellStyle name="Separador de milhares 35 2" xfId="1873" xr:uid="{00000000-0005-0000-0000-000039090000}"/>
    <cellStyle name="Separador de milhares 35 2 2" xfId="2162" xr:uid="{00000000-0005-0000-0000-00003A090000}"/>
    <cellStyle name="Separador de milhares 36" xfId="1408" xr:uid="{00000000-0005-0000-0000-00003B090000}"/>
    <cellStyle name="Separador de milhares 36 2" xfId="1874" xr:uid="{00000000-0005-0000-0000-00003C090000}"/>
    <cellStyle name="Separador de milhares 36 2 2" xfId="2163" xr:uid="{00000000-0005-0000-0000-00003D090000}"/>
    <cellStyle name="Separador de milhares 37" xfId="1409" xr:uid="{00000000-0005-0000-0000-00003E090000}"/>
    <cellStyle name="Separador de milhares 37 2" xfId="1875" xr:uid="{00000000-0005-0000-0000-00003F090000}"/>
    <cellStyle name="Separador de milhares 37 2 2" xfId="2164" xr:uid="{00000000-0005-0000-0000-000040090000}"/>
    <cellStyle name="Separador de milhares 38" xfId="1410" xr:uid="{00000000-0005-0000-0000-000041090000}"/>
    <cellStyle name="Separador de milhares 38 2" xfId="1876" xr:uid="{00000000-0005-0000-0000-000042090000}"/>
    <cellStyle name="Separador de milhares 38 2 2" xfId="2165" xr:uid="{00000000-0005-0000-0000-000043090000}"/>
    <cellStyle name="Separador de milhares 39" xfId="1411" xr:uid="{00000000-0005-0000-0000-000044090000}"/>
    <cellStyle name="Separador de milhares 39 2" xfId="1877" xr:uid="{00000000-0005-0000-0000-000045090000}"/>
    <cellStyle name="Separador de milhares 39 2 2" xfId="2166" xr:uid="{00000000-0005-0000-0000-000046090000}"/>
    <cellStyle name="Separador de milhares 4" xfId="1412" xr:uid="{00000000-0005-0000-0000-000047090000}"/>
    <cellStyle name="Separador de milhares 4 2" xfId="1413" xr:uid="{00000000-0005-0000-0000-000048090000}"/>
    <cellStyle name="Separador de milhares 4 2 2" xfId="1878" xr:uid="{00000000-0005-0000-0000-000049090000}"/>
    <cellStyle name="Separador de milhares 4 2 2 2" xfId="2167" xr:uid="{00000000-0005-0000-0000-00004A090000}"/>
    <cellStyle name="Separador de milhares 4 3" xfId="1879" xr:uid="{00000000-0005-0000-0000-00004B090000}"/>
    <cellStyle name="Separador de milhares 4 3 2" xfId="2168" xr:uid="{00000000-0005-0000-0000-00004C090000}"/>
    <cellStyle name="Separador de milhares 4 4" xfId="1965" xr:uid="{00000000-0005-0000-0000-00004D090000}"/>
    <cellStyle name="Separador de milhares 40" xfId="1414" xr:uid="{00000000-0005-0000-0000-00004E090000}"/>
    <cellStyle name="Separador de milhares 40 2" xfId="1880" xr:uid="{00000000-0005-0000-0000-00004F090000}"/>
    <cellStyle name="Separador de milhares 40 2 2" xfId="2169" xr:uid="{00000000-0005-0000-0000-000050090000}"/>
    <cellStyle name="Separador de milhares 41" xfId="1415" xr:uid="{00000000-0005-0000-0000-000051090000}"/>
    <cellStyle name="Separador de milhares 41 2" xfId="1881" xr:uid="{00000000-0005-0000-0000-000052090000}"/>
    <cellStyle name="Separador de milhares 41 2 2" xfId="2170" xr:uid="{00000000-0005-0000-0000-000053090000}"/>
    <cellStyle name="Separador de milhares 42" xfId="1416" xr:uid="{00000000-0005-0000-0000-000054090000}"/>
    <cellStyle name="Separador de milhares 42 2" xfId="1882" xr:uid="{00000000-0005-0000-0000-000055090000}"/>
    <cellStyle name="Separador de milhares 42 2 2" xfId="2171" xr:uid="{00000000-0005-0000-0000-000056090000}"/>
    <cellStyle name="Separador de milhares 43" xfId="1417" xr:uid="{00000000-0005-0000-0000-000057090000}"/>
    <cellStyle name="Separador de milhares 43 2" xfId="1883" xr:uid="{00000000-0005-0000-0000-000058090000}"/>
    <cellStyle name="Separador de milhares 43 2 2" xfId="2172" xr:uid="{00000000-0005-0000-0000-000059090000}"/>
    <cellStyle name="Separador de milhares 44" xfId="1418" xr:uid="{00000000-0005-0000-0000-00005A090000}"/>
    <cellStyle name="Separador de milhares 44 2" xfId="1884" xr:uid="{00000000-0005-0000-0000-00005B090000}"/>
    <cellStyle name="Separador de milhares 44 2 2" xfId="2173" xr:uid="{00000000-0005-0000-0000-00005C090000}"/>
    <cellStyle name="Separador de milhares 45" xfId="1419" xr:uid="{00000000-0005-0000-0000-00005D090000}"/>
    <cellStyle name="Separador de milhares 45 2" xfId="1885" xr:uid="{00000000-0005-0000-0000-00005E090000}"/>
    <cellStyle name="Separador de milhares 45 2 2" xfId="2174" xr:uid="{00000000-0005-0000-0000-00005F090000}"/>
    <cellStyle name="Separador de milhares 46" xfId="1420" xr:uid="{00000000-0005-0000-0000-000060090000}"/>
    <cellStyle name="Separador de milhares 46 2" xfId="1886" xr:uid="{00000000-0005-0000-0000-000061090000}"/>
    <cellStyle name="Separador de milhares 46 2 2" xfId="2175" xr:uid="{00000000-0005-0000-0000-000062090000}"/>
    <cellStyle name="Separador de milhares 47" xfId="1421" xr:uid="{00000000-0005-0000-0000-000063090000}"/>
    <cellStyle name="Separador de milhares 47 2" xfId="1887" xr:uid="{00000000-0005-0000-0000-000064090000}"/>
    <cellStyle name="Separador de milhares 47 2 2" xfId="2176" xr:uid="{00000000-0005-0000-0000-000065090000}"/>
    <cellStyle name="Separador de milhares 48" xfId="1422" xr:uid="{00000000-0005-0000-0000-000066090000}"/>
    <cellStyle name="Separador de milhares 48 2" xfId="1888" xr:uid="{00000000-0005-0000-0000-000067090000}"/>
    <cellStyle name="Separador de milhares 48 2 2" xfId="2177" xr:uid="{00000000-0005-0000-0000-000068090000}"/>
    <cellStyle name="Separador de milhares 49" xfId="1423" xr:uid="{00000000-0005-0000-0000-000069090000}"/>
    <cellStyle name="Separador de milhares 49 2" xfId="1889" xr:uid="{00000000-0005-0000-0000-00006A090000}"/>
    <cellStyle name="Separador de milhares 49 2 2" xfId="2178" xr:uid="{00000000-0005-0000-0000-00006B090000}"/>
    <cellStyle name="Separador de milhares 5" xfId="1424" xr:uid="{00000000-0005-0000-0000-00006C090000}"/>
    <cellStyle name="Separador de milhares 5 2" xfId="1425" xr:uid="{00000000-0005-0000-0000-00006D090000}"/>
    <cellStyle name="Separador de milhares 5 3" xfId="2842" xr:uid="{00000000-0005-0000-0000-00006E090000}"/>
    <cellStyle name="Separador de milhares 50" xfId="1426" xr:uid="{00000000-0005-0000-0000-00006F090000}"/>
    <cellStyle name="Separador de milhares 50 2" xfId="1427" xr:uid="{00000000-0005-0000-0000-000070090000}"/>
    <cellStyle name="Separador de milhares 50 2 2" xfId="1890" xr:uid="{00000000-0005-0000-0000-000071090000}"/>
    <cellStyle name="Separador de milhares 50 2 2 2" xfId="2179" xr:uid="{00000000-0005-0000-0000-000072090000}"/>
    <cellStyle name="Separador de milhares 50 3" xfId="1891" xr:uid="{00000000-0005-0000-0000-000073090000}"/>
    <cellStyle name="Separador de milhares 50 3 2" xfId="2180" xr:uid="{00000000-0005-0000-0000-000074090000}"/>
    <cellStyle name="Separador de milhares 51" xfId="1428" xr:uid="{00000000-0005-0000-0000-000075090000}"/>
    <cellStyle name="Separador de milhares 51 2" xfId="1892" xr:uid="{00000000-0005-0000-0000-000076090000}"/>
    <cellStyle name="Separador de milhares 51 2 2" xfId="2181" xr:uid="{00000000-0005-0000-0000-000077090000}"/>
    <cellStyle name="Separador de milhares 52" xfId="1429" xr:uid="{00000000-0005-0000-0000-000078090000}"/>
    <cellStyle name="Separador de milhares 52 2" xfId="1893" xr:uid="{00000000-0005-0000-0000-000079090000}"/>
    <cellStyle name="Separador de milhares 52 2 2" xfId="2182" xr:uid="{00000000-0005-0000-0000-00007A090000}"/>
    <cellStyle name="Separador de milhares 53" xfId="1430" xr:uid="{00000000-0005-0000-0000-00007B090000}"/>
    <cellStyle name="Separador de milhares 53 2" xfId="1894" xr:uid="{00000000-0005-0000-0000-00007C090000}"/>
    <cellStyle name="Separador de milhares 53 2 2" xfId="2183" xr:uid="{00000000-0005-0000-0000-00007D090000}"/>
    <cellStyle name="Separador de milhares 54" xfId="1431" xr:uid="{00000000-0005-0000-0000-00007E090000}"/>
    <cellStyle name="Separador de milhares 54 2" xfId="1895" xr:uid="{00000000-0005-0000-0000-00007F090000}"/>
    <cellStyle name="Separador de milhares 54 2 2" xfId="2184" xr:uid="{00000000-0005-0000-0000-000080090000}"/>
    <cellStyle name="Separador de milhares 55" xfId="1432" xr:uid="{00000000-0005-0000-0000-000081090000}"/>
    <cellStyle name="Separador de milhares 55 2" xfId="1433" xr:uid="{00000000-0005-0000-0000-000082090000}"/>
    <cellStyle name="Separador de milhares 55 2 2" xfId="1896" xr:uid="{00000000-0005-0000-0000-000083090000}"/>
    <cellStyle name="Separador de milhares 55 2 2 2" xfId="2185" xr:uid="{00000000-0005-0000-0000-000084090000}"/>
    <cellStyle name="Separador de milhares 55 3" xfId="1897" xr:uid="{00000000-0005-0000-0000-000085090000}"/>
    <cellStyle name="Separador de milhares 55 3 2" xfId="2186" xr:uid="{00000000-0005-0000-0000-000086090000}"/>
    <cellStyle name="Separador de milhares 56" xfId="1434" xr:uid="{00000000-0005-0000-0000-000087090000}"/>
    <cellStyle name="Separador de milhares 56 2" xfId="1898" xr:uid="{00000000-0005-0000-0000-000088090000}"/>
    <cellStyle name="Separador de milhares 56 2 2" xfId="2187" xr:uid="{00000000-0005-0000-0000-000089090000}"/>
    <cellStyle name="Separador de milhares 57" xfId="1435" xr:uid="{00000000-0005-0000-0000-00008A090000}"/>
    <cellStyle name="Separador de milhares 57 2" xfId="1436" xr:uid="{00000000-0005-0000-0000-00008B090000}"/>
    <cellStyle name="Separador de milhares 57 2 2" xfId="1899" xr:uid="{00000000-0005-0000-0000-00008C090000}"/>
    <cellStyle name="Separador de milhares 57 2 2 2" xfId="2188" xr:uid="{00000000-0005-0000-0000-00008D090000}"/>
    <cellStyle name="Separador de milhares 57 3" xfId="1900" xr:uid="{00000000-0005-0000-0000-00008E090000}"/>
    <cellStyle name="Separador de milhares 57 3 2" xfId="2189" xr:uid="{00000000-0005-0000-0000-00008F090000}"/>
    <cellStyle name="Separador de milhares 58" xfId="1437" xr:uid="{00000000-0005-0000-0000-000090090000}"/>
    <cellStyle name="Separador de milhares 58 2" xfId="1901" xr:uid="{00000000-0005-0000-0000-000091090000}"/>
    <cellStyle name="Separador de milhares 58 2 2" xfId="2190" xr:uid="{00000000-0005-0000-0000-000092090000}"/>
    <cellStyle name="Separador de milhares 59" xfId="1438" xr:uid="{00000000-0005-0000-0000-000093090000}"/>
    <cellStyle name="Separador de milhares 59 2" xfId="1902" xr:uid="{00000000-0005-0000-0000-000094090000}"/>
    <cellStyle name="Separador de milhares 59 2 2" xfId="2191" xr:uid="{00000000-0005-0000-0000-000095090000}"/>
    <cellStyle name="Separador de milhares 6" xfId="1439" xr:uid="{00000000-0005-0000-0000-000096090000}"/>
    <cellStyle name="Separador de milhares 6 2" xfId="1440" xr:uid="{00000000-0005-0000-0000-000097090000}"/>
    <cellStyle name="Separador de milhares 6 2 2" xfId="1903" xr:uid="{00000000-0005-0000-0000-000098090000}"/>
    <cellStyle name="Separador de milhares 6 2 2 2" xfId="2192" xr:uid="{00000000-0005-0000-0000-000099090000}"/>
    <cellStyle name="Separador de milhares 6 3" xfId="1904" xr:uid="{00000000-0005-0000-0000-00009A090000}"/>
    <cellStyle name="Separador de milhares 6 3 2" xfId="2193" xr:uid="{00000000-0005-0000-0000-00009B090000}"/>
    <cellStyle name="Separador de milhares 60" xfId="1441" xr:uid="{00000000-0005-0000-0000-00009C090000}"/>
    <cellStyle name="Separador de milhares 60 2" xfId="1905" xr:uid="{00000000-0005-0000-0000-00009D090000}"/>
    <cellStyle name="Separador de milhares 60 2 2" xfId="2194" xr:uid="{00000000-0005-0000-0000-00009E090000}"/>
    <cellStyle name="Separador de milhares 61" xfId="1442" xr:uid="{00000000-0005-0000-0000-00009F090000}"/>
    <cellStyle name="Separador de milhares 61 2" xfId="1443" xr:uid="{00000000-0005-0000-0000-0000A0090000}"/>
    <cellStyle name="Separador de milhares 61 2 2" xfId="1906" xr:uid="{00000000-0005-0000-0000-0000A1090000}"/>
    <cellStyle name="Separador de milhares 61 2 2 2" xfId="2195" xr:uid="{00000000-0005-0000-0000-0000A2090000}"/>
    <cellStyle name="Separador de milhares 61 3" xfId="1907" xr:uid="{00000000-0005-0000-0000-0000A3090000}"/>
    <cellStyle name="Separador de milhares 61 3 2" xfId="2196" xr:uid="{00000000-0005-0000-0000-0000A4090000}"/>
    <cellStyle name="Separador de milhares 62" xfId="1444" xr:uid="{00000000-0005-0000-0000-0000A5090000}"/>
    <cellStyle name="Separador de milhares 62 2" xfId="1908" xr:uid="{00000000-0005-0000-0000-0000A6090000}"/>
    <cellStyle name="Separador de milhares 62 2 2" xfId="2197" xr:uid="{00000000-0005-0000-0000-0000A7090000}"/>
    <cellStyle name="Separador de milhares 63" xfId="1445" xr:uid="{00000000-0005-0000-0000-0000A8090000}"/>
    <cellStyle name="Separador de milhares 63 2" xfId="1909" xr:uid="{00000000-0005-0000-0000-0000A9090000}"/>
    <cellStyle name="Separador de milhares 63 2 2" xfId="2198" xr:uid="{00000000-0005-0000-0000-0000AA090000}"/>
    <cellStyle name="Separador de milhares 64" xfId="1446" xr:uid="{00000000-0005-0000-0000-0000AB090000}"/>
    <cellStyle name="Separador de milhares 64 2" xfId="1910" xr:uid="{00000000-0005-0000-0000-0000AC090000}"/>
    <cellStyle name="Separador de milhares 64 2 2" xfId="2199" xr:uid="{00000000-0005-0000-0000-0000AD090000}"/>
    <cellStyle name="Separador de milhares 65" xfId="1447" xr:uid="{00000000-0005-0000-0000-0000AE090000}"/>
    <cellStyle name="Separador de milhares 65 2" xfId="1448" xr:uid="{00000000-0005-0000-0000-0000AF090000}"/>
    <cellStyle name="Separador de milhares 65 2 2" xfId="1911" xr:uid="{00000000-0005-0000-0000-0000B0090000}"/>
    <cellStyle name="Separador de milhares 65 2 2 2" xfId="2200" xr:uid="{00000000-0005-0000-0000-0000B1090000}"/>
    <cellStyle name="Separador de milhares 65 3" xfId="1912" xr:uid="{00000000-0005-0000-0000-0000B2090000}"/>
    <cellStyle name="Separador de milhares 65 3 2" xfId="2201" xr:uid="{00000000-0005-0000-0000-0000B3090000}"/>
    <cellStyle name="Separador de milhares 66" xfId="1449" xr:uid="{00000000-0005-0000-0000-0000B4090000}"/>
    <cellStyle name="Separador de milhares 66 2" xfId="1450" xr:uid="{00000000-0005-0000-0000-0000B5090000}"/>
    <cellStyle name="Separador de milhares 66 2 2" xfId="1913" xr:uid="{00000000-0005-0000-0000-0000B6090000}"/>
    <cellStyle name="Separador de milhares 66 2 2 2" xfId="2202" xr:uid="{00000000-0005-0000-0000-0000B7090000}"/>
    <cellStyle name="Separador de milhares 66 3" xfId="1914" xr:uid="{00000000-0005-0000-0000-0000B8090000}"/>
    <cellStyle name="Separador de milhares 66 3 2" xfId="2203" xr:uid="{00000000-0005-0000-0000-0000B9090000}"/>
    <cellStyle name="Separador de milhares 67" xfId="1451" xr:uid="{00000000-0005-0000-0000-0000BA090000}"/>
    <cellStyle name="Separador de milhares 67 2" xfId="1915" xr:uid="{00000000-0005-0000-0000-0000BB090000}"/>
    <cellStyle name="Separador de milhares 67 2 2" xfId="2204" xr:uid="{00000000-0005-0000-0000-0000BC090000}"/>
    <cellStyle name="Separador de milhares 68" xfId="1452" xr:uid="{00000000-0005-0000-0000-0000BD090000}"/>
    <cellStyle name="Separador de milhares 68 2" xfId="1916" xr:uid="{00000000-0005-0000-0000-0000BE090000}"/>
    <cellStyle name="Separador de milhares 68 2 2" xfId="2205" xr:uid="{00000000-0005-0000-0000-0000BF090000}"/>
    <cellStyle name="Separador de milhares 69" xfId="1453" xr:uid="{00000000-0005-0000-0000-0000C0090000}"/>
    <cellStyle name="Separador de milhares 69 2" xfId="1917" xr:uid="{00000000-0005-0000-0000-0000C1090000}"/>
    <cellStyle name="Separador de milhares 69 2 2" xfId="2206" xr:uid="{00000000-0005-0000-0000-0000C2090000}"/>
    <cellStyle name="Separador de milhares 7" xfId="1454" xr:uid="{00000000-0005-0000-0000-0000C3090000}"/>
    <cellStyle name="Separador de milhares 7 2" xfId="1918" xr:uid="{00000000-0005-0000-0000-0000C4090000}"/>
    <cellStyle name="Separador de milhares 7 2 2" xfId="2207" xr:uid="{00000000-0005-0000-0000-0000C5090000}"/>
    <cellStyle name="Separador de milhares 70" xfId="1455" xr:uid="{00000000-0005-0000-0000-0000C6090000}"/>
    <cellStyle name="Separador de milhares 70 2" xfId="1919" xr:uid="{00000000-0005-0000-0000-0000C7090000}"/>
    <cellStyle name="Separador de milhares 70 2 2" xfId="2208" xr:uid="{00000000-0005-0000-0000-0000C8090000}"/>
    <cellStyle name="Separador de milhares 71" xfId="1456" xr:uid="{00000000-0005-0000-0000-0000C9090000}"/>
    <cellStyle name="Separador de milhares 71 2" xfId="1920" xr:uid="{00000000-0005-0000-0000-0000CA090000}"/>
    <cellStyle name="Separador de milhares 71 2 2" xfId="2209" xr:uid="{00000000-0005-0000-0000-0000CB090000}"/>
    <cellStyle name="Separador de milhares 72" xfId="1457" xr:uid="{00000000-0005-0000-0000-0000CC090000}"/>
    <cellStyle name="Separador de milhares 72 2" xfId="1921" xr:uid="{00000000-0005-0000-0000-0000CD090000}"/>
    <cellStyle name="Separador de milhares 72 2 2" xfId="2210" xr:uid="{00000000-0005-0000-0000-0000CE090000}"/>
    <cellStyle name="Separador de milhares 73" xfId="1458" xr:uid="{00000000-0005-0000-0000-0000CF090000}"/>
    <cellStyle name="Separador de milhares 73 2" xfId="1922" xr:uid="{00000000-0005-0000-0000-0000D0090000}"/>
    <cellStyle name="Separador de milhares 73 2 2" xfId="2211" xr:uid="{00000000-0005-0000-0000-0000D1090000}"/>
    <cellStyle name="Separador de milhares 74" xfId="1459" xr:uid="{00000000-0005-0000-0000-0000D2090000}"/>
    <cellStyle name="Separador de milhares 74 2" xfId="1923" xr:uid="{00000000-0005-0000-0000-0000D3090000}"/>
    <cellStyle name="Separador de milhares 74 2 2" xfId="2212" xr:uid="{00000000-0005-0000-0000-0000D4090000}"/>
    <cellStyle name="Separador de milhares 75" xfId="1460" xr:uid="{00000000-0005-0000-0000-0000D5090000}"/>
    <cellStyle name="Separador de milhares 75 2" xfId="1924" xr:uid="{00000000-0005-0000-0000-0000D6090000}"/>
    <cellStyle name="Separador de milhares 75 2 2" xfId="2213" xr:uid="{00000000-0005-0000-0000-0000D7090000}"/>
    <cellStyle name="Separador de milhares 76" xfId="1461" xr:uid="{00000000-0005-0000-0000-0000D8090000}"/>
    <cellStyle name="Separador de milhares 76 2" xfId="1925" xr:uid="{00000000-0005-0000-0000-0000D9090000}"/>
    <cellStyle name="Separador de milhares 76 2 2" xfId="2214" xr:uid="{00000000-0005-0000-0000-0000DA090000}"/>
    <cellStyle name="Separador de milhares 77" xfId="1462" xr:uid="{00000000-0005-0000-0000-0000DB090000}"/>
    <cellStyle name="Separador de milhares 77 2" xfId="1926" xr:uid="{00000000-0005-0000-0000-0000DC090000}"/>
    <cellStyle name="Separador de milhares 77 2 2" xfId="2215" xr:uid="{00000000-0005-0000-0000-0000DD090000}"/>
    <cellStyle name="Separador de milhares 78" xfId="1463" xr:uid="{00000000-0005-0000-0000-0000DE090000}"/>
    <cellStyle name="Separador de milhares 78 2" xfId="1927" xr:uid="{00000000-0005-0000-0000-0000DF090000}"/>
    <cellStyle name="Separador de milhares 78 2 2" xfId="2216" xr:uid="{00000000-0005-0000-0000-0000E0090000}"/>
    <cellStyle name="Separador de milhares 79" xfId="1464" xr:uid="{00000000-0005-0000-0000-0000E1090000}"/>
    <cellStyle name="Separador de milhares 79 2" xfId="1928" xr:uid="{00000000-0005-0000-0000-0000E2090000}"/>
    <cellStyle name="Separador de milhares 79 2 2" xfId="2217" xr:uid="{00000000-0005-0000-0000-0000E3090000}"/>
    <cellStyle name="Separador de milhares 8" xfId="1465" xr:uid="{00000000-0005-0000-0000-0000E4090000}"/>
    <cellStyle name="Separador de milhares 8 2" xfId="1466" xr:uid="{00000000-0005-0000-0000-0000E5090000}"/>
    <cellStyle name="Separador de milhares 8 2 2" xfId="1929" xr:uid="{00000000-0005-0000-0000-0000E6090000}"/>
    <cellStyle name="Separador de milhares 8 2 2 2" xfId="2218" xr:uid="{00000000-0005-0000-0000-0000E7090000}"/>
    <cellStyle name="Separador de milhares 8 3" xfId="1930" xr:uid="{00000000-0005-0000-0000-0000E8090000}"/>
    <cellStyle name="Separador de milhares 8 3 2" xfId="2219" xr:uid="{00000000-0005-0000-0000-0000E9090000}"/>
    <cellStyle name="Separador de milhares 80" xfId="1467" xr:uid="{00000000-0005-0000-0000-0000EA090000}"/>
    <cellStyle name="Separador de milhares 80 2" xfId="1931" xr:uid="{00000000-0005-0000-0000-0000EB090000}"/>
    <cellStyle name="Separador de milhares 80 2 2" xfId="2220" xr:uid="{00000000-0005-0000-0000-0000EC090000}"/>
    <cellStyle name="Separador de milhares 81" xfId="1468" xr:uid="{00000000-0005-0000-0000-0000ED090000}"/>
    <cellStyle name="Separador de milhares 81 2" xfId="1932" xr:uid="{00000000-0005-0000-0000-0000EE090000}"/>
    <cellStyle name="Separador de milhares 81 2 2" xfId="2221" xr:uid="{00000000-0005-0000-0000-0000EF090000}"/>
    <cellStyle name="Separador de milhares 82" xfId="1469" xr:uid="{00000000-0005-0000-0000-0000F0090000}"/>
    <cellStyle name="Separador de milhares 82 2" xfId="1933" xr:uid="{00000000-0005-0000-0000-0000F1090000}"/>
    <cellStyle name="Separador de milhares 82 2 2" xfId="2222" xr:uid="{00000000-0005-0000-0000-0000F2090000}"/>
    <cellStyle name="Separador de milhares 83" xfId="1470" xr:uid="{00000000-0005-0000-0000-0000F3090000}"/>
    <cellStyle name="Separador de milhares 83 2" xfId="1934" xr:uid="{00000000-0005-0000-0000-0000F4090000}"/>
    <cellStyle name="Separador de milhares 83 2 2" xfId="2223" xr:uid="{00000000-0005-0000-0000-0000F5090000}"/>
    <cellStyle name="Separador de milhares 84" xfId="1471" xr:uid="{00000000-0005-0000-0000-0000F6090000}"/>
    <cellStyle name="Separador de milhares 84 2" xfId="1935" xr:uid="{00000000-0005-0000-0000-0000F7090000}"/>
    <cellStyle name="Separador de milhares 84 2 2" xfId="2224" xr:uid="{00000000-0005-0000-0000-0000F8090000}"/>
    <cellStyle name="Separador de milhares 85" xfId="1472" xr:uid="{00000000-0005-0000-0000-0000F9090000}"/>
    <cellStyle name="Separador de milhares 85 2" xfId="1936" xr:uid="{00000000-0005-0000-0000-0000FA090000}"/>
    <cellStyle name="Separador de milhares 85 2 2" xfId="2225" xr:uid="{00000000-0005-0000-0000-0000FB090000}"/>
    <cellStyle name="Separador de milhares 86" xfId="1473" xr:uid="{00000000-0005-0000-0000-0000FC090000}"/>
    <cellStyle name="Separador de milhares 86 2" xfId="1937" xr:uid="{00000000-0005-0000-0000-0000FD090000}"/>
    <cellStyle name="Separador de milhares 86 2 2" xfId="2226" xr:uid="{00000000-0005-0000-0000-0000FE090000}"/>
    <cellStyle name="Separador de milhares 87" xfId="1474" xr:uid="{00000000-0005-0000-0000-0000FF090000}"/>
    <cellStyle name="Separador de milhares 87 2" xfId="1938" xr:uid="{00000000-0005-0000-0000-0000000A0000}"/>
    <cellStyle name="Separador de milhares 87 2 2" xfId="2227" xr:uid="{00000000-0005-0000-0000-0000010A0000}"/>
    <cellStyle name="Separador de milhares 88" xfId="1475" xr:uid="{00000000-0005-0000-0000-0000020A0000}"/>
    <cellStyle name="Separador de milhares 88 2" xfId="1939" xr:uid="{00000000-0005-0000-0000-0000030A0000}"/>
    <cellStyle name="Separador de milhares 88 2 2" xfId="2228" xr:uid="{00000000-0005-0000-0000-0000040A0000}"/>
    <cellStyle name="Separador de milhares 89" xfId="1476" xr:uid="{00000000-0005-0000-0000-0000050A0000}"/>
    <cellStyle name="Separador de milhares 89 2" xfId="1940" xr:uid="{00000000-0005-0000-0000-0000060A0000}"/>
    <cellStyle name="Separador de milhares 89 2 2" xfId="2229" xr:uid="{00000000-0005-0000-0000-0000070A0000}"/>
    <cellStyle name="Separador de milhares 9" xfId="1477" xr:uid="{00000000-0005-0000-0000-0000080A0000}"/>
    <cellStyle name="Separador de milhares 9 2" xfId="1478" xr:uid="{00000000-0005-0000-0000-0000090A0000}"/>
    <cellStyle name="Separador de milhares 9 2 2" xfId="1941" xr:uid="{00000000-0005-0000-0000-00000A0A0000}"/>
    <cellStyle name="Separador de milhares 9 2 2 2" xfId="2230" xr:uid="{00000000-0005-0000-0000-00000B0A0000}"/>
    <cellStyle name="Separador de milhares 9 3" xfId="1942" xr:uid="{00000000-0005-0000-0000-00000C0A0000}"/>
    <cellStyle name="Separador de milhares 9 3 2" xfId="2231" xr:uid="{00000000-0005-0000-0000-00000D0A0000}"/>
    <cellStyle name="Separador de milhares 90" xfId="1479" xr:uid="{00000000-0005-0000-0000-00000E0A0000}"/>
    <cellStyle name="Separador de milhares 90 2" xfId="1943" xr:uid="{00000000-0005-0000-0000-00000F0A0000}"/>
    <cellStyle name="Separador de milhares 90 2 2" xfId="2232" xr:uid="{00000000-0005-0000-0000-0000100A0000}"/>
    <cellStyle name="Separador de milhares 91" xfId="1480" xr:uid="{00000000-0005-0000-0000-0000110A0000}"/>
    <cellStyle name="Separador de milhares 91 2" xfId="1944" xr:uid="{00000000-0005-0000-0000-0000120A0000}"/>
    <cellStyle name="Separador de milhares 91 2 2" xfId="2233" xr:uid="{00000000-0005-0000-0000-0000130A0000}"/>
    <cellStyle name="Separador de milhares 92" xfId="1481" xr:uid="{00000000-0005-0000-0000-0000140A0000}"/>
    <cellStyle name="Separador de milhares 92 2" xfId="1945" xr:uid="{00000000-0005-0000-0000-0000150A0000}"/>
    <cellStyle name="Separador de milhares 92 2 2" xfId="2234" xr:uid="{00000000-0005-0000-0000-0000160A0000}"/>
    <cellStyle name="Separador de milhares 93" xfId="1482" xr:uid="{00000000-0005-0000-0000-0000170A0000}"/>
    <cellStyle name="Separador de milhares 93 2" xfId="1946" xr:uid="{00000000-0005-0000-0000-0000180A0000}"/>
    <cellStyle name="Separador de milhares 93 2 2" xfId="2235" xr:uid="{00000000-0005-0000-0000-0000190A0000}"/>
    <cellStyle name="Separador de milhares 94" xfId="1483" xr:uid="{00000000-0005-0000-0000-00001A0A0000}"/>
    <cellStyle name="Separador de milhares 94 2" xfId="1947" xr:uid="{00000000-0005-0000-0000-00001B0A0000}"/>
    <cellStyle name="Separador de milhares 94 2 2" xfId="2236" xr:uid="{00000000-0005-0000-0000-00001C0A0000}"/>
    <cellStyle name="Separador de milhares 95" xfId="1484" xr:uid="{00000000-0005-0000-0000-00001D0A0000}"/>
    <cellStyle name="Separador de milhares 95 2" xfId="1948" xr:uid="{00000000-0005-0000-0000-00001E0A0000}"/>
    <cellStyle name="Separador de milhares 95 2 2" xfId="2237" xr:uid="{00000000-0005-0000-0000-00001F0A0000}"/>
    <cellStyle name="Separador de milhares 96" xfId="1485" xr:uid="{00000000-0005-0000-0000-0000200A0000}"/>
    <cellStyle name="Separador de milhares 96 2" xfId="1949" xr:uid="{00000000-0005-0000-0000-0000210A0000}"/>
    <cellStyle name="Separador de milhares 96 2 2" xfId="2238" xr:uid="{00000000-0005-0000-0000-0000220A0000}"/>
    <cellStyle name="Separador de milhares 97" xfId="1486" xr:uid="{00000000-0005-0000-0000-0000230A0000}"/>
    <cellStyle name="Separador de milhares 97 2" xfId="1950" xr:uid="{00000000-0005-0000-0000-0000240A0000}"/>
    <cellStyle name="Separador de milhares 97 2 2" xfId="2239" xr:uid="{00000000-0005-0000-0000-0000250A0000}"/>
    <cellStyle name="Separador de milhares 98" xfId="1487" xr:uid="{00000000-0005-0000-0000-0000260A0000}"/>
    <cellStyle name="Separador de milhares 98 2" xfId="1951" xr:uid="{00000000-0005-0000-0000-0000270A0000}"/>
    <cellStyle name="Separador de milhares 98 2 2" xfId="2240" xr:uid="{00000000-0005-0000-0000-0000280A0000}"/>
    <cellStyle name="Separador de milhares 99" xfId="1488" xr:uid="{00000000-0005-0000-0000-0000290A0000}"/>
    <cellStyle name="Separador de milhares 99 2" xfId="1952" xr:uid="{00000000-0005-0000-0000-00002A0A0000}"/>
    <cellStyle name="Separador de milhares 99 2 2" xfId="2241" xr:uid="{00000000-0005-0000-0000-00002B0A0000}"/>
    <cellStyle name="Sheet Title" xfId="2843" xr:uid="{00000000-0005-0000-0000-00002C0A0000}"/>
    <cellStyle name="Texto de Aviso" xfId="34" builtinId="11" customBuiltin="1"/>
    <cellStyle name="Texto de Aviso 10 2" xfId="1489" xr:uid="{00000000-0005-0000-0000-00002E0A0000}"/>
    <cellStyle name="Texto de Aviso 11 2" xfId="1490" xr:uid="{00000000-0005-0000-0000-00002F0A0000}"/>
    <cellStyle name="Texto de Aviso 12 2" xfId="1491" xr:uid="{00000000-0005-0000-0000-0000300A0000}"/>
    <cellStyle name="Texto de Aviso 13 2" xfId="1492" xr:uid="{00000000-0005-0000-0000-0000310A0000}"/>
    <cellStyle name="Texto de Aviso 14 2" xfId="1493" xr:uid="{00000000-0005-0000-0000-0000320A0000}"/>
    <cellStyle name="Texto de Aviso 15 2" xfId="1494" xr:uid="{00000000-0005-0000-0000-0000330A0000}"/>
    <cellStyle name="Texto de Aviso 16 2" xfId="1495" xr:uid="{00000000-0005-0000-0000-0000340A0000}"/>
    <cellStyle name="Texto de Aviso 17 2" xfId="1496" xr:uid="{00000000-0005-0000-0000-0000350A0000}"/>
    <cellStyle name="Texto de Aviso 2" xfId="1497" xr:uid="{00000000-0005-0000-0000-0000360A0000}"/>
    <cellStyle name="Texto de Aviso 2 2" xfId="1498" xr:uid="{00000000-0005-0000-0000-0000370A0000}"/>
    <cellStyle name="Texto de Aviso 3" xfId="1499" xr:uid="{00000000-0005-0000-0000-0000380A0000}"/>
    <cellStyle name="Texto de Aviso 3 2" xfId="1500" xr:uid="{00000000-0005-0000-0000-0000390A0000}"/>
    <cellStyle name="Texto de Aviso 4" xfId="1501" xr:uid="{00000000-0005-0000-0000-00003A0A0000}"/>
    <cellStyle name="Texto de Aviso 4 2" xfId="1502" xr:uid="{00000000-0005-0000-0000-00003B0A0000}"/>
    <cellStyle name="Texto de Aviso 5" xfId="1503" xr:uid="{00000000-0005-0000-0000-00003C0A0000}"/>
    <cellStyle name="Texto de Aviso 5 2" xfId="1504" xr:uid="{00000000-0005-0000-0000-00003D0A0000}"/>
    <cellStyle name="Texto de Aviso 6 2" xfId="1505" xr:uid="{00000000-0005-0000-0000-00003E0A0000}"/>
    <cellStyle name="Texto de Aviso 7 2" xfId="1506" xr:uid="{00000000-0005-0000-0000-00003F0A0000}"/>
    <cellStyle name="Texto de Aviso 8 2" xfId="1507" xr:uid="{00000000-0005-0000-0000-0000400A0000}"/>
    <cellStyle name="Texto de Aviso 9 2" xfId="1508" xr:uid="{00000000-0005-0000-0000-0000410A0000}"/>
    <cellStyle name="Texto Explicativo" xfId="35" builtinId="53" customBuiltin="1"/>
    <cellStyle name="Texto Explicativo 10 2" xfId="1509" xr:uid="{00000000-0005-0000-0000-0000430A0000}"/>
    <cellStyle name="Texto Explicativo 11 2" xfId="1510" xr:uid="{00000000-0005-0000-0000-0000440A0000}"/>
    <cellStyle name="Texto Explicativo 12 2" xfId="1511" xr:uid="{00000000-0005-0000-0000-0000450A0000}"/>
    <cellStyle name="Texto Explicativo 13 2" xfId="1512" xr:uid="{00000000-0005-0000-0000-0000460A0000}"/>
    <cellStyle name="Texto Explicativo 14 2" xfId="1513" xr:uid="{00000000-0005-0000-0000-0000470A0000}"/>
    <cellStyle name="Texto Explicativo 15 2" xfId="1514" xr:uid="{00000000-0005-0000-0000-0000480A0000}"/>
    <cellStyle name="Texto Explicativo 16 2" xfId="1515" xr:uid="{00000000-0005-0000-0000-0000490A0000}"/>
    <cellStyle name="Texto Explicativo 17 2" xfId="1516" xr:uid="{00000000-0005-0000-0000-00004A0A0000}"/>
    <cellStyle name="Texto Explicativo 2" xfId="1517" xr:uid="{00000000-0005-0000-0000-00004B0A0000}"/>
    <cellStyle name="Texto Explicativo 2 2" xfId="1518" xr:uid="{00000000-0005-0000-0000-00004C0A0000}"/>
    <cellStyle name="Texto Explicativo 3" xfId="1519" xr:uid="{00000000-0005-0000-0000-00004D0A0000}"/>
    <cellStyle name="Texto Explicativo 3 2" xfId="1520" xr:uid="{00000000-0005-0000-0000-00004E0A0000}"/>
    <cellStyle name="Texto Explicativo 4" xfId="1521" xr:uid="{00000000-0005-0000-0000-00004F0A0000}"/>
    <cellStyle name="Texto Explicativo 4 2" xfId="1522" xr:uid="{00000000-0005-0000-0000-0000500A0000}"/>
    <cellStyle name="Texto Explicativo 5" xfId="1523" xr:uid="{00000000-0005-0000-0000-0000510A0000}"/>
    <cellStyle name="Texto Explicativo 5 2" xfId="1524" xr:uid="{00000000-0005-0000-0000-0000520A0000}"/>
    <cellStyle name="Texto Explicativo 6 2" xfId="1525" xr:uid="{00000000-0005-0000-0000-0000530A0000}"/>
    <cellStyle name="Texto Explicativo 7 2" xfId="1526" xr:uid="{00000000-0005-0000-0000-0000540A0000}"/>
    <cellStyle name="Texto Explicativo 8 2" xfId="1527" xr:uid="{00000000-0005-0000-0000-0000550A0000}"/>
    <cellStyle name="Texto Explicativo 9 2" xfId="1528" xr:uid="{00000000-0005-0000-0000-0000560A0000}"/>
    <cellStyle name="Title" xfId="2844" xr:uid="{00000000-0005-0000-0000-0000570A0000}"/>
    <cellStyle name="Título" xfId="36" builtinId="15" customBuiltin="1"/>
    <cellStyle name="Título 1" xfId="37" builtinId="16" customBuiltin="1"/>
    <cellStyle name="Título 1 1" xfId="2845" xr:uid="{00000000-0005-0000-0000-00005A0A0000}"/>
    <cellStyle name="Título 1 1 1" xfId="2846" xr:uid="{00000000-0005-0000-0000-00005B0A0000}"/>
    <cellStyle name="Título 1 1 1 1" xfId="2847" xr:uid="{00000000-0005-0000-0000-00005C0A0000}"/>
    <cellStyle name="Título 1 1 1 1 1" xfId="2848" xr:uid="{00000000-0005-0000-0000-00005D0A0000}"/>
    <cellStyle name="Título 1 1 1 1 1 1" xfId="2849" xr:uid="{00000000-0005-0000-0000-00005E0A0000}"/>
    <cellStyle name="Título 1 1 1 1 1 1 1" xfId="2850" xr:uid="{00000000-0005-0000-0000-00005F0A0000}"/>
    <cellStyle name="Título 1 1 1 1 1 1 1 1" xfId="2851" xr:uid="{00000000-0005-0000-0000-0000600A0000}"/>
    <cellStyle name="Título 1 1 1 1 1 1 1 1 1" xfId="2852" xr:uid="{00000000-0005-0000-0000-0000610A0000}"/>
    <cellStyle name="Título 1 1 1 1 1 1 1 1 1 1" xfId="2853" xr:uid="{00000000-0005-0000-0000-0000620A0000}"/>
    <cellStyle name="Título 1 1 1 1 1 1 1 1 1 1 1" xfId="2854" xr:uid="{00000000-0005-0000-0000-0000630A0000}"/>
    <cellStyle name="Título 1 1 1 1 1 1 1 1 1 1 1 1" xfId="2855" xr:uid="{00000000-0005-0000-0000-0000640A0000}"/>
    <cellStyle name="Título 1 1 1 1 1 1 1 1 1 1 1 1 1" xfId="2856" xr:uid="{00000000-0005-0000-0000-0000650A0000}"/>
    <cellStyle name="Título 1 1 1 1 1 1 1 1 1 1 1 1 1 1" xfId="2857" xr:uid="{00000000-0005-0000-0000-0000660A0000}"/>
    <cellStyle name="Título 1 1 1 1 1 1 1 1 1 1 1 1 1 1 1" xfId="2858" xr:uid="{00000000-0005-0000-0000-0000670A0000}"/>
    <cellStyle name="Título 1 1 1 1 1 1 1 1 1 1 1 1 1 1 1 1" xfId="2859" xr:uid="{00000000-0005-0000-0000-0000680A0000}"/>
    <cellStyle name="Título 1 1 1 1 1 1 1 1 1 1 1 1 1 1 1 1 1" xfId="2860" xr:uid="{00000000-0005-0000-0000-0000690A0000}"/>
    <cellStyle name="Título 1 1 1 1 1 1 1 1 1 1 1 1 1 1 1 1 1 1" xfId="2861" xr:uid="{00000000-0005-0000-0000-00006A0A0000}"/>
    <cellStyle name="Título 1 1 1 1 1 1 1 1 1 1 1 1 1 1 1 1 1 1 1" xfId="2862" xr:uid="{00000000-0005-0000-0000-00006B0A0000}"/>
    <cellStyle name="Título 1 1 1 1 1 1 1 1 1 1 1 1 1 1 1 1 1 1 1 1" xfId="2863" xr:uid="{00000000-0005-0000-0000-00006C0A0000}"/>
    <cellStyle name="Título 1 1 1 1 1 1 1 1 1 1 1 1 1 1 1 1 1 1 1 1 1" xfId="2864" xr:uid="{00000000-0005-0000-0000-00006D0A0000}"/>
    <cellStyle name="Título 1 1 1 1 1 1 1 1 1 1 1 1 1 1 1 1 1 1 1 1 1 1" xfId="2865" xr:uid="{00000000-0005-0000-0000-00006E0A0000}"/>
    <cellStyle name="Título 1 1 1 1 1 1 1 1 1 1 1 1 1 1 1 1 1 1 1 1 1 1 1" xfId="2866" xr:uid="{00000000-0005-0000-0000-00006F0A0000}"/>
    <cellStyle name="Título 1 1 1 1 1 1 1 1 1 1 1 1 1 1 1 1 1 1 1 1 1 1 1 1" xfId="2867" xr:uid="{00000000-0005-0000-0000-0000700A0000}"/>
    <cellStyle name="Título 1 1 1 1 1 1 1 1 1 1 1 1 1 1 1 1 1 1 1 1 1 1 1 1 1" xfId="2868" xr:uid="{00000000-0005-0000-0000-0000710A0000}"/>
    <cellStyle name="Título 1 1 1 1 1 1 1 1 1 1 1 1 1 1 1 1 1 1 1 1 1 1 1 1 1 1" xfId="2869" xr:uid="{00000000-0005-0000-0000-0000720A0000}"/>
    <cellStyle name="Título 1 1 1 1 1 1 1 1 1 1 1 1 1 1 1 1 1 1 1 1 1 1 1 1 1 1 1" xfId="2870" xr:uid="{00000000-0005-0000-0000-0000730A0000}"/>
    <cellStyle name="Título 1 1 1 1 1 1 1 1 1 1 1 1 1 1 1 1 1 1 1 1 1 1 1 1 1 1 1 1" xfId="2871" xr:uid="{00000000-0005-0000-0000-0000740A0000}"/>
    <cellStyle name="Título 1 1 1 1 1 1 1 1 1 1 1 1 1 1 1 1 1 1 1 1 1 1 1 1 1 1 1 1 1" xfId="2872" xr:uid="{00000000-0005-0000-0000-0000750A0000}"/>
    <cellStyle name="Título 1 10 2" xfId="1529" xr:uid="{00000000-0005-0000-0000-0000760A0000}"/>
    <cellStyle name="Título 1 11 2" xfId="1530" xr:uid="{00000000-0005-0000-0000-0000770A0000}"/>
    <cellStyle name="Título 1 12 2" xfId="1531" xr:uid="{00000000-0005-0000-0000-0000780A0000}"/>
    <cellStyle name="Título 1 13 2" xfId="1532" xr:uid="{00000000-0005-0000-0000-0000790A0000}"/>
    <cellStyle name="Título 1 14 2" xfId="1533" xr:uid="{00000000-0005-0000-0000-00007A0A0000}"/>
    <cellStyle name="Título 1 15 2" xfId="1534" xr:uid="{00000000-0005-0000-0000-00007B0A0000}"/>
    <cellStyle name="Título 1 16 2" xfId="1535" xr:uid="{00000000-0005-0000-0000-00007C0A0000}"/>
    <cellStyle name="Título 1 17 2" xfId="1536" xr:uid="{00000000-0005-0000-0000-00007D0A0000}"/>
    <cellStyle name="Título 1 2" xfId="1537" xr:uid="{00000000-0005-0000-0000-00007E0A0000}"/>
    <cellStyle name="Título 1 2 2" xfId="1538" xr:uid="{00000000-0005-0000-0000-00007F0A0000}"/>
    <cellStyle name="Título 1 3" xfId="1539" xr:uid="{00000000-0005-0000-0000-0000800A0000}"/>
    <cellStyle name="Título 1 3 2" xfId="1540" xr:uid="{00000000-0005-0000-0000-0000810A0000}"/>
    <cellStyle name="Título 1 4" xfId="1541" xr:uid="{00000000-0005-0000-0000-0000820A0000}"/>
    <cellStyle name="Título 1 4 2" xfId="1542" xr:uid="{00000000-0005-0000-0000-0000830A0000}"/>
    <cellStyle name="Título 1 5" xfId="1543" xr:uid="{00000000-0005-0000-0000-0000840A0000}"/>
    <cellStyle name="Título 1 5 2" xfId="1544" xr:uid="{00000000-0005-0000-0000-0000850A0000}"/>
    <cellStyle name="Título 1 6" xfId="2873" xr:uid="{00000000-0005-0000-0000-0000860A0000}"/>
    <cellStyle name="Título 1 6 2" xfId="1545" xr:uid="{00000000-0005-0000-0000-0000870A0000}"/>
    <cellStyle name="Título 1 7 2" xfId="1546" xr:uid="{00000000-0005-0000-0000-0000880A0000}"/>
    <cellStyle name="Título 1 8 2" xfId="1547" xr:uid="{00000000-0005-0000-0000-0000890A0000}"/>
    <cellStyle name="Título 1 9 2" xfId="1548" xr:uid="{00000000-0005-0000-0000-00008A0A0000}"/>
    <cellStyle name="Título 10 2" xfId="1549" xr:uid="{00000000-0005-0000-0000-00008B0A0000}"/>
    <cellStyle name="Título 11 2" xfId="1550" xr:uid="{00000000-0005-0000-0000-00008C0A0000}"/>
    <cellStyle name="Título 12 2" xfId="1551" xr:uid="{00000000-0005-0000-0000-00008D0A0000}"/>
    <cellStyle name="Título 13 2" xfId="1552" xr:uid="{00000000-0005-0000-0000-00008E0A0000}"/>
    <cellStyle name="Título 14 2" xfId="1553" xr:uid="{00000000-0005-0000-0000-00008F0A0000}"/>
    <cellStyle name="Título 15 2" xfId="1554" xr:uid="{00000000-0005-0000-0000-0000900A0000}"/>
    <cellStyle name="Título 16 2" xfId="1555" xr:uid="{00000000-0005-0000-0000-0000910A0000}"/>
    <cellStyle name="Título 17 2" xfId="1556" xr:uid="{00000000-0005-0000-0000-0000920A0000}"/>
    <cellStyle name="Título 18 2" xfId="1557" xr:uid="{00000000-0005-0000-0000-0000930A0000}"/>
    <cellStyle name="Título 19 2" xfId="1558" xr:uid="{00000000-0005-0000-0000-0000940A0000}"/>
    <cellStyle name="Título 2" xfId="38" builtinId="17" customBuiltin="1"/>
    <cellStyle name="Título 2 10 2" xfId="1559" xr:uid="{00000000-0005-0000-0000-0000960A0000}"/>
    <cellStyle name="Título 2 11 2" xfId="1560" xr:uid="{00000000-0005-0000-0000-0000970A0000}"/>
    <cellStyle name="Título 2 12 2" xfId="1561" xr:uid="{00000000-0005-0000-0000-0000980A0000}"/>
    <cellStyle name="Título 2 13 2" xfId="1562" xr:uid="{00000000-0005-0000-0000-0000990A0000}"/>
    <cellStyle name="Título 2 14 2" xfId="1563" xr:uid="{00000000-0005-0000-0000-00009A0A0000}"/>
    <cellStyle name="Título 2 15 2" xfId="1564" xr:uid="{00000000-0005-0000-0000-00009B0A0000}"/>
    <cellStyle name="Título 2 16 2" xfId="1565" xr:uid="{00000000-0005-0000-0000-00009C0A0000}"/>
    <cellStyle name="Título 2 17 2" xfId="1566" xr:uid="{00000000-0005-0000-0000-00009D0A0000}"/>
    <cellStyle name="Título 2 2" xfId="1567" xr:uid="{00000000-0005-0000-0000-00009E0A0000}"/>
    <cellStyle name="Título 2 2 2" xfId="1568" xr:uid="{00000000-0005-0000-0000-00009F0A0000}"/>
    <cellStyle name="Título 2 3" xfId="1569" xr:uid="{00000000-0005-0000-0000-0000A00A0000}"/>
    <cellStyle name="Título 2 3 2" xfId="1570" xr:uid="{00000000-0005-0000-0000-0000A10A0000}"/>
    <cellStyle name="Título 2 4" xfId="1571" xr:uid="{00000000-0005-0000-0000-0000A20A0000}"/>
    <cellStyle name="Título 2 4 2" xfId="1572" xr:uid="{00000000-0005-0000-0000-0000A30A0000}"/>
    <cellStyle name="Título 2 5" xfId="1573" xr:uid="{00000000-0005-0000-0000-0000A40A0000}"/>
    <cellStyle name="Título 2 5 2" xfId="1574" xr:uid="{00000000-0005-0000-0000-0000A50A0000}"/>
    <cellStyle name="Título 2 6" xfId="2874" xr:uid="{00000000-0005-0000-0000-0000A60A0000}"/>
    <cellStyle name="Título 2 6 2" xfId="1575" xr:uid="{00000000-0005-0000-0000-0000A70A0000}"/>
    <cellStyle name="Título 2 7 2" xfId="1576" xr:uid="{00000000-0005-0000-0000-0000A80A0000}"/>
    <cellStyle name="Título 2 8 2" xfId="1577" xr:uid="{00000000-0005-0000-0000-0000A90A0000}"/>
    <cellStyle name="Título 2 9 2" xfId="1578" xr:uid="{00000000-0005-0000-0000-0000AA0A0000}"/>
    <cellStyle name="Título 20 2" xfId="1579" xr:uid="{00000000-0005-0000-0000-0000AB0A0000}"/>
    <cellStyle name="Título 3" xfId="39" builtinId="18" customBuiltin="1"/>
    <cellStyle name="Título 3 10 2" xfId="1580" xr:uid="{00000000-0005-0000-0000-0000AD0A0000}"/>
    <cellStyle name="Título 3 11 2" xfId="1581" xr:uid="{00000000-0005-0000-0000-0000AE0A0000}"/>
    <cellStyle name="Título 3 12 2" xfId="1582" xr:uid="{00000000-0005-0000-0000-0000AF0A0000}"/>
    <cellStyle name="Título 3 13 2" xfId="1583" xr:uid="{00000000-0005-0000-0000-0000B00A0000}"/>
    <cellStyle name="Título 3 14 2" xfId="1584" xr:uid="{00000000-0005-0000-0000-0000B10A0000}"/>
    <cellStyle name="Título 3 15 2" xfId="1585" xr:uid="{00000000-0005-0000-0000-0000B20A0000}"/>
    <cellStyle name="Título 3 16 2" xfId="1586" xr:uid="{00000000-0005-0000-0000-0000B30A0000}"/>
    <cellStyle name="Título 3 17 2" xfId="1587" xr:uid="{00000000-0005-0000-0000-0000B40A0000}"/>
    <cellStyle name="Título 3 2" xfId="1588" xr:uid="{00000000-0005-0000-0000-0000B50A0000}"/>
    <cellStyle name="Título 3 2 2" xfId="1589" xr:uid="{00000000-0005-0000-0000-0000B60A0000}"/>
    <cellStyle name="Título 3 3" xfId="1590" xr:uid="{00000000-0005-0000-0000-0000B70A0000}"/>
    <cellStyle name="Título 3 3 2" xfId="1591" xr:uid="{00000000-0005-0000-0000-0000B80A0000}"/>
    <cellStyle name="Título 3 4" xfId="1592" xr:uid="{00000000-0005-0000-0000-0000B90A0000}"/>
    <cellStyle name="Título 3 4 2" xfId="1593" xr:uid="{00000000-0005-0000-0000-0000BA0A0000}"/>
    <cellStyle name="Título 3 5" xfId="1594" xr:uid="{00000000-0005-0000-0000-0000BB0A0000}"/>
    <cellStyle name="Título 3 5 2" xfId="1595" xr:uid="{00000000-0005-0000-0000-0000BC0A0000}"/>
    <cellStyle name="Título 3 6" xfId="2875" xr:uid="{00000000-0005-0000-0000-0000BD0A0000}"/>
    <cellStyle name="Título 3 6 2" xfId="1596" xr:uid="{00000000-0005-0000-0000-0000BE0A0000}"/>
    <cellStyle name="Título 3 7 2" xfId="1597" xr:uid="{00000000-0005-0000-0000-0000BF0A0000}"/>
    <cellStyle name="Título 3 8 2" xfId="1598" xr:uid="{00000000-0005-0000-0000-0000C00A0000}"/>
    <cellStyle name="Título 3 9 2" xfId="1599" xr:uid="{00000000-0005-0000-0000-0000C10A0000}"/>
    <cellStyle name="Título 4" xfId="40" builtinId="19" customBuiltin="1"/>
    <cellStyle name="Título 4 10 2" xfId="1600" xr:uid="{00000000-0005-0000-0000-0000C30A0000}"/>
    <cellStyle name="Título 4 11 2" xfId="1601" xr:uid="{00000000-0005-0000-0000-0000C40A0000}"/>
    <cellStyle name="Título 4 12 2" xfId="1602" xr:uid="{00000000-0005-0000-0000-0000C50A0000}"/>
    <cellStyle name="Título 4 13 2" xfId="1603" xr:uid="{00000000-0005-0000-0000-0000C60A0000}"/>
    <cellStyle name="Título 4 14 2" xfId="1604" xr:uid="{00000000-0005-0000-0000-0000C70A0000}"/>
    <cellStyle name="Título 4 15 2" xfId="1605" xr:uid="{00000000-0005-0000-0000-0000C80A0000}"/>
    <cellStyle name="Título 4 16 2" xfId="1606" xr:uid="{00000000-0005-0000-0000-0000C90A0000}"/>
    <cellStyle name="Título 4 17 2" xfId="1607" xr:uid="{00000000-0005-0000-0000-0000CA0A0000}"/>
    <cellStyle name="Título 4 2" xfId="1608" xr:uid="{00000000-0005-0000-0000-0000CB0A0000}"/>
    <cellStyle name="Título 4 2 2" xfId="1609" xr:uid="{00000000-0005-0000-0000-0000CC0A0000}"/>
    <cellStyle name="Título 4 3" xfId="1610" xr:uid="{00000000-0005-0000-0000-0000CD0A0000}"/>
    <cellStyle name="Título 4 3 2" xfId="1611" xr:uid="{00000000-0005-0000-0000-0000CE0A0000}"/>
    <cellStyle name="Título 4 4" xfId="1612" xr:uid="{00000000-0005-0000-0000-0000CF0A0000}"/>
    <cellStyle name="Título 4 4 2" xfId="1613" xr:uid="{00000000-0005-0000-0000-0000D00A0000}"/>
    <cellStyle name="Título 4 5" xfId="1614" xr:uid="{00000000-0005-0000-0000-0000D10A0000}"/>
    <cellStyle name="Título 4 5 2" xfId="1615" xr:uid="{00000000-0005-0000-0000-0000D20A0000}"/>
    <cellStyle name="Título 4 6" xfId="2876" xr:uid="{00000000-0005-0000-0000-0000D30A0000}"/>
    <cellStyle name="Título 4 6 2" xfId="1616" xr:uid="{00000000-0005-0000-0000-0000D40A0000}"/>
    <cellStyle name="Título 4 7 2" xfId="1617" xr:uid="{00000000-0005-0000-0000-0000D50A0000}"/>
    <cellStyle name="Título 4 8 2" xfId="1618" xr:uid="{00000000-0005-0000-0000-0000D60A0000}"/>
    <cellStyle name="Título 4 9 2" xfId="1619" xr:uid="{00000000-0005-0000-0000-0000D70A0000}"/>
    <cellStyle name="Título 5" xfId="2877" xr:uid="{00000000-0005-0000-0000-0000D80A0000}"/>
    <cellStyle name="Título 5 2" xfId="1620" xr:uid="{00000000-0005-0000-0000-0000D90A0000}"/>
    <cellStyle name="Título 6" xfId="2878" xr:uid="{00000000-0005-0000-0000-0000DA0A0000}"/>
    <cellStyle name="Título 6 2" xfId="1621" xr:uid="{00000000-0005-0000-0000-0000DB0A0000}"/>
    <cellStyle name="Título 7 2" xfId="1622" xr:uid="{00000000-0005-0000-0000-0000DC0A0000}"/>
    <cellStyle name="Título 8 2" xfId="1623" xr:uid="{00000000-0005-0000-0000-0000DD0A0000}"/>
    <cellStyle name="Título 9 2" xfId="1624" xr:uid="{00000000-0005-0000-0000-0000DE0A0000}"/>
    <cellStyle name="Total" xfId="41" builtinId="25" customBuiltin="1"/>
    <cellStyle name="Total 10" xfId="2879" xr:uid="{00000000-0005-0000-0000-0000E00A0000}"/>
    <cellStyle name="Total 10 2" xfId="1625" xr:uid="{00000000-0005-0000-0000-0000E10A0000}"/>
    <cellStyle name="Total 11" xfId="2880" xr:uid="{00000000-0005-0000-0000-0000E20A0000}"/>
    <cellStyle name="Total 11 2" xfId="1626" xr:uid="{00000000-0005-0000-0000-0000E30A0000}"/>
    <cellStyle name="Total 12" xfId="2881" xr:uid="{00000000-0005-0000-0000-0000E40A0000}"/>
    <cellStyle name="Total 12 2" xfId="1627" xr:uid="{00000000-0005-0000-0000-0000E50A0000}"/>
    <cellStyle name="Total 13" xfId="2882" xr:uid="{00000000-0005-0000-0000-0000E60A0000}"/>
    <cellStyle name="Total 13 2" xfId="1628" xr:uid="{00000000-0005-0000-0000-0000E70A0000}"/>
    <cellStyle name="Total 14" xfId="2883" xr:uid="{00000000-0005-0000-0000-0000E80A0000}"/>
    <cellStyle name="Total 14 2" xfId="1629" xr:uid="{00000000-0005-0000-0000-0000E90A0000}"/>
    <cellStyle name="Total 15" xfId="2884" xr:uid="{00000000-0005-0000-0000-0000EA0A0000}"/>
    <cellStyle name="Total 15 2" xfId="1630" xr:uid="{00000000-0005-0000-0000-0000EB0A0000}"/>
    <cellStyle name="Total 16" xfId="2885" xr:uid="{00000000-0005-0000-0000-0000EC0A0000}"/>
    <cellStyle name="Total 16 2" xfId="1631" xr:uid="{00000000-0005-0000-0000-0000ED0A0000}"/>
    <cellStyle name="Total 17" xfId="2886" xr:uid="{00000000-0005-0000-0000-0000EE0A0000}"/>
    <cellStyle name="Total 17 2" xfId="1632" xr:uid="{00000000-0005-0000-0000-0000EF0A0000}"/>
    <cellStyle name="Total 18" xfId="2887" xr:uid="{00000000-0005-0000-0000-0000F00A0000}"/>
    <cellStyle name="Total 18 2" xfId="2888" xr:uid="{00000000-0005-0000-0000-0000F10A0000}"/>
    <cellStyle name="Total 19" xfId="2889" xr:uid="{00000000-0005-0000-0000-0000F20A0000}"/>
    <cellStyle name="Total 19 2" xfId="2890" xr:uid="{00000000-0005-0000-0000-0000F30A0000}"/>
    <cellStyle name="Total 2" xfId="1633" xr:uid="{00000000-0005-0000-0000-0000F40A0000}"/>
    <cellStyle name="Total 2 10" xfId="1634" xr:uid="{00000000-0005-0000-0000-0000F50A0000}"/>
    <cellStyle name="Total 2 11" xfId="1635" xr:uid="{00000000-0005-0000-0000-0000F60A0000}"/>
    <cellStyle name="Total 2 12" xfId="1636" xr:uid="{00000000-0005-0000-0000-0000F70A0000}"/>
    <cellStyle name="Total 2 13" xfId="1637" xr:uid="{00000000-0005-0000-0000-0000F80A0000}"/>
    <cellStyle name="Total 2 14" xfId="1638" xr:uid="{00000000-0005-0000-0000-0000F90A0000}"/>
    <cellStyle name="Total 2 15" xfId="1639" xr:uid="{00000000-0005-0000-0000-0000FA0A0000}"/>
    <cellStyle name="Total 2 16" xfId="1640" xr:uid="{00000000-0005-0000-0000-0000FB0A0000}"/>
    <cellStyle name="Total 2 17" xfId="1641" xr:uid="{00000000-0005-0000-0000-0000FC0A0000}"/>
    <cellStyle name="Total 2 18" xfId="1642" xr:uid="{00000000-0005-0000-0000-0000FD0A0000}"/>
    <cellStyle name="Total 2 2" xfId="1643" xr:uid="{00000000-0005-0000-0000-0000FE0A0000}"/>
    <cellStyle name="Total 2 2 2" xfId="2891" xr:uid="{00000000-0005-0000-0000-0000FF0A0000}"/>
    <cellStyle name="Total 2 3" xfId="1644" xr:uid="{00000000-0005-0000-0000-0000000B0000}"/>
    <cellStyle name="Total 2 4" xfId="1645" xr:uid="{00000000-0005-0000-0000-0000010B0000}"/>
    <cellStyle name="Total 2 5" xfId="1646" xr:uid="{00000000-0005-0000-0000-0000020B0000}"/>
    <cellStyle name="Total 2 6" xfId="1647" xr:uid="{00000000-0005-0000-0000-0000030B0000}"/>
    <cellStyle name="Total 2 7" xfId="1648" xr:uid="{00000000-0005-0000-0000-0000040B0000}"/>
    <cellStyle name="Total 2 8" xfId="1649" xr:uid="{00000000-0005-0000-0000-0000050B0000}"/>
    <cellStyle name="Total 2 9" xfId="1650" xr:uid="{00000000-0005-0000-0000-0000060B0000}"/>
    <cellStyle name="Total 20" xfId="2892" xr:uid="{00000000-0005-0000-0000-0000070B0000}"/>
    <cellStyle name="Total 20 2" xfId="2893" xr:uid="{00000000-0005-0000-0000-0000080B0000}"/>
    <cellStyle name="Total 21" xfId="2894" xr:uid="{00000000-0005-0000-0000-0000090B0000}"/>
    <cellStyle name="Total 21 2" xfId="2895" xr:uid="{00000000-0005-0000-0000-00000A0B0000}"/>
    <cellStyle name="Total 22" xfId="2896" xr:uid="{00000000-0005-0000-0000-00000B0B0000}"/>
    <cellStyle name="Total 22 2" xfId="2897" xr:uid="{00000000-0005-0000-0000-00000C0B0000}"/>
    <cellStyle name="Total 23" xfId="2898" xr:uid="{00000000-0005-0000-0000-00000D0B0000}"/>
    <cellStyle name="Total 23 2" xfId="2899" xr:uid="{00000000-0005-0000-0000-00000E0B0000}"/>
    <cellStyle name="Total 24" xfId="2900" xr:uid="{00000000-0005-0000-0000-00000F0B0000}"/>
    <cellStyle name="Total 24 2" xfId="2901" xr:uid="{00000000-0005-0000-0000-0000100B0000}"/>
    <cellStyle name="Total 25" xfId="2902" xr:uid="{00000000-0005-0000-0000-0000110B0000}"/>
    <cellStyle name="Total 25 2" xfId="2903" xr:uid="{00000000-0005-0000-0000-0000120B0000}"/>
    <cellStyle name="Total 26" xfId="2904" xr:uid="{00000000-0005-0000-0000-0000130B0000}"/>
    <cellStyle name="Total 26 2" xfId="2905" xr:uid="{00000000-0005-0000-0000-0000140B0000}"/>
    <cellStyle name="Total 27" xfId="2906" xr:uid="{00000000-0005-0000-0000-0000150B0000}"/>
    <cellStyle name="Total 27 2" xfId="2907" xr:uid="{00000000-0005-0000-0000-0000160B0000}"/>
    <cellStyle name="Total 28" xfId="2908" xr:uid="{00000000-0005-0000-0000-0000170B0000}"/>
    <cellStyle name="Total 28 2" xfId="2909" xr:uid="{00000000-0005-0000-0000-0000180B0000}"/>
    <cellStyle name="Total 29" xfId="2910" xr:uid="{00000000-0005-0000-0000-0000190B0000}"/>
    <cellStyle name="Total 29 2" xfId="2911" xr:uid="{00000000-0005-0000-0000-00001A0B0000}"/>
    <cellStyle name="Total 3" xfId="1651" xr:uid="{00000000-0005-0000-0000-00001B0B0000}"/>
    <cellStyle name="Total 3 2" xfId="1652" xr:uid="{00000000-0005-0000-0000-00001C0B0000}"/>
    <cellStyle name="Total 30" xfId="2912" xr:uid="{00000000-0005-0000-0000-00001D0B0000}"/>
    <cellStyle name="Total 30 2" xfId="2913" xr:uid="{00000000-0005-0000-0000-00001E0B0000}"/>
    <cellStyle name="Total 31" xfId="2914" xr:uid="{00000000-0005-0000-0000-00001F0B0000}"/>
    <cellStyle name="Total 31 2" xfId="2915" xr:uid="{00000000-0005-0000-0000-0000200B0000}"/>
    <cellStyle name="Total 32" xfId="2916" xr:uid="{00000000-0005-0000-0000-0000210B0000}"/>
    <cellStyle name="Total 32 2" xfId="2917" xr:uid="{00000000-0005-0000-0000-0000220B0000}"/>
    <cellStyle name="Total 33" xfId="2918" xr:uid="{00000000-0005-0000-0000-0000230B0000}"/>
    <cellStyle name="Total 33 2" xfId="2919" xr:uid="{00000000-0005-0000-0000-0000240B0000}"/>
    <cellStyle name="Total 34" xfId="2920" xr:uid="{00000000-0005-0000-0000-0000250B0000}"/>
    <cellStyle name="Total 34 2" xfId="2921" xr:uid="{00000000-0005-0000-0000-0000260B0000}"/>
    <cellStyle name="Total 35" xfId="2922" xr:uid="{00000000-0005-0000-0000-0000270B0000}"/>
    <cellStyle name="Total 35 2" xfId="2923" xr:uid="{00000000-0005-0000-0000-0000280B0000}"/>
    <cellStyle name="Total 36" xfId="2924" xr:uid="{00000000-0005-0000-0000-0000290B0000}"/>
    <cellStyle name="Total 36 2" xfId="2925" xr:uid="{00000000-0005-0000-0000-00002A0B0000}"/>
    <cellStyle name="Total 37" xfId="2926" xr:uid="{00000000-0005-0000-0000-00002B0B0000}"/>
    <cellStyle name="Total 37 2" xfId="2927" xr:uid="{00000000-0005-0000-0000-00002C0B0000}"/>
    <cellStyle name="Total 38" xfId="2928" xr:uid="{00000000-0005-0000-0000-00002D0B0000}"/>
    <cellStyle name="Total 38 2" xfId="2929" xr:uid="{00000000-0005-0000-0000-00002E0B0000}"/>
    <cellStyle name="Total 39" xfId="2930" xr:uid="{00000000-0005-0000-0000-00002F0B0000}"/>
    <cellStyle name="Total 39 2" xfId="2931" xr:uid="{00000000-0005-0000-0000-0000300B0000}"/>
    <cellStyle name="Total 4" xfId="1653" xr:uid="{00000000-0005-0000-0000-0000310B0000}"/>
    <cellStyle name="Total 4 2" xfId="1654" xr:uid="{00000000-0005-0000-0000-0000320B0000}"/>
    <cellStyle name="Total 40" xfId="2932" xr:uid="{00000000-0005-0000-0000-0000330B0000}"/>
    <cellStyle name="Total 40 2" xfId="2933" xr:uid="{00000000-0005-0000-0000-0000340B0000}"/>
    <cellStyle name="Total 41" xfId="2934" xr:uid="{00000000-0005-0000-0000-0000350B0000}"/>
    <cellStyle name="Total 41 2" xfId="2935" xr:uid="{00000000-0005-0000-0000-0000360B0000}"/>
    <cellStyle name="Total 42" xfId="2936" xr:uid="{00000000-0005-0000-0000-0000370B0000}"/>
    <cellStyle name="Total 42 2" xfId="2937" xr:uid="{00000000-0005-0000-0000-0000380B0000}"/>
    <cellStyle name="Total 43" xfId="2938" xr:uid="{00000000-0005-0000-0000-0000390B0000}"/>
    <cellStyle name="Total 43 2" xfId="2939" xr:uid="{00000000-0005-0000-0000-00003A0B0000}"/>
    <cellStyle name="Total 44" xfId="2940" xr:uid="{00000000-0005-0000-0000-00003B0B0000}"/>
    <cellStyle name="Total 44 2" xfId="2941" xr:uid="{00000000-0005-0000-0000-00003C0B0000}"/>
    <cellStyle name="Total 45" xfId="2942" xr:uid="{00000000-0005-0000-0000-00003D0B0000}"/>
    <cellStyle name="Total 45 2" xfId="2943" xr:uid="{00000000-0005-0000-0000-00003E0B0000}"/>
    <cellStyle name="Total 46" xfId="2944" xr:uid="{00000000-0005-0000-0000-00003F0B0000}"/>
    <cellStyle name="Total 47" xfId="2945" xr:uid="{00000000-0005-0000-0000-0000400B0000}"/>
    <cellStyle name="Total 48" xfId="2946" xr:uid="{00000000-0005-0000-0000-0000410B0000}"/>
    <cellStyle name="Total 49" xfId="2947" xr:uid="{00000000-0005-0000-0000-0000420B0000}"/>
    <cellStyle name="Total 5" xfId="1655" xr:uid="{00000000-0005-0000-0000-0000430B0000}"/>
    <cellStyle name="Total 5 2" xfId="1656" xr:uid="{00000000-0005-0000-0000-0000440B0000}"/>
    <cellStyle name="Total 6" xfId="2948" xr:uid="{00000000-0005-0000-0000-0000450B0000}"/>
    <cellStyle name="Total 6 2" xfId="1657" xr:uid="{00000000-0005-0000-0000-0000460B0000}"/>
    <cellStyle name="Total 7" xfId="2949" xr:uid="{00000000-0005-0000-0000-0000470B0000}"/>
    <cellStyle name="Total 7 2" xfId="1658" xr:uid="{00000000-0005-0000-0000-0000480B0000}"/>
    <cellStyle name="Total 8" xfId="2950" xr:uid="{00000000-0005-0000-0000-0000490B0000}"/>
    <cellStyle name="Total 8 2" xfId="1659" xr:uid="{00000000-0005-0000-0000-00004A0B0000}"/>
    <cellStyle name="Total 9" xfId="2951" xr:uid="{00000000-0005-0000-0000-00004B0B0000}"/>
    <cellStyle name="Total 9 2" xfId="1660" xr:uid="{00000000-0005-0000-0000-00004C0B0000}"/>
    <cellStyle name="Vírgula" xfId="1961" builtinId="3"/>
    <cellStyle name="Vírgula 2" xfId="1661" xr:uid="{00000000-0005-0000-0000-00004D0B0000}"/>
    <cellStyle name="Vírgula 2 2" xfId="1953" xr:uid="{00000000-0005-0000-0000-00004E0B0000}"/>
    <cellStyle name="Vírgula 2 2 2" xfId="2242" xr:uid="{00000000-0005-0000-0000-00004F0B0000}"/>
    <cellStyle name="Vírgula 2 2 2 2" xfId="2297" xr:uid="{00000000-0005-0000-0000-0000500B0000}"/>
    <cellStyle name="Vírgula 2 2 2 2 2" xfId="2298" xr:uid="{00000000-0005-0000-0000-0000510B0000}"/>
    <cellStyle name="Vírgula 2 2 2 2 2 2" xfId="2299" xr:uid="{00000000-0005-0000-0000-0000520B0000}"/>
    <cellStyle name="Vírgula 2 2 2 2 3" xfId="2300" xr:uid="{00000000-0005-0000-0000-0000530B0000}"/>
    <cellStyle name="Vírgula 2 2 2 3" xfId="2301" xr:uid="{00000000-0005-0000-0000-0000540B0000}"/>
    <cellStyle name="Vírgula 2 2 2 3 2" xfId="2302" xr:uid="{00000000-0005-0000-0000-0000550B0000}"/>
    <cellStyle name="Vírgula 2 2 2 4" xfId="2303" xr:uid="{00000000-0005-0000-0000-0000560B0000}"/>
    <cellStyle name="Vírgula 2 2 3" xfId="2304" xr:uid="{00000000-0005-0000-0000-0000570B0000}"/>
    <cellStyle name="Vírgula 2 2 3 2" xfId="2305" xr:uid="{00000000-0005-0000-0000-0000580B0000}"/>
    <cellStyle name="Vírgula 2 2 3 2 2" xfId="2306" xr:uid="{00000000-0005-0000-0000-0000590B0000}"/>
    <cellStyle name="Vírgula 2 2 3 2 2 2" xfId="2307" xr:uid="{00000000-0005-0000-0000-00005A0B0000}"/>
    <cellStyle name="Vírgula 2 2 3 2 3" xfId="2308" xr:uid="{00000000-0005-0000-0000-00005B0B0000}"/>
    <cellStyle name="Vírgula 2 2 3 3" xfId="2309" xr:uid="{00000000-0005-0000-0000-00005C0B0000}"/>
    <cellStyle name="Vírgula 2 2 3 3 2" xfId="2310" xr:uid="{00000000-0005-0000-0000-00005D0B0000}"/>
    <cellStyle name="Vírgula 2 2 3 4" xfId="2311" xr:uid="{00000000-0005-0000-0000-00005E0B0000}"/>
    <cellStyle name="Vírgula 2 2 4" xfId="2312" xr:uid="{00000000-0005-0000-0000-00005F0B0000}"/>
    <cellStyle name="Vírgula 2 2 4 2" xfId="2313" xr:uid="{00000000-0005-0000-0000-0000600B0000}"/>
    <cellStyle name="Vírgula 2 2 4 2 2" xfId="2314" xr:uid="{00000000-0005-0000-0000-0000610B0000}"/>
    <cellStyle name="Vírgula 2 2 4 3" xfId="2315" xr:uid="{00000000-0005-0000-0000-0000620B0000}"/>
    <cellStyle name="Vírgula 2 2 5" xfId="2316" xr:uid="{00000000-0005-0000-0000-0000630B0000}"/>
    <cellStyle name="Vírgula 2 2 5 2" xfId="2317" xr:uid="{00000000-0005-0000-0000-0000640B0000}"/>
    <cellStyle name="Vírgula 2 2 6" xfId="2318" xr:uid="{00000000-0005-0000-0000-0000650B0000}"/>
    <cellStyle name="Vírgula 2 3" xfId="1954" xr:uid="{00000000-0005-0000-0000-0000660B0000}"/>
    <cellStyle name="Vírgula 2 3 2" xfId="2243" xr:uid="{00000000-0005-0000-0000-0000670B0000}"/>
    <cellStyle name="Vírgula 2 3 2 2" xfId="2319" xr:uid="{00000000-0005-0000-0000-0000680B0000}"/>
    <cellStyle name="Vírgula 2 3 3" xfId="2320" xr:uid="{00000000-0005-0000-0000-0000690B0000}"/>
    <cellStyle name="Vírgula 2 4" xfId="2321" xr:uid="{00000000-0005-0000-0000-00006A0B0000}"/>
    <cellStyle name="Vírgula 2 4 2" xfId="2322" xr:uid="{00000000-0005-0000-0000-00006B0B0000}"/>
    <cellStyle name="Vírgula 2 4 2 2" xfId="2323" xr:uid="{00000000-0005-0000-0000-00006C0B0000}"/>
    <cellStyle name="Vírgula 2 4 2 2 2" xfId="2324" xr:uid="{00000000-0005-0000-0000-00006D0B0000}"/>
    <cellStyle name="Vírgula 2 4 2 2 2 2" xfId="2325" xr:uid="{00000000-0005-0000-0000-00006E0B0000}"/>
    <cellStyle name="Vírgula 2 4 2 2 3" xfId="2326" xr:uid="{00000000-0005-0000-0000-00006F0B0000}"/>
    <cellStyle name="Vírgula 2 4 2 3" xfId="2327" xr:uid="{00000000-0005-0000-0000-0000700B0000}"/>
    <cellStyle name="Vírgula 2 4 2 3 2" xfId="2328" xr:uid="{00000000-0005-0000-0000-0000710B0000}"/>
    <cellStyle name="Vírgula 2 4 2 4" xfId="2329" xr:uid="{00000000-0005-0000-0000-0000720B0000}"/>
    <cellStyle name="Vírgula 2 4 3" xfId="2330" xr:uid="{00000000-0005-0000-0000-0000730B0000}"/>
    <cellStyle name="Vírgula 2 4 3 2" xfId="2331" xr:uid="{00000000-0005-0000-0000-0000740B0000}"/>
    <cellStyle name="Vírgula 2 4 3 2 2" xfId="2332" xr:uid="{00000000-0005-0000-0000-0000750B0000}"/>
    <cellStyle name="Vírgula 2 4 3 3" xfId="2333" xr:uid="{00000000-0005-0000-0000-0000760B0000}"/>
    <cellStyle name="Vírgula 2 4 4" xfId="2334" xr:uid="{00000000-0005-0000-0000-0000770B0000}"/>
    <cellStyle name="Vírgula 2 4 4 2" xfId="2335" xr:uid="{00000000-0005-0000-0000-0000780B0000}"/>
    <cellStyle name="Vírgula 2 4 5" xfId="2336" xr:uid="{00000000-0005-0000-0000-0000790B0000}"/>
    <cellStyle name="Vírgula 2 5" xfId="2337" xr:uid="{00000000-0005-0000-0000-00007A0B0000}"/>
    <cellStyle name="Vírgula 2 6" xfId="2338" xr:uid="{00000000-0005-0000-0000-00007B0B0000}"/>
    <cellStyle name="Vírgula 2 6 2" xfId="2339" xr:uid="{00000000-0005-0000-0000-00007C0B0000}"/>
    <cellStyle name="Vírgula 2 7" xfId="2340" xr:uid="{00000000-0005-0000-0000-00007D0B0000}"/>
    <cellStyle name="Vírgula 3" xfId="1955" xr:uid="{00000000-0005-0000-0000-00007E0B0000}"/>
    <cellStyle name="Vírgula 3 2" xfId="2244" xr:uid="{00000000-0005-0000-0000-00007F0B0000}"/>
    <cellStyle name="Vírgula 3 2 2" xfId="2341" xr:uid="{00000000-0005-0000-0000-0000800B0000}"/>
    <cellStyle name="Vírgula 3 2 2 2" xfId="2342" xr:uid="{00000000-0005-0000-0000-0000810B0000}"/>
    <cellStyle name="Vírgula 3 2 3" xfId="2343" xr:uid="{00000000-0005-0000-0000-0000820B0000}"/>
    <cellStyle name="Vírgula 3 3" xfId="2344" xr:uid="{00000000-0005-0000-0000-0000830B0000}"/>
    <cellStyle name="Vírgula 3 3 2" xfId="2345" xr:uid="{00000000-0005-0000-0000-0000840B0000}"/>
    <cellStyle name="Vírgula 3 4" xfId="2346" xr:uid="{00000000-0005-0000-0000-0000850B0000}"/>
    <cellStyle name="Vírgula 4" xfId="2347" xr:uid="{00000000-0005-0000-0000-0000860B0000}"/>
    <cellStyle name="Vírgula 4 2" xfId="2348" xr:uid="{00000000-0005-0000-0000-0000870B0000}"/>
    <cellStyle name="Vírgula 4 2 2" xfId="2349" xr:uid="{00000000-0005-0000-0000-0000880B0000}"/>
    <cellStyle name="Vírgula 4 3" xfId="2350" xr:uid="{00000000-0005-0000-0000-0000890B0000}"/>
    <cellStyle name="Vírgula 5" xfId="2351" xr:uid="{00000000-0005-0000-0000-00008A0B0000}"/>
    <cellStyle name="Vírgula0" xfId="1662" xr:uid="{00000000-0005-0000-0000-00008B0B0000}"/>
    <cellStyle name="Warning Text" xfId="2952" xr:uid="{00000000-0005-0000-0000-00008C0B0000}"/>
  </cellStyles>
  <dxfs count="0"/>
  <tableStyles count="0" defaultTableStyle="TableStyleMedium9" defaultPivotStyle="PivotStyleLight16"/>
  <colors>
    <mruColors>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4</xdr:col>
      <xdr:colOff>657225</xdr:colOff>
      <xdr:row>4</xdr:row>
      <xdr:rowOff>8284</xdr:rowOff>
    </xdr:from>
    <xdr:to>
      <xdr:col>4</xdr:col>
      <xdr:colOff>2895600</xdr:colOff>
      <xdr:row>6</xdr:row>
      <xdr:rowOff>157371</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520812" y="488675"/>
          <a:ext cx="2238375" cy="455544"/>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71575"/>
          <a:ext cx="542925" cy="5429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675" y="304800"/>
          <a:ext cx="542925" cy="56197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152400</xdr:colOff>
      <xdr:row>1</xdr:row>
      <xdr:rowOff>114300</xdr:rowOff>
    </xdr:from>
    <xdr:to>
      <xdr:col>1</xdr:col>
      <xdr:colOff>0</xdr:colOff>
      <xdr:row>3</xdr:row>
      <xdr:rowOff>200025</xdr:rowOff>
    </xdr:to>
    <xdr:pic>
      <xdr:nvPicPr>
        <xdr:cNvPr id="3" name="Picture 1">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81100"/>
          <a:ext cx="762000" cy="54292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866775</xdr:colOff>
      <xdr:row>1</xdr:row>
      <xdr:rowOff>476249</xdr:rowOff>
    </xdr:from>
    <xdr:to>
      <xdr:col>1</xdr:col>
      <xdr:colOff>895350</xdr:colOff>
      <xdr:row>5</xdr:row>
      <xdr:rowOff>85724</xdr:rowOff>
    </xdr:to>
    <xdr:pic>
      <xdr:nvPicPr>
        <xdr:cNvPr id="3" name="Picture 1">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66775" y="704849"/>
          <a:ext cx="1143000" cy="82867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180975</xdr:colOff>
      <xdr:row>1</xdr:row>
      <xdr:rowOff>66675</xdr:rowOff>
    </xdr:from>
    <xdr:to>
      <xdr:col>0</xdr:col>
      <xdr:colOff>904875</xdr:colOff>
      <xdr:row>3</xdr:row>
      <xdr:rowOff>152400</xdr:rowOff>
    </xdr:to>
    <xdr:pic>
      <xdr:nvPicPr>
        <xdr:cNvPr id="65" name="Picture 1">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0975" y="1133475"/>
          <a:ext cx="701040" cy="5429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1" name="Objeto 1" hidden="1">
              <a:extLst>
                <a:ext uri="{63B3BB69-23CF-44E3-9099-C40C66FF867C}">
                  <a14:compatExt spid="_x0000_s61441"/>
                </a:ext>
                <a:ext uri="{FF2B5EF4-FFF2-40B4-BE49-F238E27FC236}">
                  <a16:creationId xmlns:a16="http://schemas.microsoft.com/office/drawing/2014/main" id="{00000000-0008-0000-0900-00000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2" name="Objeto 2" hidden="1">
              <a:extLst>
                <a:ext uri="{63B3BB69-23CF-44E3-9099-C40C66FF867C}">
                  <a14:compatExt spid="_x0000_s61442"/>
                </a:ext>
                <a:ext uri="{FF2B5EF4-FFF2-40B4-BE49-F238E27FC236}">
                  <a16:creationId xmlns:a16="http://schemas.microsoft.com/office/drawing/2014/main" id="{00000000-0008-0000-0900-00000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3" name="Objeto 3" hidden="1">
              <a:extLst>
                <a:ext uri="{63B3BB69-23CF-44E3-9099-C40C66FF867C}">
                  <a14:compatExt spid="_x0000_s61443"/>
                </a:ext>
                <a:ext uri="{FF2B5EF4-FFF2-40B4-BE49-F238E27FC236}">
                  <a16:creationId xmlns:a16="http://schemas.microsoft.com/office/drawing/2014/main" id="{00000000-0008-0000-0900-00000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4" name="Objeto 4" hidden="1">
              <a:extLst>
                <a:ext uri="{63B3BB69-23CF-44E3-9099-C40C66FF867C}">
                  <a14:compatExt spid="_x0000_s61444"/>
                </a:ext>
                <a:ext uri="{FF2B5EF4-FFF2-40B4-BE49-F238E27FC236}">
                  <a16:creationId xmlns:a16="http://schemas.microsoft.com/office/drawing/2014/main" id="{00000000-0008-0000-0900-00000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5" name="Objeto 5" hidden="1">
              <a:extLst>
                <a:ext uri="{63B3BB69-23CF-44E3-9099-C40C66FF867C}">
                  <a14:compatExt spid="_x0000_s61445"/>
                </a:ext>
                <a:ext uri="{FF2B5EF4-FFF2-40B4-BE49-F238E27FC236}">
                  <a16:creationId xmlns:a16="http://schemas.microsoft.com/office/drawing/2014/main" id="{00000000-0008-0000-0900-00000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6" name="Objeto 6" hidden="1">
              <a:extLst>
                <a:ext uri="{63B3BB69-23CF-44E3-9099-C40C66FF867C}">
                  <a14:compatExt spid="_x0000_s61446"/>
                </a:ext>
                <a:ext uri="{FF2B5EF4-FFF2-40B4-BE49-F238E27FC236}">
                  <a16:creationId xmlns:a16="http://schemas.microsoft.com/office/drawing/2014/main" id="{00000000-0008-0000-0900-00000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7" name="Objeto 7" hidden="1">
              <a:extLst>
                <a:ext uri="{63B3BB69-23CF-44E3-9099-C40C66FF867C}">
                  <a14:compatExt spid="_x0000_s61447"/>
                </a:ext>
                <a:ext uri="{FF2B5EF4-FFF2-40B4-BE49-F238E27FC236}">
                  <a16:creationId xmlns:a16="http://schemas.microsoft.com/office/drawing/2014/main" id="{00000000-0008-0000-0900-00000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48" name="Objeto 8" hidden="1">
              <a:extLst>
                <a:ext uri="{63B3BB69-23CF-44E3-9099-C40C66FF867C}">
                  <a14:compatExt spid="_x0000_s61448"/>
                </a:ext>
                <a:ext uri="{FF2B5EF4-FFF2-40B4-BE49-F238E27FC236}">
                  <a16:creationId xmlns:a16="http://schemas.microsoft.com/office/drawing/2014/main" id="{00000000-0008-0000-0900-00000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49" name="Objeto 9" hidden="1">
              <a:extLst>
                <a:ext uri="{63B3BB69-23CF-44E3-9099-C40C66FF867C}">
                  <a14:compatExt spid="_x0000_s61449"/>
                </a:ext>
                <a:ext uri="{FF2B5EF4-FFF2-40B4-BE49-F238E27FC236}">
                  <a16:creationId xmlns:a16="http://schemas.microsoft.com/office/drawing/2014/main" id="{00000000-0008-0000-0900-00000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0" name="Objeto 10" hidden="1">
              <a:extLst>
                <a:ext uri="{63B3BB69-23CF-44E3-9099-C40C66FF867C}">
                  <a14:compatExt spid="_x0000_s61450"/>
                </a:ext>
                <a:ext uri="{FF2B5EF4-FFF2-40B4-BE49-F238E27FC236}">
                  <a16:creationId xmlns:a16="http://schemas.microsoft.com/office/drawing/2014/main" id="{00000000-0008-0000-0900-00000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1" name="Objeto 11" hidden="1">
              <a:extLst>
                <a:ext uri="{63B3BB69-23CF-44E3-9099-C40C66FF867C}">
                  <a14:compatExt spid="_x0000_s61451"/>
                </a:ext>
                <a:ext uri="{FF2B5EF4-FFF2-40B4-BE49-F238E27FC236}">
                  <a16:creationId xmlns:a16="http://schemas.microsoft.com/office/drawing/2014/main" id="{00000000-0008-0000-0900-00000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2" name="Objeto 12" hidden="1">
              <a:extLst>
                <a:ext uri="{63B3BB69-23CF-44E3-9099-C40C66FF867C}">
                  <a14:compatExt spid="_x0000_s61452"/>
                </a:ext>
                <a:ext uri="{FF2B5EF4-FFF2-40B4-BE49-F238E27FC236}">
                  <a16:creationId xmlns:a16="http://schemas.microsoft.com/office/drawing/2014/main" id="{00000000-0008-0000-0900-00000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3" name="Objeto 13" hidden="1">
              <a:extLst>
                <a:ext uri="{63B3BB69-23CF-44E3-9099-C40C66FF867C}">
                  <a14:compatExt spid="_x0000_s61453"/>
                </a:ext>
                <a:ext uri="{FF2B5EF4-FFF2-40B4-BE49-F238E27FC236}">
                  <a16:creationId xmlns:a16="http://schemas.microsoft.com/office/drawing/2014/main" id="{00000000-0008-0000-0900-00000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4" name="Objeto 14" hidden="1">
              <a:extLst>
                <a:ext uri="{63B3BB69-23CF-44E3-9099-C40C66FF867C}">
                  <a14:compatExt spid="_x0000_s61454"/>
                </a:ext>
                <a:ext uri="{FF2B5EF4-FFF2-40B4-BE49-F238E27FC236}">
                  <a16:creationId xmlns:a16="http://schemas.microsoft.com/office/drawing/2014/main" id="{00000000-0008-0000-0900-00000E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5" name="Objeto 15" hidden="1">
              <a:extLst>
                <a:ext uri="{63B3BB69-23CF-44E3-9099-C40C66FF867C}">
                  <a14:compatExt spid="_x0000_s61455"/>
                </a:ext>
                <a:ext uri="{FF2B5EF4-FFF2-40B4-BE49-F238E27FC236}">
                  <a16:creationId xmlns:a16="http://schemas.microsoft.com/office/drawing/2014/main" id="{00000000-0008-0000-0900-00000F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6" name="Objeto 16" hidden="1">
              <a:extLst>
                <a:ext uri="{63B3BB69-23CF-44E3-9099-C40C66FF867C}">
                  <a14:compatExt spid="_x0000_s61456"/>
                </a:ext>
                <a:ext uri="{FF2B5EF4-FFF2-40B4-BE49-F238E27FC236}">
                  <a16:creationId xmlns:a16="http://schemas.microsoft.com/office/drawing/2014/main" id="{00000000-0008-0000-0900-000010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7" name="Objeto 17" hidden="1">
              <a:extLst>
                <a:ext uri="{63B3BB69-23CF-44E3-9099-C40C66FF867C}">
                  <a14:compatExt spid="_x0000_s61457"/>
                </a:ext>
                <a:ext uri="{FF2B5EF4-FFF2-40B4-BE49-F238E27FC236}">
                  <a16:creationId xmlns:a16="http://schemas.microsoft.com/office/drawing/2014/main" id="{00000000-0008-0000-0900-00001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58" name="Objeto 18" hidden="1">
              <a:extLst>
                <a:ext uri="{63B3BB69-23CF-44E3-9099-C40C66FF867C}">
                  <a14:compatExt spid="_x0000_s61458"/>
                </a:ext>
                <a:ext uri="{FF2B5EF4-FFF2-40B4-BE49-F238E27FC236}">
                  <a16:creationId xmlns:a16="http://schemas.microsoft.com/office/drawing/2014/main" id="{00000000-0008-0000-0900-00001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59" name="Objeto 19" hidden="1">
              <a:extLst>
                <a:ext uri="{63B3BB69-23CF-44E3-9099-C40C66FF867C}">
                  <a14:compatExt spid="_x0000_s61459"/>
                </a:ext>
                <a:ext uri="{FF2B5EF4-FFF2-40B4-BE49-F238E27FC236}">
                  <a16:creationId xmlns:a16="http://schemas.microsoft.com/office/drawing/2014/main" id="{00000000-0008-0000-0900-00001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0" name="Objeto 20" hidden="1">
              <a:extLst>
                <a:ext uri="{63B3BB69-23CF-44E3-9099-C40C66FF867C}">
                  <a14:compatExt spid="_x0000_s61460"/>
                </a:ext>
                <a:ext uri="{FF2B5EF4-FFF2-40B4-BE49-F238E27FC236}">
                  <a16:creationId xmlns:a16="http://schemas.microsoft.com/office/drawing/2014/main" id="{00000000-0008-0000-0900-00001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1" name="Objeto 21" hidden="1">
              <a:extLst>
                <a:ext uri="{63B3BB69-23CF-44E3-9099-C40C66FF867C}">
                  <a14:compatExt spid="_x0000_s61461"/>
                </a:ext>
                <a:ext uri="{FF2B5EF4-FFF2-40B4-BE49-F238E27FC236}">
                  <a16:creationId xmlns:a16="http://schemas.microsoft.com/office/drawing/2014/main" id="{00000000-0008-0000-0900-00001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2" name="Objeto 22" hidden="1">
              <a:extLst>
                <a:ext uri="{63B3BB69-23CF-44E3-9099-C40C66FF867C}">
                  <a14:compatExt spid="_x0000_s61462"/>
                </a:ext>
                <a:ext uri="{FF2B5EF4-FFF2-40B4-BE49-F238E27FC236}">
                  <a16:creationId xmlns:a16="http://schemas.microsoft.com/office/drawing/2014/main" id="{00000000-0008-0000-0900-00001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3" name="Objeto 23" hidden="1">
              <a:extLst>
                <a:ext uri="{63B3BB69-23CF-44E3-9099-C40C66FF867C}">
                  <a14:compatExt spid="_x0000_s61463"/>
                </a:ext>
                <a:ext uri="{FF2B5EF4-FFF2-40B4-BE49-F238E27FC236}">
                  <a16:creationId xmlns:a16="http://schemas.microsoft.com/office/drawing/2014/main" id="{00000000-0008-0000-0900-00001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4" name="Objeto 24" hidden="1">
              <a:extLst>
                <a:ext uri="{63B3BB69-23CF-44E3-9099-C40C66FF867C}">
                  <a14:compatExt spid="_x0000_s61464"/>
                </a:ext>
                <a:ext uri="{FF2B5EF4-FFF2-40B4-BE49-F238E27FC236}">
                  <a16:creationId xmlns:a16="http://schemas.microsoft.com/office/drawing/2014/main" id="{00000000-0008-0000-0900-00001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5" name="Objeto 25" hidden="1">
              <a:extLst>
                <a:ext uri="{63B3BB69-23CF-44E3-9099-C40C66FF867C}">
                  <a14:compatExt spid="_x0000_s61465"/>
                </a:ext>
                <a:ext uri="{FF2B5EF4-FFF2-40B4-BE49-F238E27FC236}">
                  <a16:creationId xmlns:a16="http://schemas.microsoft.com/office/drawing/2014/main" id="{00000000-0008-0000-0900-00001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6" name="Objeto 26" hidden="1">
              <a:extLst>
                <a:ext uri="{63B3BB69-23CF-44E3-9099-C40C66FF867C}">
                  <a14:compatExt spid="_x0000_s61466"/>
                </a:ext>
                <a:ext uri="{FF2B5EF4-FFF2-40B4-BE49-F238E27FC236}">
                  <a16:creationId xmlns:a16="http://schemas.microsoft.com/office/drawing/2014/main" id="{00000000-0008-0000-0900-00001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7" name="Objeto 27" hidden="1">
              <a:extLst>
                <a:ext uri="{63B3BB69-23CF-44E3-9099-C40C66FF867C}">
                  <a14:compatExt spid="_x0000_s61467"/>
                </a:ext>
                <a:ext uri="{FF2B5EF4-FFF2-40B4-BE49-F238E27FC236}">
                  <a16:creationId xmlns:a16="http://schemas.microsoft.com/office/drawing/2014/main" id="{00000000-0008-0000-0900-00001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68" name="Objeto 28" hidden="1">
              <a:extLst>
                <a:ext uri="{63B3BB69-23CF-44E3-9099-C40C66FF867C}">
                  <a14:compatExt spid="_x0000_s61468"/>
                </a:ext>
                <a:ext uri="{FF2B5EF4-FFF2-40B4-BE49-F238E27FC236}">
                  <a16:creationId xmlns:a16="http://schemas.microsoft.com/office/drawing/2014/main" id="{00000000-0008-0000-0900-00001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69" name="Objeto 29" hidden="1">
              <a:extLst>
                <a:ext uri="{63B3BB69-23CF-44E3-9099-C40C66FF867C}">
                  <a14:compatExt spid="_x0000_s61469"/>
                </a:ext>
                <a:ext uri="{FF2B5EF4-FFF2-40B4-BE49-F238E27FC236}">
                  <a16:creationId xmlns:a16="http://schemas.microsoft.com/office/drawing/2014/main" id="{00000000-0008-0000-0900-00001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0" name="Objeto 30" hidden="1">
              <a:extLst>
                <a:ext uri="{63B3BB69-23CF-44E3-9099-C40C66FF867C}">
                  <a14:compatExt spid="_x0000_s61470"/>
                </a:ext>
                <a:ext uri="{FF2B5EF4-FFF2-40B4-BE49-F238E27FC236}">
                  <a16:creationId xmlns:a16="http://schemas.microsoft.com/office/drawing/2014/main" id="{00000000-0008-0000-0900-00001E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1" name="Objeto 31" hidden="1">
              <a:extLst>
                <a:ext uri="{63B3BB69-23CF-44E3-9099-C40C66FF867C}">
                  <a14:compatExt spid="_x0000_s61471"/>
                </a:ext>
                <a:ext uri="{FF2B5EF4-FFF2-40B4-BE49-F238E27FC236}">
                  <a16:creationId xmlns:a16="http://schemas.microsoft.com/office/drawing/2014/main" id="{00000000-0008-0000-0900-00001F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2" name="Objeto 32" hidden="1">
              <a:extLst>
                <a:ext uri="{63B3BB69-23CF-44E3-9099-C40C66FF867C}">
                  <a14:compatExt spid="_x0000_s61472"/>
                </a:ext>
                <a:ext uri="{FF2B5EF4-FFF2-40B4-BE49-F238E27FC236}">
                  <a16:creationId xmlns:a16="http://schemas.microsoft.com/office/drawing/2014/main" id="{00000000-0008-0000-0900-000020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3" name="Objeto 33" hidden="1">
              <a:extLst>
                <a:ext uri="{63B3BB69-23CF-44E3-9099-C40C66FF867C}">
                  <a14:compatExt spid="_x0000_s61473"/>
                </a:ext>
                <a:ext uri="{FF2B5EF4-FFF2-40B4-BE49-F238E27FC236}">
                  <a16:creationId xmlns:a16="http://schemas.microsoft.com/office/drawing/2014/main" id="{00000000-0008-0000-0900-00002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4" name="Objeto 34" hidden="1">
              <a:extLst>
                <a:ext uri="{63B3BB69-23CF-44E3-9099-C40C66FF867C}">
                  <a14:compatExt spid="_x0000_s61474"/>
                </a:ext>
                <a:ext uri="{FF2B5EF4-FFF2-40B4-BE49-F238E27FC236}">
                  <a16:creationId xmlns:a16="http://schemas.microsoft.com/office/drawing/2014/main" id="{00000000-0008-0000-0900-00002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5" name="Objeto 35" hidden="1">
              <a:extLst>
                <a:ext uri="{63B3BB69-23CF-44E3-9099-C40C66FF867C}">
                  <a14:compatExt spid="_x0000_s61475"/>
                </a:ext>
                <a:ext uri="{FF2B5EF4-FFF2-40B4-BE49-F238E27FC236}">
                  <a16:creationId xmlns:a16="http://schemas.microsoft.com/office/drawing/2014/main" id="{00000000-0008-0000-0900-00002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6" name="Objeto 36" hidden="1">
              <a:extLst>
                <a:ext uri="{63B3BB69-23CF-44E3-9099-C40C66FF867C}">
                  <a14:compatExt spid="_x0000_s61476"/>
                </a:ext>
                <a:ext uri="{FF2B5EF4-FFF2-40B4-BE49-F238E27FC236}">
                  <a16:creationId xmlns:a16="http://schemas.microsoft.com/office/drawing/2014/main" id="{00000000-0008-0000-0900-00002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7" name="Objeto 37" hidden="1">
              <a:extLst>
                <a:ext uri="{63B3BB69-23CF-44E3-9099-C40C66FF867C}">
                  <a14:compatExt spid="_x0000_s61477"/>
                </a:ext>
                <a:ext uri="{FF2B5EF4-FFF2-40B4-BE49-F238E27FC236}">
                  <a16:creationId xmlns:a16="http://schemas.microsoft.com/office/drawing/2014/main" id="{00000000-0008-0000-0900-00002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78" name="Objeto 38" hidden="1">
              <a:extLst>
                <a:ext uri="{63B3BB69-23CF-44E3-9099-C40C66FF867C}">
                  <a14:compatExt spid="_x0000_s61478"/>
                </a:ext>
                <a:ext uri="{FF2B5EF4-FFF2-40B4-BE49-F238E27FC236}">
                  <a16:creationId xmlns:a16="http://schemas.microsoft.com/office/drawing/2014/main" id="{00000000-0008-0000-0900-00002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79" name="Objeto 39" hidden="1">
              <a:extLst>
                <a:ext uri="{63B3BB69-23CF-44E3-9099-C40C66FF867C}">
                  <a14:compatExt spid="_x0000_s61479"/>
                </a:ext>
                <a:ext uri="{FF2B5EF4-FFF2-40B4-BE49-F238E27FC236}">
                  <a16:creationId xmlns:a16="http://schemas.microsoft.com/office/drawing/2014/main" id="{00000000-0008-0000-0900-00002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0" name="Objeto 40" hidden="1">
              <a:extLst>
                <a:ext uri="{63B3BB69-23CF-44E3-9099-C40C66FF867C}">
                  <a14:compatExt spid="_x0000_s61480"/>
                </a:ext>
                <a:ext uri="{FF2B5EF4-FFF2-40B4-BE49-F238E27FC236}">
                  <a16:creationId xmlns:a16="http://schemas.microsoft.com/office/drawing/2014/main" id="{00000000-0008-0000-0900-00002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1" name="Objeto 41" hidden="1">
              <a:extLst>
                <a:ext uri="{63B3BB69-23CF-44E3-9099-C40C66FF867C}">
                  <a14:compatExt spid="_x0000_s61481"/>
                </a:ext>
                <a:ext uri="{FF2B5EF4-FFF2-40B4-BE49-F238E27FC236}">
                  <a16:creationId xmlns:a16="http://schemas.microsoft.com/office/drawing/2014/main" id="{00000000-0008-0000-0900-00002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2" name="Objeto 42" hidden="1">
              <a:extLst>
                <a:ext uri="{63B3BB69-23CF-44E3-9099-C40C66FF867C}">
                  <a14:compatExt spid="_x0000_s61482"/>
                </a:ext>
                <a:ext uri="{FF2B5EF4-FFF2-40B4-BE49-F238E27FC236}">
                  <a16:creationId xmlns:a16="http://schemas.microsoft.com/office/drawing/2014/main" id="{00000000-0008-0000-0900-00002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3" name="Objeto 43" hidden="1">
              <a:extLst>
                <a:ext uri="{63B3BB69-23CF-44E3-9099-C40C66FF867C}">
                  <a14:compatExt spid="_x0000_s61483"/>
                </a:ext>
                <a:ext uri="{FF2B5EF4-FFF2-40B4-BE49-F238E27FC236}">
                  <a16:creationId xmlns:a16="http://schemas.microsoft.com/office/drawing/2014/main" id="{00000000-0008-0000-0900-00002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4" name="Objeto 44" hidden="1">
              <a:extLst>
                <a:ext uri="{63B3BB69-23CF-44E3-9099-C40C66FF867C}">
                  <a14:compatExt spid="_x0000_s61484"/>
                </a:ext>
                <a:ext uri="{FF2B5EF4-FFF2-40B4-BE49-F238E27FC236}">
                  <a16:creationId xmlns:a16="http://schemas.microsoft.com/office/drawing/2014/main" id="{00000000-0008-0000-0900-00002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5" name="Objeto 45" hidden="1">
              <a:extLst>
                <a:ext uri="{63B3BB69-23CF-44E3-9099-C40C66FF867C}">
                  <a14:compatExt spid="_x0000_s61485"/>
                </a:ext>
                <a:ext uri="{FF2B5EF4-FFF2-40B4-BE49-F238E27FC236}">
                  <a16:creationId xmlns:a16="http://schemas.microsoft.com/office/drawing/2014/main" id="{00000000-0008-0000-0900-00002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6" name="Objeto 46" hidden="1">
              <a:extLst>
                <a:ext uri="{63B3BB69-23CF-44E3-9099-C40C66FF867C}">
                  <a14:compatExt spid="_x0000_s61486"/>
                </a:ext>
                <a:ext uri="{FF2B5EF4-FFF2-40B4-BE49-F238E27FC236}">
                  <a16:creationId xmlns:a16="http://schemas.microsoft.com/office/drawing/2014/main" id="{00000000-0008-0000-0900-00002E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7" name="Objeto 47" hidden="1">
              <a:extLst>
                <a:ext uri="{63B3BB69-23CF-44E3-9099-C40C66FF867C}">
                  <a14:compatExt spid="_x0000_s61487"/>
                </a:ext>
                <a:ext uri="{FF2B5EF4-FFF2-40B4-BE49-F238E27FC236}">
                  <a16:creationId xmlns:a16="http://schemas.microsoft.com/office/drawing/2014/main" id="{00000000-0008-0000-0900-00002F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88" name="Objeto 48" hidden="1">
              <a:extLst>
                <a:ext uri="{63B3BB69-23CF-44E3-9099-C40C66FF867C}">
                  <a14:compatExt spid="_x0000_s61488"/>
                </a:ext>
                <a:ext uri="{FF2B5EF4-FFF2-40B4-BE49-F238E27FC236}">
                  <a16:creationId xmlns:a16="http://schemas.microsoft.com/office/drawing/2014/main" id="{00000000-0008-0000-0900-000030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89" name="Objeto 49" hidden="1">
              <a:extLst>
                <a:ext uri="{63B3BB69-23CF-44E3-9099-C40C66FF867C}">
                  <a14:compatExt spid="_x0000_s61489"/>
                </a:ext>
                <a:ext uri="{FF2B5EF4-FFF2-40B4-BE49-F238E27FC236}">
                  <a16:creationId xmlns:a16="http://schemas.microsoft.com/office/drawing/2014/main" id="{00000000-0008-0000-0900-000031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0" name="Objeto 50" hidden="1">
              <a:extLst>
                <a:ext uri="{63B3BB69-23CF-44E3-9099-C40C66FF867C}">
                  <a14:compatExt spid="_x0000_s61490"/>
                </a:ext>
                <a:ext uri="{FF2B5EF4-FFF2-40B4-BE49-F238E27FC236}">
                  <a16:creationId xmlns:a16="http://schemas.microsoft.com/office/drawing/2014/main" id="{00000000-0008-0000-0900-000032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1" name="Objeto 51" hidden="1">
              <a:extLst>
                <a:ext uri="{63B3BB69-23CF-44E3-9099-C40C66FF867C}">
                  <a14:compatExt spid="_x0000_s61491"/>
                </a:ext>
                <a:ext uri="{FF2B5EF4-FFF2-40B4-BE49-F238E27FC236}">
                  <a16:creationId xmlns:a16="http://schemas.microsoft.com/office/drawing/2014/main" id="{00000000-0008-0000-0900-000033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2" name="Objeto 52" hidden="1">
              <a:extLst>
                <a:ext uri="{63B3BB69-23CF-44E3-9099-C40C66FF867C}">
                  <a14:compatExt spid="_x0000_s61492"/>
                </a:ext>
                <a:ext uri="{FF2B5EF4-FFF2-40B4-BE49-F238E27FC236}">
                  <a16:creationId xmlns:a16="http://schemas.microsoft.com/office/drawing/2014/main" id="{00000000-0008-0000-0900-000034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3" name="Objeto 53" hidden="1">
              <a:extLst>
                <a:ext uri="{63B3BB69-23CF-44E3-9099-C40C66FF867C}">
                  <a14:compatExt spid="_x0000_s61493"/>
                </a:ext>
                <a:ext uri="{FF2B5EF4-FFF2-40B4-BE49-F238E27FC236}">
                  <a16:creationId xmlns:a16="http://schemas.microsoft.com/office/drawing/2014/main" id="{00000000-0008-0000-0900-000035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4" name="Objeto 54" hidden="1">
              <a:extLst>
                <a:ext uri="{63B3BB69-23CF-44E3-9099-C40C66FF867C}">
                  <a14:compatExt spid="_x0000_s61494"/>
                </a:ext>
                <a:ext uri="{FF2B5EF4-FFF2-40B4-BE49-F238E27FC236}">
                  <a16:creationId xmlns:a16="http://schemas.microsoft.com/office/drawing/2014/main" id="{00000000-0008-0000-0900-000036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5" name="Objeto 55" hidden="1">
              <a:extLst>
                <a:ext uri="{63B3BB69-23CF-44E3-9099-C40C66FF867C}">
                  <a14:compatExt spid="_x0000_s61495"/>
                </a:ext>
                <a:ext uri="{FF2B5EF4-FFF2-40B4-BE49-F238E27FC236}">
                  <a16:creationId xmlns:a16="http://schemas.microsoft.com/office/drawing/2014/main" id="{00000000-0008-0000-0900-000037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6" name="Objeto 56" hidden="1">
              <a:extLst>
                <a:ext uri="{63B3BB69-23CF-44E3-9099-C40C66FF867C}">
                  <a14:compatExt spid="_x0000_s61496"/>
                </a:ext>
                <a:ext uri="{FF2B5EF4-FFF2-40B4-BE49-F238E27FC236}">
                  <a16:creationId xmlns:a16="http://schemas.microsoft.com/office/drawing/2014/main" id="{00000000-0008-0000-0900-000038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7" name="Objeto 57" hidden="1">
              <a:extLst>
                <a:ext uri="{63B3BB69-23CF-44E3-9099-C40C66FF867C}">
                  <a14:compatExt spid="_x0000_s61497"/>
                </a:ext>
                <a:ext uri="{FF2B5EF4-FFF2-40B4-BE49-F238E27FC236}">
                  <a16:creationId xmlns:a16="http://schemas.microsoft.com/office/drawing/2014/main" id="{00000000-0008-0000-0900-000039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498" name="Objeto 58" hidden="1">
              <a:extLst>
                <a:ext uri="{63B3BB69-23CF-44E3-9099-C40C66FF867C}">
                  <a14:compatExt spid="_x0000_s61498"/>
                </a:ext>
                <a:ext uri="{FF2B5EF4-FFF2-40B4-BE49-F238E27FC236}">
                  <a16:creationId xmlns:a16="http://schemas.microsoft.com/office/drawing/2014/main" id="{00000000-0008-0000-0900-00003A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499" name="Objeto 59" hidden="1">
              <a:extLst>
                <a:ext uri="{63B3BB69-23CF-44E3-9099-C40C66FF867C}">
                  <a14:compatExt spid="_x0000_s61499"/>
                </a:ext>
                <a:ext uri="{FF2B5EF4-FFF2-40B4-BE49-F238E27FC236}">
                  <a16:creationId xmlns:a16="http://schemas.microsoft.com/office/drawing/2014/main" id="{00000000-0008-0000-0900-00003B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500" name="Objeto 60" hidden="1">
              <a:extLst>
                <a:ext uri="{63B3BB69-23CF-44E3-9099-C40C66FF867C}">
                  <a14:compatExt spid="_x0000_s61500"/>
                </a:ext>
                <a:ext uri="{FF2B5EF4-FFF2-40B4-BE49-F238E27FC236}">
                  <a16:creationId xmlns:a16="http://schemas.microsoft.com/office/drawing/2014/main" id="{00000000-0008-0000-0900-00003C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0</xdr:rowOff>
        </xdr:from>
        <xdr:to>
          <xdr:col>8</xdr:col>
          <xdr:colOff>619125</xdr:colOff>
          <xdr:row>8</xdr:row>
          <xdr:rowOff>0</xdr:rowOff>
        </xdr:to>
        <xdr:sp macro="" textlink="">
          <xdr:nvSpPr>
            <xdr:cNvPr id="61501" name="Objeto 61" hidden="1">
              <a:extLst>
                <a:ext uri="{63B3BB69-23CF-44E3-9099-C40C66FF867C}">
                  <a14:compatExt spid="_x0000_s61501"/>
                </a:ext>
                <a:ext uri="{FF2B5EF4-FFF2-40B4-BE49-F238E27FC236}">
                  <a16:creationId xmlns:a16="http://schemas.microsoft.com/office/drawing/2014/main" id="{00000000-0008-0000-0900-00003DF000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8</xdr:row>
          <xdr:rowOff>0</xdr:rowOff>
        </xdr:from>
        <xdr:to>
          <xdr:col>9</xdr:col>
          <xdr:colOff>619125</xdr:colOff>
          <xdr:row>8</xdr:row>
          <xdr:rowOff>0</xdr:rowOff>
        </xdr:to>
        <xdr:sp macro="" textlink="">
          <xdr:nvSpPr>
            <xdr:cNvPr id="61502" name="Objeto 62" hidden="1">
              <a:extLst>
                <a:ext uri="{63B3BB69-23CF-44E3-9099-C40C66FF867C}">
                  <a14:compatExt spid="_x0000_s61502"/>
                </a:ext>
                <a:ext uri="{FF2B5EF4-FFF2-40B4-BE49-F238E27FC236}">
                  <a16:creationId xmlns:a16="http://schemas.microsoft.com/office/drawing/2014/main" id="{00000000-0008-0000-0900-00003EF00000}"/>
                </a:ext>
              </a:extLst>
            </xdr:cNvPr>
            <xdr:cNvSpPr/>
          </xdr:nvSpPr>
          <xdr:spPr bwMode="auto">
            <a:xfrm>
              <a:off x="0" y="0"/>
              <a:ext cx="0" cy="0"/>
            </a:xfrm>
            <a:prstGeom prst="rect">
              <a:avLst/>
            </a:prstGeom>
            <a:solidFill>
              <a:srgbClr val="FFFFFF"/>
            </a:solidFill>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38099</xdr:rowOff>
    </xdr:from>
    <xdr:to>
      <xdr:col>3</xdr:col>
      <xdr:colOff>1028700</xdr:colOff>
      <xdr:row>44</xdr:row>
      <xdr:rowOff>155379</xdr:rowOff>
    </xdr:to>
    <xdr:pic>
      <xdr:nvPicPr>
        <xdr:cNvPr id="3" name="Imagem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stretch>
          <a:fillRect/>
        </a:stretch>
      </xdr:blipFill>
      <xdr:spPr>
        <a:xfrm>
          <a:off x="0" y="285749"/>
          <a:ext cx="6686550" cy="94994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676275</xdr:colOff>
      <xdr:row>165</xdr:row>
      <xdr:rowOff>66675</xdr:rowOff>
    </xdr:from>
    <xdr:to>
      <xdr:col>18</xdr:col>
      <xdr:colOff>67454</xdr:colOff>
      <xdr:row>180</xdr:row>
      <xdr:rowOff>19442</xdr:rowOff>
    </xdr:to>
    <xdr:pic>
      <xdr:nvPicPr>
        <xdr:cNvPr id="2" name="Imagem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tretch>
          <a:fillRect/>
        </a:stretch>
      </xdr:blipFill>
      <xdr:spPr>
        <a:xfrm>
          <a:off x="10258425" y="31461075"/>
          <a:ext cx="5582429" cy="281026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ilmar/OR&#199;AMENTOS/AJL%20Constru&#231;&#245;es/COMPOSI&#199;&#213;ES%20PARA%20LICITA&#199;&#213;ES/Cal&#231;adas%20Bras&#237;lia/CAL&#199;ADAS%20BRAS&#205;LIA%20-%20lote%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se.neto.NOVACAP-SEDE/Downloads/PROJ-DE-037-17-OR&#199;-DT-111-17-SEOR&#199;A-PLA-CL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S03\ditec\de-seor&#231;a\Users\Eduardo\01%20-%20TRABALHOS\01_PROJETOS\2009.06%20-%20CAIXA%20IGUATU\IGUATU\04_PE\PLO\3716-08-CAIXA-AGE-IGUATU-PE-PLO-0101-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itec/de-seor&#231;a/Users/Eduardo/01%20-%20TRABALHOS/01_PROJETOS/2009.06%20-%20CAIXA%20IGUATU/IGUATU/04_PE/PLO/3716-08-CAIXA-AGE-IGUATU-PE-PLO-0101-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IPLO_ORC/2024/1-PNL%20OR&#199;/OR&#199;-014-24-CTOR&#199;A-(CEPI%20DVO)/PROJ-DE-002-20-OR&#199;-DT-014-24-CTOR&#199;A-SDS-CLP-R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comp_instalação"/>
      <sheetName val="l_sociais"/>
      <sheetName val="116-18-CAPA"/>
      <sheetName val="116.01-18-ADM"/>
      <sheetName val="116.02-18-IMPLANTAÇÃO."/>
      <sheetName val="SERVIÇOS"/>
      <sheetName val="INSUMOS"/>
      <sheetName val="116.03-18-BLOCO A"/>
      <sheetName val="116.04-18-BLOCO B"/>
      <sheetName val="116.05-18-BLOCO C"/>
      <sheetName val="116.06-18-BLOCO D"/>
      <sheetName val="116.07-18-BLOCO E"/>
      <sheetName val="116.08-18-BLOCO F"/>
      <sheetName val="116.09-18-QUADRA"/>
      <sheetName val="116.10-18-PARQUINHO"/>
      <sheetName val="116-18-CCU's"/>
      <sheetName val="116-18-CRO"/>
      <sheetName val="116-18-ABC"/>
      <sheetName val="116-18-cotação"/>
      <sheetName val="Encargos"/>
      <sheetName val="BDI-Obras"/>
      <sheetName val="comp_instalação1"/>
      <sheetName val="l_sociais1"/>
      <sheetName val="116_01-18-ADM"/>
      <sheetName val="116_02-18-IMPLANTAÇÃO_"/>
      <sheetName val="116_03-18-BLOCO_A"/>
      <sheetName val="116_04-18-BLOCO_B"/>
      <sheetName val="116_05-18-BLOCO_C"/>
      <sheetName val="116_06-18-BLOCO_D"/>
      <sheetName val="116_07-18-BLOCO_E"/>
      <sheetName val="116_08-18-BLOCO_F"/>
      <sheetName val="116_09-18-QUADRA"/>
      <sheetName val="116_10-18-PARQUINHO"/>
      <sheetName val="comp_instalação3"/>
      <sheetName val="l_sociais3"/>
      <sheetName val="116_01-18-ADM2"/>
      <sheetName val="116_02-18-IMPLANTAÇÃO_2"/>
      <sheetName val="116_03-18-BLOCO_A2"/>
      <sheetName val="116_04-18-BLOCO_B2"/>
      <sheetName val="116_05-18-BLOCO_C2"/>
      <sheetName val="116_06-18-BLOCO_D2"/>
      <sheetName val="116_07-18-BLOCO_E2"/>
      <sheetName val="116_08-18-BLOCO_F2"/>
      <sheetName val="116_09-18-QUADRA2"/>
      <sheetName val="116_10-18-PARQUINHO2"/>
      <sheetName val="comp_instalação2"/>
      <sheetName val="l_sociais2"/>
      <sheetName val="116_01-18-ADM1"/>
      <sheetName val="116_02-18-IMPLANTAÇÃO_1"/>
      <sheetName val="116_03-18-BLOCO_A1"/>
      <sheetName val="116_04-18-BLOCO_B1"/>
      <sheetName val="116_05-18-BLOCO_C1"/>
      <sheetName val="116_06-18-BLOCO_D1"/>
      <sheetName val="116_07-18-BLOCO_E1"/>
      <sheetName val="116_08-18-BLOCO_F1"/>
      <sheetName val="116_09-18-QUADRA1"/>
      <sheetName val="116_10-18-PARQUINHO1"/>
      <sheetName val="comp_instalação4"/>
      <sheetName val="l_sociais4"/>
      <sheetName val="116_01-18-ADM3"/>
      <sheetName val="116_02-18-IMPLANTAÇÃO_3"/>
      <sheetName val="116_03-18-BLOCO_A3"/>
      <sheetName val="116_04-18-BLOCO_B3"/>
      <sheetName val="116_05-18-BLOCO_C3"/>
      <sheetName val="116_06-18-BLOCO_D3"/>
      <sheetName val="116_07-18-BLOCO_E3"/>
      <sheetName val="116_08-18-BLOCO_F3"/>
      <sheetName val="116_09-18-QUADRA3"/>
      <sheetName val="116_10-18-PARQUINHO3"/>
      <sheetName val="comp_instalação5"/>
      <sheetName val="l_sociais5"/>
      <sheetName val="116_01-18-ADM4"/>
      <sheetName val="116_02-18-IMPLANTAÇÃO_4"/>
      <sheetName val="116_03-18-BLOCO_A4"/>
      <sheetName val="116_04-18-BLOCO_B4"/>
      <sheetName val="116_05-18-BLOCO_C4"/>
      <sheetName val="116_06-18-BLOCO_D4"/>
      <sheetName val="116_07-18-BLOCO_E4"/>
      <sheetName val="116_08-18-BLOCO_F4"/>
      <sheetName val="116_09-18-QUADRA4"/>
      <sheetName val="116_10-18-PARQUINHO4"/>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 val="l_sociais"/>
      <sheetName val="l_sociais1"/>
      <sheetName val="l_sociais3"/>
      <sheetName val="l_sociais2"/>
      <sheetName val="l_sociais4"/>
      <sheetName val="l_sociais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INSUMOS"/>
      <sheetName val="045-20-CAPA"/>
      <sheetName val="045.01-20-ADM"/>
      <sheetName val="045.02-20-MODULO 1"/>
      <sheetName val="045.03-20-MODULO 2"/>
      <sheetName val="Planilha3"/>
      <sheetName val="045.04-20-RESERVATÓRIOS  "/>
      <sheetName val="045-20-CCU's"/>
      <sheetName val="045-20-COTAÇÃO"/>
      <sheetName val="CURVA ABC"/>
      <sheetName val="cronograma padrão tipo 1"/>
      <sheetName val="045-20-CRO"/>
      <sheetName val="Encargos Sociais"/>
      <sheetName val="BDI-Edificações (2)"/>
    </sheetNames>
    <sheetDataSet>
      <sheetData sheetId="0"/>
      <sheetData sheetId="1"/>
      <sheetData sheetId="2">
        <row r="33">
          <cell r="D33">
            <v>4973692.2189253652</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8" Type="http://schemas.openxmlformats.org/officeDocument/2006/relationships/hyperlink" Target="http://www.hiperfer.com.br/" TargetMode="External"/><Relationship Id="rId13" Type="http://schemas.openxmlformats.org/officeDocument/2006/relationships/hyperlink" Target="mailto:sac@marchio.com" TargetMode="External"/><Relationship Id="rId18" Type="http://schemas.openxmlformats.org/officeDocument/2006/relationships/hyperlink" Target="mailto:comercial@tryanon.ind.br" TargetMode="External"/><Relationship Id="rId26" Type="http://schemas.openxmlformats.org/officeDocument/2006/relationships/comments" Target="../comments5.xml"/><Relationship Id="rId3" Type="http://schemas.openxmlformats.org/officeDocument/2006/relationships/hyperlink" Target="mailto:contato@casadosparafusosfranca.com.br" TargetMode="External"/><Relationship Id="rId21" Type="http://schemas.openxmlformats.org/officeDocument/2006/relationships/hyperlink" Target="mailto:comercial@tryanon.ind.br" TargetMode="External"/><Relationship Id="rId7" Type="http://schemas.openxmlformats.org/officeDocument/2006/relationships/hyperlink" Target="mailto:sac@marchio.com" TargetMode="External"/><Relationship Id="rId12" Type="http://schemas.openxmlformats.org/officeDocument/2006/relationships/hyperlink" Target="http://www.hiperfer.com.br/" TargetMode="External"/><Relationship Id="rId17" Type="http://schemas.openxmlformats.org/officeDocument/2006/relationships/hyperlink" Target="mailto:contato@casadosparafusosfranca.com.br" TargetMode="External"/><Relationship Id="rId25" Type="http://schemas.openxmlformats.org/officeDocument/2006/relationships/vmlDrawing" Target="../drawings/vmlDrawing5.vml"/><Relationship Id="rId2" Type="http://schemas.openxmlformats.org/officeDocument/2006/relationships/hyperlink" Target="http://www.hiperfer.com.br/" TargetMode="External"/><Relationship Id="rId16" Type="http://schemas.openxmlformats.org/officeDocument/2006/relationships/hyperlink" Target="http://www.casasbahia.com.br/" TargetMode="External"/><Relationship Id="rId20" Type="http://schemas.openxmlformats.org/officeDocument/2006/relationships/hyperlink" Target="mailto:comercial@tryanon.ind.br" TargetMode="External"/><Relationship Id="rId1" Type="http://schemas.openxmlformats.org/officeDocument/2006/relationships/hyperlink" Target="mailto:vendas@corrinox.com" TargetMode="External"/><Relationship Id="rId6" Type="http://schemas.openxmlformats.org/officeDocument/2006/relationships/hyperlink" Target="http://www.hiperfer.com.br/" TargetMode="External"/><Relationship Id="rId11" Type="http://schemas.openxmlformats.org/officeDocument/2006/relationships/hyperlink" Target="mailto:sac@marchio.com" TargetMode="External"/><Relationship Id="rId24" Type="http://schemas.openxmlformats.org/officeDocument/2006/relationships/drawing" Target="../drawings/drawing5.xml"/><Relationship Id="rId5" Type="http://schemas.openxmlformats.org/officeDocument/2006/relationships/hyperlink" Target="mailto:sac@marchio.com" TargetMode="External"/><Relationship Id="rId15" Type="http://schemas.openxmlformats.org/officeDocument/2006/relationships/hyperlink" Target="mailto:contato@casadosparafusosfranca.com.br" TargetMode="External"/><Relationship Id="rId23" Type="http://schemas.openxmlformats.org/officeDocument/2006/relationships/printerSettings" Target="../printerSettings/printerSettings7.bin"/><Relationship Id="rId10" Type="http://schemas.openxmlformats.org/officeDocument/2006/relationships/hyperlink" Target="http://www.hiperfer.com.br/" TargetMode="External"/><Relationship Id="rId19" Type="http://schemas.openxmlformats.org/officeDocument/2006/relationships/hyperlink" Target="mailto:comercial@tryanon.ind.br" TargetMode="External"/><Relationship Id="rId4" Type="http://schemas.openxmlformats.org/officeDocument/2006/relationships/hyperlink" Target="http://www.casasbahia.com.br/" TargetMode="External"/><Relationship Id="rId9" Type="http://schemas.openxmlformats.org/officeDocument/2006/relationships/hyperlink" Target="mailto:sac@marchio.com" TargetMode="External"/><Relationship Id="rId14" Type="http://schemas.openxmlformats.org/officeDocument/2006/relationships/hyperlink" Target="mailto:contato@casadosparafusosfranca.com.br" TargetMode="External"/><Relationship Id="rId22" Type="http://schemas.openxmlformats.org/officeDocument/2006/relationships/hyperlink" Target="mailto:comercial@tryanon.ind.br" TargetMode="Externa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6" Type="http://schemas.openxmlformats.org/officeDocument/2006/relationships/oleObject" Target="../embeddings/oleObject22.bin"/><Relationship Id="rId21" Type="http://schemas.openxmlformats.org/officeDocument/2006/relationships/oleObject" Target="../embeddings/oleObject17.bin"/><Relationship Id="rId34" Type="http://schemas.openxmlformats.org/officeDocument/2006/relationships/oleObject" Target="../embeddings/oleObject30.bin"/><Relationship Id="rId42" Type="http://schemas.openxmlformats.org/officeDocument/2006/relationships/oleObject" Target="../embeddings/oleObject38.bin"/><Relationship Id="rId47" Type="http://schemas.openxmlformats.org/officeDocument/2006/relationships/oleObject" Target="../embeddings/oleObject43.bin"/><Relationship Id="rId50" Type="http://schemas.openxmlformats.org/officeDocument/2006/relationships/oleObject" Target="../embeddings/oleObject46.bin"/><Relationship Id="rId55" Type="http://schemas.openxmlformats.org/officeDocument/2006/relationships/oleObject" Target="../embeddings/oleObject51.bin"/><Relationship Id="rId63" Type="http://schemas.openxmlformats.org/officeDocument/2006/relationships/oleObject" Target="../embeddings/oleObject59.bin"/><Relationship Id="rId7" Type="http://schemas.openxmlformats.org/officeDocument/2006/relationships/oleObject" Target="../embeddings/oleObject3.bin"/><Relationship Id="rId2" Type="http://schemas.openxmlformats.org/officeDocument/2006/relationships/drawing" Target="../drawings/drawing7.xml"/><Relationship Id="rId16" Type="http://schemas.openxmlformats.org/officeDocument/2006/relationships/oleObject" Target="../embeddings/oleObject12.bin"/><Relationship Id="rId29" Type="http://schemas.openxmlformats.org/officeDocument/2006/relationships/oleObject" Target="../embeddings/oleObject25.bin"/><Relationship Id="rId11" Type="http://schemas.openxmlformats.org/officeDocument/2006/relationships/oleObject" Target="../embeddings/oleObject7.bin"/><Relationship Id="rId24" Type="http://schemas.openxmlformats.org/officeDocument/2006/relationships/oleObject" Target="../embeddings/oleObject20.bin"/><Relationship Id="rId32" Type="http://schemas.openxmlformats.org/officeDocument/2006/relationships/oleObject" Target="../embeddings/oleObject28.bin"/><Relationship Id="rId37" Type="http://schemas.openxmlformats.org/officeDocument/2006/relationships/oleObject" Target="../embeddings/oleObject33.bin"/><Relationship Id="rId40" Type="http://schemas.openxmlformats.org/officeDocument/2006/relationships/oleObject" Target="../embeddings/oleObject36.bin"/><Relationship Id="rId45" Type="http://schemas.openxmlformats.org/officeDocument/2006/relationships/oleObject" Target="../embeddings/oleObject41.bin"/><Relationship Id="rId53" Type="http://schemas.openxmlformats.org/officeDocument/2006/relationships/oleObject" Target="../embeddings/oleObject49.bin"/><Relationship Id="rId58" Type="http://schemas.openxmlformats.org/officeDocument/2006/relationships/oleObject" Target="../embeddings/oleObject54.bin"/><Relationship Id="rId66" Type="http://schemas.openxmlformats.org/officeDocument/2006/relationships/oleObject" Target="../embeddings/oleObject62.bin"/><Relationship Id="rId5" Type="http://schemas.openxmlformats.org/officeDocument/2006/relationships/image" Target="../media/image4.emf"/><Relationship Id="rId61" Type="http://schemas.openxmlformats.org/officeDocument/2006/relationships/oleObject" Target="../embeddings/oleObject57.bin"/><Relationship Id="rId19" Type="http://schemas.openxmlformats.org/officeDocument/2006/relationships/oleObject" Target="../embeddings/oleObject15.bin"/><Relationship Id="rId14" Type="http://schemas.openxmlformats.org/officeDocument/2006/relationships/oleObject" Target="../embeddings/oleObject10.bin"/><Relationship Id="rId22" Type="http://schemas.openxmlformats.org/officeDocument/2006/relationships/oleObject" Target="../embeddings/oleObject18.bin"/><Relationship Id="rId27" Type="http://schemas.openxmlformats.org/officeDocument/2006/relationships/oleObject" Target="../embeddings/oleObject23.bin"/><Relationship Id="rId30" Type="http://schemas.openxmlformats.org/officeDocument/2006/relationships/oleObject" Target="../embeddings/oleObject26.bin"/><Relationship Id="rId35" Type="http://schemas.openxmlformats.org/officeDocument/2006/relationships/oleObject" Target="../embeddings/oleObject31.bin"/><Relationship Id="rId43" Type="http://schemas.openxmlformats.org/officeDocument/2006/relationships/oleObject" Target="../embeddings/oleObject39.bin"/><Relationship Id="rId48" Type="http://schemas.openxmlformats.org/officeDocument/2006/relationships/oleObject" Target="../embeddings/oleObject44.bin"/><Relationship Id="rId56" Type="http://schemas.openxmlformats.org/officeDocument/2006/relationships/oleObject" Target="../embeddings/oleObject52.bin"/><Relationship Id="rId64" Type="http://schemas.openxmlformats.org/officeDocument/2006/relationships/oleObject" Target="../embeddings/oleObject60.bin"/><Relationship Id="rId8" Type="http://schemas.openxmlformats.org/officeDocument/2006/relationships/oleObject" Target="../embeddings/oleObject4.bin"/><Relationship Id="rId51" Type="http://schemas.openxmlformats.org/officeDocument/2006/relationships/oleObject" Target="../embeddings/oleObject47.bin"/><Relationship Id="rId3" Type="http://schemas.openxmlformats.org/officeDocument/2006/relationships/vmlDrawing" Target="../drawings/vmlDrawing8.vml"/><Relationship Id="rId12" Type="http://schemas.openxmlformats.org/officeDocument/2006/relationships/oleObject" Target="../embeddings/oleObject8.bin"/><Relationship Id="rId17" Type="http://schemas.openxmlformats.org/officeDocument/2006/relationships/oleObject" Target="../embeddings/oleObject13.bin"/><Relationship Id="rId25" Type="http://schemas.openxmlformats.org/officeDocument/2006/relationships/oleObject" Target="../embeddings/oleObject21.bin"/><Relationship Id="rId33" Type="http://schemas.openxmlformats.org/officeDocument/2006/relationships/oleObject" Target="../embeddings/oleObject29.bin"/><Relationship Id="rId38" Type="http://schemas.openxmlformats.org/officeDocument/2006/relationships/oleObject" Target="../embeddings/oleObject34.bin"/><Relationship Id="rId46" Type="http://schemas.openxmlformats.org/officeDocument/2006/relationships/oleObject" Target="../embeddings/oleObject42.bin"/><Relationship Id="rId59" Type="http://schemas.openxmlformats.org/officeDocument/2006/relationships/oleObject" Target="../embeddings/oleObject55.bin"/><Relationship Id="rId67" Type="http://schemas.openxmlformats.org/officeDocument/2006/relationships/comments" Target="../comments8.xml"/><Relationship Id="rId20" Type="http://schemas.openxmlformats.org/officeDocument/2006/relationships/oleObject" Target="../embeddings/oleObject16.bin"/><Relationship Id="rId41" Type="http://schemas.openxmlformats.org/officeDocument/2006/relationships/oleObject" Target="../embeddings/oleObject37.bin"/><Relationship Id="rId54" Type="http://schemas.openxmlformats.org/officeDocument/2006/relationships/oleObject" Target="../embeddings/oleObject50.bin"/><Relationship Id="rId62" Type="http://schemas.openxmlformats.org/officeDocument/2006/relationships/oleObject" Target="../embeddings/oleObject58.bin"/><Relationship Id="rId1" Type="http://schemas.openxmlformats.org/officeDocument/2006/relationships/printerSettings" Target="../printerSettings/printerSettings10.bin"/><Relationship Id="rId6" Type="http://schemas.openxmlformats.org/officeDocument/2006/relationships/oleObject" Target="../embeddings/oleObject2.bin"/><Relationship Id="rId15" Type="http://schemas.openxmlformats.org/officeDocument/2006/relationships/oleObject" Target="../embeddings/oleObject11.bin"/><Relationship Id="rId23" Type="http://schemas.openxmlformats.org/officeDocument/2006/relationships/oleObject" Target="../embeddings/oleObject19.bin"/><Relationship Id="rId28" Type="http://schemas.openxmlformats.org/officeDocument/2006/relationships/oleObject" Target="../embeddings/oleObject24.bin"/><Relationship Id="rId36" Type="http://schemas.openxmlformats.org/officeDocument/2006/relationships/oleObject" Target="../embeddings/oleObject32.bin"/><Relationship Id="rId49" Type="http://schemas.openxmlformats.org/officeDocument/2006/relationships/oleObject" Target="../embeddings/oleObject45.bin"/><Relationship Id="rId57" Type="http://schemas.openxmlformats.org/officeDocument/2006/relationships/oleObject" Target="../embeddings/oleObject53.bin"/><Relationship Id="rId10" Type="http://schemas.openxmlformats.org/officeDocument/2006/relationships/oleObject" Target="../embeddings/oleObject6.bin"/><Relationship Id="rId31" Type="http://schemas.openxmlformats.org/officeDocument/2006/relationships/oleObject" Target="../embeddings/oleObject27.bin"/><Relationship Id="rId44" Type="http://schemas.openxmlformats.org/officeDocument/2006/relationships/oleObject" Target="../embeddings/oleObject40.bin"/><Relationship Id="rId52" Type="http://schemas.openxmlformats.org/officeDocument/2006/relationships/oleObject" Target="../embeddings/oleObject48.bin"/><Relationship Id="rId60" Type="http://schemas.openxmlformats.org/officeDocument/2006/relationships/oleObject" Target="../embeddings/oleObject56.bin"/><Relationship Id="rId65" Type="http://schemas.openxmlformats.org/officeDocument/2006/relationships/oleObject" Target="../embeddings/oleObject61.bin"/><Relationship Id="rId4" Type="http://schemas.openxmlformats.org/officeDocument/2006/relationships/oleObject" Target="../embeddings/oleObject1.bin"/><Relationship Id="rId9" Type="http://schemas.openxmlformats.org/officeDocument/2006/relationships/oleObject" Target="../embeddings/oleObject5.bin"/><Relationship Id="rId13" Type="http://schemas.openxmlformats.org/officeDocument/2006/relationships/oleObject" Target="../embeddings/oleObject9.bin"/><Relationship Id="rId18" Type="http://schemas.openxmlformats.org/officeDocument/2006/relationships/oleObject" Target="../embeddings/oleObject14.bin"/><Relationship Id="rId39" Type="http://schemas.openxmlformats.org/officeDocument/2006/relationships/oleObject" Target="../embeddings/oleObject3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2.bin"/><Relationship Id="rId1" Type="http://schemas.openxmlformats.org/officeDocument/2006/relationships/hyperlink" Target="https://sindusconpr.com.br/incc-di-fgv-310-p" TargetMode="External"/><Relationship Id="rId5" Type="http://schemas.openxmlformats.org/officeDocument/2006/relationships/comments" Target="../comments9.xml"/><Relationship Id="rId4"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7696"/>
  <sheetViews>
    <sheetView topLeftCell="A12" workbookViewId="0">
      <selection activeCell="F9" sqref="F9"/>
    </sheetView>
  </sheetViews>
  <sheetFormatPr defaultRowHeight="12.75" x14ac:dyDescent="0.2"/>
  <cols>
    <col min="1" max="1" width="19.5703125" style="201" customWidth="1"/>
    <col min="2" max="2" width="101.28515625" style="201" customWidth="1"/>
    <col min="3" max="3" width="11" style="201" customWidth="1"/>
    <col min="4" max="4" width="13.7109375" style="201" bestFit="1" customWidth="1"/>
    <col min="5" max="5" width="7.85546875" style="326" bestFit="1" customWidth="1"/>
    <col min="6" max="6" width="48.7109375" style="102" customWidth="1"/>
    <col min="7" max="7" width="24.5703125" style="102" customWidth="1"/>
    <col min="8" max="8" width="48.7109375" style="102" customWidth="1"/>
    <col min="9" max="9" width="8.140625" style="102" customWidth="1"/>
    <col min="10" max="10" width="38.7109375" style="102" customWidth="1"/>
    <col min="11" max="11" width="21.140625" style="102" customWidth="1"/>
    <col min="12" max="12" width="82" style="102" customWidth="1"/>
    <col min="13" max="256" width="9.140625" style="102"/>
    <col min="257" max="257" width="11.140625" style="102" customWidth="1"/>
    <col min="258" max="258" width="77.28515625" style="102" customWidth="1"/>
    <col min="259" max="259" width="8.5703125" style="102" customWidth="1"/>
    <col min="260" max="260" width="17.5703125" style="102" customWidth="1"/>
    <col min="261" max="261" width="15.28515625" style="102" customWidth="1"/>
    <col min="262" max="262" width="48.7109375" style="102" customWidth="1"/>
    <col min="263" max="263" width="24.5703125" style="102" customWidth="1"/>
    <col min="264" max="264" width="48.7109375" style="102" customWidth="1"/>
    <col min="265" max="265" width="8.140625" style="102" customWidth="1"/>
    <col min="266" max="266" width="38.7109375" style="102" customWidth="1"/>
    <col min="267" max="267" width="21.140625" style="102" customWidth="1"/>
    <col min="268" max="268" width="82" style="102" customWidth="1"/>
    <col min="269" max="512" width="9.140625" style="102"/>
    <col min="513" max="513" width="11.140625" style="102" customWidth="1"/>
    <col min="514" max="514" width="77.28515625" style="102" customWidth="1"/>
    <col min="515" max="515" width="8.5703125" style="102" customWidth="1"/>
    <col min="516" max="516" width="17.5703125" style="102" customWidth="1"/>
    <col min="517" max="517" width="15.28515625" style="102" customWidth="1"/>
    <col min="518" max="518" width="48.7109375" style="102" customWidth="1"/>
    <col min="519" max="519" width="24.5703125" style="102" customWidth="1"/>
    <col min="520" max="520" width="48.7109375" style="102" customWidth="1"/>
    <col min="521" max="521" width="8.140625" style="102" customWidth="1"/>
    <col min="522" max="522" width="38.7109375" style="102" customWidth="1"/>
    <col min="523" max="523" width="21.140625" style="102" customWidth="1"/>
    <col min="524" max="524" width="82" style="102" customWidth="1"/>
    <col min="525" max="768" width="9.140625" style="102"/>
    <col min="769" max="769" width="11.140625" style="102" customWidth="1"/>
    <col min="770" max="770" width="77.28515625" style="102" customWidth="1"/>
    <col min="771" max="771" width="8.5703125" style="102" customWidth="1"/>
    <col min="772" max="772" width="17.5703125" style="102" customWidth="1"/>
    <col min="773" max="773" width="15.28515625" style="102" customWidth="1"/>
    <col min="774" max="774" width="48.7109375" style="102" customWidth="1"/>
    <col min="775" max="775" width="24.5703125" style="102" customWidth="1"/>
    <col min="776" max="776" width="48.7109375" style="102" customWidth="1"/>
    <col min="777" max="777" width="8.140625" style="102" customWidth="1"/>
    <col min="778" max="778" width="38.7109375" style="102" customWidth="1"/>
    <col min="779" max="779" width="21.140625" style="102" customWidth="1"/>
    <col min="780" max="780" width="82" style="102" customWidth="1"/>
    <col min="781" max="1024" width="9.140625" style="102"/>
    <col min="1025" max="1025" width="11.140625" style="102" customWidth="1"/>
    <col min="1026" max="1026" width="77.28515625" style="102" customWidth="1"/>
    <col min="1027" max="1027" width="8.5703125" style="102" customWidth="1"/>
    <col min="1028" max="1028" width="17.5703125" style="102" customWidth="1"/>
    <col min="1029" max="1029" width="15.28515625" style="102" customWidth="1"/>
    <col min="1030" max="1030" width="48.7109375" style="102" customWidth="1"/>
    <col min="1031" max="1031" width="24.5703125" style="102" customWidth="1"/>
    <col min="1032" max="1032" width="48.7109375" style="102" customWidth="1"/>
    <col min="1033" max="1033" width="8.140625" style="102" customWidth="1"/>
    <col min="1034" max="1034" width="38.7109375" style="102" customWidth="1"/>
    <col min="1035" max="1035" width="21.140625" style="102" customWidth="1"/>
    <col min="1036" max="1036" width="82" style="102" customWidth="1"/>
    <col min="1037" max="1280" width="9.140625" style="102"/>
    <col min="1281" max="1281" width="11.140625" style="102" customWidth="1"/>
    <col min="1282" max="1282" width="77.28515625" style="102" customWidth="1"/>
    <col min="1283" max="1283" width="8.5703125" style="102" customWidth="1"/>
    <col min="1284" max="1284" width="17.5703125" style="102" customWidth="1"/>
    <col min="1285" max="1285" width="15.28515625" style="102" customWidth="1"/>
    <col min="1286" max="1286" width="48.7109375" style="102" customWidth="1"/>
    <col min="1287" max="1287" width="24.5703125" style="102" customWidth="1"/>
    <col min="1288" max="1288" width="48.7109375" style="102" customWidth="1"/>
    <col min="1289" max="1289" width="8.140625" style="102" customWidth="1"/>
    <col min="1290" max="1290" width="38.7109375" style="102" customWidth="1"/>
    <col min="1291" max="1291" width="21.140625" style="102" customWidth="1"/>
    <col min="1292" max="1292" width="82" style="102" customWidth="1"/>
    <col min="1293" max="1536" width="9.140625" style="102"/>
    <col min="1537" max="1537" width="11.140625" style="102" customWidth="1"/>
    <col min="1538" max="1538" width="77.28515625" style="102" customWidth="1"/>
    <col min="1539" max="1539" width="8.5703125" style="102" customWidth="1"/>
    <col min="1540" max="1540" width="17.5703125" style="102" customWidth="1"/>
    <col min="1541" max="1541" width="15.28515625" style="102" customWidth="1"/>
    <col min="1542" max="1542" width="48.7109375" style="102" customWidth="1"/>
    <col min="1543" max="1543" width="24.5703125" style="102" customWidth="1"/>
    <col min="1544" max="1544" width="48.7109375" style="102" customWidth="1"/>
    <col min="1545" max="1545" width="8.140625" style="102" customWidth="1"/>
    <col min="1546" max="1546" width="38.7109375" style="102" customWidth="1"/>
    <col min="1547" max="1547" width="21.140625" style="102" customWidth="1"/>
    <col min="1548" max="1548" width="82" style="102" customWidth="1"/>
    <col min="1549" max="1792" width="9.140625" style="102"/>
    <col min="1793" max="1793" width="11.140625" style="102" customWidth="1"/>
    <col min="1794" max="1794" width="77.28515625" style="102" customWidth="1"/>
    <col min="1795" max="1795" width="8.5703125" style="102" customWidth="1"/>
    <col min="1796" max="1796" width="17.5703125" style="102" customWidth="1"/>
    <col min="1797" max="1797" width="15.28515625" style="102" customWidth="1"/>
    <col min="1798" max="1798" width="48.7109375" style="102" customWidth="1"/>
    <col min="1799" max="1799" width="24.5703125" style="102" customWidth="1"/>
    <col min="1800" max="1800" width="48.7109375" style="102" customWidth="1"/>
    <col min="1801" max="1801" width="8.140625" style="102" customWidth="1"/>
    <col min="1802" max="1802" width="38.7109375" style="102" customWidth="1"/>
    <col min="1803" max="1803" width="21.140625" style="102" customWidth="1"/>
    <col min="1804" max="1804" width="82" style="102" customWidth="1"/>
    <col min="1805" max="2048" width="9.140625" style="102"/>
    <col min="2049" max="2049" width="11.140625" style="102" customWidth="1"/>
    <col min="2050" max="2050" width="77.28515625" style="102" customWidth="1"/>
    <col min="2051" max="2051" width="8.5703125" style="102" customWidth="1"/>
    <col min="2052" max="2052" width="17.5703125" style="102" customWidth="1"/>
    <col min="2053" max="2053" width="15.28515625" style="102" customWidth="1"/>
    <col min="2054" max="2054" width="48.7109375" style="102" customWidth="1"/>
    <col min="2055" max="2055" width="24.5703125" style="102" customWidth="1"/>
    <col min="2056" max="2056" width="48.7109375" style="102" customWidth="1"/>
    <col min="2057" max="2057" width="8.140625" style="102" customWidth="1"/>
    <col min="2058" max="2058" width="38.7109375" style="102" customWidth="1"/>
    <col min="2059" max="2059" width="21.140625" style="102" customWidth="1"/>
    <col min="2060" max="2060" width="82" style="102" customWidth="1"/>
    <col min="2061" max="2304" width="9.140625" style="102"/>
    <col min="2305" max="2305" width="11.140625" style="102" customWidth="1"/>
    <col min="2306" max="2306" width="77.28515625" style="102" customWidth="1"/>
    <col min="2307" max="2307" width="8.5703125" style="102" customWidth="1"/>
    <col min="2308" max="2308" width="17.5703125" style="102" customWidth="1"/>
    <col min="2309" max="2309" width="15.28515625" style="102" customWidth="1"/>
    <col min="2310" max="2310" width="48.7109375" style="102" customWidth="1"/>
    <col min="2311" max="2311" width="24.5703125" style="102" customWidth="1"/>
    <col min="2312" max="2312" width="48.7109375" style="102" customWidth="1"/>
    <col min="2313" max="2313" width="8.140625" style="102" customWidth="1"/>
    <col min="2314" max="2314" width="38.7109375" style="102" customWidth="1"/>
    <col min="2315" max="2315" width="21.140625" style="102" customWidth="1"/>
    <col min="2316" max="2316" width="82" style="102" customWidth="1"/>
    <col min="2317" max="2560" width="9.140625" style="102"/>
    <col min="2561" max="2561" width="11.140625" style="102" customWidth="1"/>
    <col min="2562" max="2562" width="77.28515625" style="102" customWidth="1"/>
    <col min="2563" max="2563" width="8.5703125" style="102" customWidth="1"/>
    <col min="2564" max="2564" width="17.5703125" style="102" customWidth="1"/>
    <col min="2565" max="2565" width="15.28515625" style="102" customWidth="1"/>
    <col min="2566" max="2566" width="48.7109375" style="102" customWidth="1"/>
    <col min="2567" max="2567" width="24.5703125" style="102" customWidth="1"/>
    <col min="2568" max="2568" width="48.7109375" style="102" customWidth="1"/>
    <col min="2569" max="2569" width="8.140625" style="102" customWidth="1"/>
    <col min="2570" max="2570" width="38.7109375" style="102" customWidth="1"/>
    <col min="2571" max="2571" width="21.140625" style="102" customWidth="1"/>
    <col min="2572" max="2572" width="82" style="102" customWidth="1"/>
    <col min="2573" max="2816" width="9.140625" style="102"/>
    <col min="2817" max="2817" width="11.140625" style="102" customWidth="1"/>
    <col min="2818" max="2818" width="77.28515625" style="102" customWidth="1"/>
    <col min="2819" max="2819" width="8.5703125" style="102" customWidth="1"/>
    <col min="2820" max="2820" width="17.5703125" style="102" customWidth="1"/>
    <col min="2821" max="2821" width="15.28515625" style="102" customWidth="1"/>
    <col min="2822" max="2822" width="48.7109375" style="102" customWidth="1"/>
    <col min="2823" max="2823" width="24.5703125" style="102" customWidth="1"/>
    <col min="2824" max="2824" width="48.7109375" style="102" customWidth="1"/>
    <col min="2825" max="2825" width="8.140625" style="102" customWidth="1"/>
    <col min="2826" max="2826" width="38.7109375" style="102" customWidth="1"/>
    <col min="2827" max="2827" width="21.140625" style="102" customWidth="1"/>
    <col min="2828" max="2828" width="82" style="102" customWidth="1"/>
    <col min="2829" max="3072" width="9.140625" style="102"/>
    <col min="3073" max="3073" width="11.140625" style="102" customWidth="1"/>
    <col min="3074" max="3074" width="77.28515625" style="102" customWidth="1"/>
    <col min="3075" max="3075" width="8.5703125" style="102" customWidth="1"/>
    <col min="3076" max="3076" width="17.5703125" style="102" customWidth="1"/>
    <col min="3077" max="3077" width="15.28515625" style="102" customWidth="1"/>
    <col min="3078" max="3078" width="48.7109375" style="102" customWidth="1"/>
    <col min="3079" max="3079" width="24.5703125" style="102" customWidth="1"/>
    <col min="3080" max="3080" width="48.7109375" style="102" customWidth="1"/>
    <col min="3081" max="3081" width="8.140625" style="102" customWidth="1"/>
    <col min="3082" max="3082" width="38.7109375" style="102" customWidth="1"/>
    <col min="3083" max="3083" width="21.140625" style="102" customWidth="1"/>
    <col min="3084" max="3084" width="82" style="102" customWidth="1"/>
    <col min="3085" max="3328" width="9.140625" style="102"/>
    <col min="3329" max="3329" width="11.140625" style="102" customWidth="1"/>
    <col min="3330" max="3330" width="77.28515625" style="102" customWidth="1"/>
    <col min="3331" max="3331" width="8.5703125" style="102" customWidth="1"/>
    <col min="3332" max="3332" width="17.5703125" style="102" customWidth="1"/>
    <col min="3333" max="3333" width="15.28515625" style="102" customWidth="1"/>
    <col min="3334" max="3334" width="48.7109375" style="102" customWidth="1"/>
    <col min="3335" max="3335" width="24.5703125" style="102" customWidth="1"/>
    <col min="3336" max="3336" width="48.7109375" style="102" customWidth="1"/>
    <col min="3337" max="3337" width="8.140625" style="102" customWidth="1"/>
    <col min="3338" max="3338" width="38.7109375" style="102" customWidth="1"/>
    <col min="3339" max="3339" width="21.140625" style="102" customWidth="1"/>
    <col min="3340" max="3340" width="82" style="102" customWidth="1"/>
    <col min="3341" max="3584" width="9.140625" style="102"/>
    <col min="3585" max="3585" width="11.140625" style="102" customWidth="1"/>
    <col min="3586" max="3586" width="77.28515625" style="102" customWidth="1"/>
    <col min="3587" max="3587" width="8.5703125" style="102" customWidth="1"/>
    <col min="3588" max="3588" width="17.5703125" style="102" customWidth="1"/>
    <col min="3589" max="3589" width="15.28515625" style="102" customWidth="1"/>
    <col min="3590" max="3590" width="48.7109375" style="102" customWidth="1"/>
    <col min="3591" max="3591" width="24.5703125" style="102" customWidth="1"/>
    <col min="3592" max="3592" width="48.7109375" style="102" customWidth="1"/>
    <col min="3593" max="3593" width="8.140625" style="102" customWidth="1"/>
    <col min="3594" max="3594" width="38.7109375" style="102" customWidth="1"/>
    <col min="3595" max="3595" width="21.140625" style="102" customWidth="1"/>
    <col min="3596" max="3596" width="82" style="102" customWidth="1"/>
    <col min="3597" max="3840" width="9.140625" style="102"/>
    <col min="3841" max="3841" width="11.140625" style="102" customWidth="1"/>
    <col min="3842" max="3842" width="77.28515625" style="102" customWidth="1"/>
    <col min="3843" max="3843" width="8.5703125" style="102" customWidth="1"/>
    <col min="3844" max="3844" width="17.5703125" style="102" customWidth="1"/>
    <col min="3845" max="3845" width="15.28515625" style="102" customWidth="1"/>
    <col min="3846" max="3846" width="48.7109375" style="102" customWidth="1"/>
    <col min="3847" max="3847" width="24.5703125" style="102" customWidth="1"/>
    <col min="3848" max="3848" width="48.7109375" style="102" customWidth="1"/>
    <col min="3849" max="3849" width="8.140625" style="102" customWidth="1"/>
    <col min="3850" max="3850" width="38.7109375" style="102" customWidth="1"/>
    <col min="3851" max="3851" width="21.140625" style="102" customWidth="1"/>
    <col min="3852" max="3852" width="82" style="102" customWidth="1"/>
    <col min="3853" max="4096" width="9.140625" style="102"/>
    <col min="4097" max="4097" width="11.140625" style="102" customWidth="1"/>
    <col min="4098" max="4098" width="77.28515625" style="102" customWidth="1"/>
    <col min="4099" max="4099" width="8.5703125" style="102" customWidth="1"/>
    <col min="4100" max="4100" width="17.5703125" style="102" customWidth="1"/>
    <col min="4101" max="4101" width="15.28515625" style="102" customWidth="1"/>
    <col min="4102" max="4102" width="48.7109375" style="102" customWidth="1"/>
    <col min="4103" max="4103" width="24.5703125" style="102" customWidth="1"/>
    <col min="4104" max="4104" width="48.7109375" style="102" customWidth="1"/>
    <col min="4105" max="4105" width="8.140625" style="102" customWidth="1"/>
    <col min="4106" max="4106" width="38.7109375" style="102" customWidth="1"/>
    <col min="4107" max="4107" width="21.140625" style="102" customWidth="1"/>
    <col min="4108" max="4108" width="82" style="102" customWidth="1"/>
    <col min="4109" max="4352" width="9.140625" style="102"/>
    <col min="4353" max="4353" width="11.140625" style="102" customWidth="1"/>
    <col min="4354" max="4354" width="77.28515625" style="102" customWidth="1"/>
    <col min="4355" max="4355" width="8.5703125" style="102" customWidth="1"/>
    <col min="4356" max="4356" width="17.5703125" style="102" customWidth="1"/>
    <col min="4357" max="4357" width="15.28515625" style="102" customWidth="1"/>
    <col min="4358" max="4358" width="48.7109375" style="102" customWidth="1"/>
    <col min="4359" max="4359" width="24.5703125" style="102" customWidth="1"/>
    <col min="4360" max="4360" width="48.7109375" style="102" customWidth="1"/>
    <col min="4361" max="4361" width="8.140625" style="102" customWidth="1"/>
    <col min="4362" max="4362" width="38.7109375" style="102" customWidth="1"/>
    <col min="4363" max="4363" width="21.140625" style="102" customWidth="1"/>
    <col min="4364" max="4364" width="82" style="102" customWidth="1"/>
    <col min="4365" max="4608" width="9.140625" style="102"/>
    <col min="4609" max="4609" width="11.140625" style="102" customWidth="1"/>
    <col min="4610" max="4610" width="77.28515625" style="102" customWidth="1"/>
    <col min="4611" max="4611" width="8.5703125" style="102" customWidth="1"/>
    <col min="4612" max="4612" width="17.5703125" style="102" customWidth="1"/>
    <col min="4613" max="4613" width="15.28515625" style="102" customWidth="1"/>
    <col min="4614" max="4614" width="48.7109375" style="102" customWidth="1"/>
    <col min="4615" max="4615" width="24.5703125" style="102" customWidth="1"/>
    <col min="4616" max="4616" width="48.7109375" style="102" customWidth="1"/>
    <col min="4617" max="4617" width="8.140625" style="102" customWidth="1"/>
    <col min="4618" max="4618" width="38.7109375" style="102" customWidth="1"/>
    <col min="4619" max="4619" width="21.140625" style="102" customWidth="1"/>
    <col min="4620" max="4620" width="82" style="102" customWidth="1"/>
    <col min="4621" max="4864" width="9.140625" style="102"/>
    <col min="4865" max="4865" width="11.140625" style="102" customWidth="1"/>
    <col min="4866" max="4866" width="77.28515625" style="102" customWidth="1"/>
    <col min="4867" max="4867" width="8.5703125" style="102" customWidth="1"/>
    <col min="4868" max="4868" width="17.5703125" style="102" customWidth="1"/>
    <col min="4869" max="4869" width="15.28515625" style="102" customWidth="1"/>
    <col min="4870" max="4870" width="48.7109375" style="102" customWidth="1"/>
    <col min="4871" max="4871" width="24.5703125" style="102" customWidth="1"/>
    <col min="4872" max="4872" width="48.7109375" style="102" customWidth="1"/>
    <col min="4873" max="4873" width="8.140625" style="102" customWidth="1"/>
    <col min="4874" max="4874" width="38.7109375" style="102" customWidth="1"/>
    <col min="4875" max="4875" width="21.140625" style="102" customWidth="1"/>
    <col min="4876" max="4876" width="82" style="102" customWidth="1"/>
    <col min="4877" max="5120" width="9.140625" style="102"/>
    <col min="5121" max="5121" width="11.140625" style="102" customWidth="1"/>
    <col min="5122" max="5122" width="77.28515625" style="102" customWidth="1"/>
    <col min="5123" max="5123" width="8.5703125" style="102" customWidth="1"/>
    <col min="5124" max="5124" width="17.5703125" style="102" customWidth="1"/>
    <col min="5125" max="5125" width="15.28515625" style="102" customWidth="1"/>
    <col min="5126" max="5126" width="48.7109375" style="102" customWidth="1"/>
    <col min="5127" max="5127" width="24.5703125" style="102" customWidth="1"/>
    <col min="5128" max="5128" width="48.7109375" style="102" customWidth="1"/>
    <col min="5129" max="5129" width="8.140625" style="102" customWidth="1"/>
    <col min="5130" max="5130" width="38.7109375" style="102" customWidth="1"/>
    <col min="5131" max="5131" width="21.140625" style="102" customWidth="1"/>
    <col min="5132" max="5132" width="82" style="102" customWidth="1"/>
    <col min="5133" max="5376" width="9.140625" style="102"/>
    <col min="5377" max="5377" width="11.140625" style="102" customWidth="1"/>
    <col min="5378" max="5378" width="77.28515625" style="102" customWidth="1"/>
    <col min="5379" max="5379" width="8.5703125" style="102" customWidth="1"/>
    <col min="5380" max="5380" width="17.5703125" style="102" customWidth="1"/>
    <col min="5381" max="5381" width="15.28515625" style="102" customWidth="1"/>
    <col min="5382" max="5382" width="48.7109375" style="102" customWidth="1"/>
    <col min="5383" max="5383" width="24.5703125" style="102" customWidth="1"/>
    <col min="5384" max="5384" width="48.7109375" style="102" customWidth="1"/>
    <col min="5385" max="5385" width="8.140625" style="102" customWidth="1"/>
    <col min="5386" max="5386" width="38.7109375" style="102" customWidth="1"/>
    <col min="5387" max="5387" width="21.140625" style="102" customWidth="1"/>
    <col min="5388" max="5388" width="82" style="102" customWidth="1"/>
    <col min="5389" max="5632" width="9.140625" style="102"/>
    <col min="5633" max="5633" width="11.140625" style="102" customWidth="1"/>
    <col min="5634" max="5634" width="77.28515625" style="102" customWidth="1"/>
    <col min="5635" max="5635" width="8.5703125" style="102" customWidth="1"/>
    <col min="5636" max="5636" width="17.5703125" style="102" customWidth="1"/>
    <col min="5637" max="5637" width="15.28515625" style="102" customWidth="1"/>
    <col min="5638" max="5638" width="48.7109375" style="102" customWidth="1"/>
    <col min="5639" max="5639" width="24.5703125" style="102" customWidth="1"/>
    <col min="5640" max="5640" width="48.7109375" style="102" customWidth="1"/>
    <col min="5641" max="5641" width="8.140625" style="102" customWidth="1"/>
    <col min="5642" max="5642" width="38.7109375" style="102" customWidth="1"/>
    <col min="5643" max="5643" width="21.140625" style="102" customWidth="1"/>
    <col min="5644" max="5644" width="82" style="102" customWidth="1"/>
    <col min="5645" max="5888" width="9.140625" style="102"/>
    <col min="5889" max="5889" width="11.140625" style="102" customWidth="1"/>
    <col min="5890" max="5890" width="77.28515625" style="102" customWidth="1"/>
    <col min="5891" max="5891" width="8.5703125" style="102" customWidth="1"/>
    <col min="5892" max="5892" width="17.5703125" style="102" customWidth="1"/>
    <col min="5893" max="5893" width="15.28515625" style="102" customWidth="1"/>
    <col min="5894" max="5894" width="48.7109375" style="102" customWidth="1"/>
    <col min="5895" max="5895" width="24.5703125" style="102" customWidth="1"/>
    <col min="5896" max="5896" width="48.7109375" style="102" customWidth="1"/>
    <col min="5897" max="5897" width="8.140625" style="102" customWidth="1"/>
    <col min="5898" max="5898" width="38.7109375" style="102" customWidth="1"/>
    <col min="5899" max="5899" width="21.140625" style="102" customWidth="1"/>
    <col min="5900" max="5900" width="82" style="102" customWidth="1"/>
    <col min="5901" max="6144" width="9.140625" style="102"/>
    <col min="6145" max="6145" width="11.140625" style="102" customWidth="1"/>
    <col min="6146" max="6146" width="77.28515625" style="102" customWidth="1"/>
    <col min="6147" max="6147" width="8.5703125" style="102" customWidth="1"/>
    <col min="6148" max="6148" width="17.5703125" style="102" customWidth="1"/>
    <col min="6149" max="6149" width="15.28515625" style="102" customWidth="1"/>
    <col min="6150" max="6150" width="48.7109375" style="102" customWidth="1"/>
    <col min="6151" max="6151" width="24.5703125" style="102" customWidth="1"/>
    <col min="6152" max="6152" width="48.7109375" style="102" customWidth="1"/>
    <col min="6153" max="6153" width="8.140625" style="102" customWidth="1"/>
    <col min="6154" max="6154" width="38.7109375" style="102" customWidth="1"/>
    <col min="6155" max="6155" width="21.140625" style="102" customWidth="1"/>
    <col min="6156" max="6156" width="82" style="102" customWidth="1"/>
    <col min="6157" max="6400" width="9.140625" style="102"/>
    <col min="6401" max="6401" width="11.140625" style="102" customWidth="1"/>
    <col min="6402" max="6402" width="77.28515625" style="102" customWidth="1"/>
    <col min="6403" max="6403" width="8.5703125" style="102" customWidth="1"/>
    <col min="6404" max="6404" width="17.5703125" style="102" customWidth="1"/>
    <col min="6405" max="6405" width="15.28515625" style="102" customWidth="1"/>
    <col min="6406" max="6406" width="48.7109375" style="102" customWidth="1"/>
    <col min="6407" max="6407" width="24.5703125" style="102" customWidth="1"/>
    <col min="6408" max="6408" width="48.7109375" style="102" customWidth="1"/>
    <col min="6409" max="6409" width="8.140625" style="102" customWidth="1"/>
    <col min="6410" max="6410" width="38.7109375" style="102" customWidth="1"/>
    <col min="6411" max="6411" width="21.140625" style="102" customWidth="1"/>
    <col min="6412" max="6412" width="82" style="102" customWidth="1"/>
    <col min="6413" max="6656" width="9.140625" style="102"/>
    <col min="6657" max="6657" width="11.140625" style="102" customWidth="1"/>
    <col min="6658" max="6658" width="77.28515625" style="102" customWidth="1"/>
    <col min="6659" max="6659" width="8.5703125" style="102" customWidth="1"/>
    <col min="6660" max="6660" width="17.5703125" style="102" customWidth="1"/>
    <col min="6661" max="6661" width="15.28515625" style="102" customWidth="1"/>
    <col min="6662" max="6662" width="48.7109375" style="102" customWidth="1"/>
    <col min="6663" max="6663" width="24.5703125" style="102" customWidth="1"/>
    <col min="6664" max="6664" width="48.7109375" style="102" customWidth="1"/>
    <col min="6665" max="6665" width="8.140625" style="102" customWidth="1"/>
    <col min="6666" max="6666" width="38.7109375" style="102" customWidth="1"/>
    <col min="6667" max="6667" width="21.140625" style="102" customWidth="1"/>
    <col min="6668" max="6668" width="82" style="102" customWidth="1"/>
    <col min="6669" max="6912" width="9.140625" style="102"/>
    <col min="6913" max="6913" width="11.140625" style="102" customWidth="1"/>
    <col min="6914" max="6914" width="77.28515625" style="102" customWidth="1"/>
    <col min="6915" max="6915" width="8.5703125" style="102" customWidth="1"/>
    <col min="6916" max="6916" width="17.5703125" style="102" customWidth="1"/>
    <col min="6917" max="6917" width="15.28515625" style="102" customWidth="1"/>
    <col min="6918" max="6918" width="48.7109375" style="102" customWidth="1"/>
    <col min="6919" max="6919" width="24.5703125" style="102" customWidth="1"/>
    <col min="6920" max="6920" width="48.7109375" style="102" customWidth="1"/>
    <col min="6921" max="6921" width="8.140625" style="102" customWidth="1"/>
    <col min="6922" max="6922" width="38.7109375" style="102" customWidth="1"/>
    <col min="6923" max="6923" width="21.140625" style="102" customWidth="1"/>
    <col min="6924" max="6924" width="82" style="102" customWidth="1"/>
    <col min="6925" max="7168" width="9.140625" style="102"/>
    <col min="7169" max="7169" width="11.140625" style="102" customWidth="1"/>
    <col min="7170" max="7170" width="77.28515625" style="102" customWidth="1"/>
    <col min="7171" max="7171" width="8.5703125" style="102" customWidth="1"/>
    <col min="7172" max="7172" width="17.5703125" style="102" customWidth="1"/>
    <col min="7173" max="7173" width="15.28515625" style="102" customWidth="1"/>
    <col min="7174" max="7174" width="48.7109375" style="102" customWidth="1"/>
    <col min="7175" max="7175" width="24.5703125" style="102" customWidth="1"/>
    <col min="7176" max="7176" width="48.7109375" style="102" customWidth="1"/>
    <col min="7177" max="7177" width="8.140625" style="102" customWidth="1"/>
    <col min="7178" max="7178" width="38.7109375" style="102" customWidth="1"/>
    <col min="7179" max="7179" width="21.140625" style="102" customWidth="1"/>
    <col min="7180" max="7180" width="82" style="102" customWidth="1"/>
    <col min="7181" max="7424" width="9.140625" style="102"/>
    <col min="7425" max="7425" width="11.140625" style="102" customWidth="1"/>
    <col min="7426" max="7426" width="77.28515625" style="102" customWidth="1"/>
    <col min="7427" max="7427" width="8.5703125" style="102" customWidth="1"/>
    <col min="7428" max="7428" width="17.5703125" style="102" customWidth="1"/>
    <col min="7429" max="7429" width="15.28515625" style="102" customWidth="1"/>
    <col min="7430" max="7430" width="48.7109375" style="102" customWidth="1"/>
    <col min="7431" max="7431" width="24.5703125" style="102" customWidth="1"/>
    <col min="7432" max="7432" width="48.7109375" style="102" customWidth="1"/>
    <col min="7433" max="7433" width="8.140625" style="102" customWidth="1"/>
    <col min="7434" max="7434" width="38.7109375" style="102" customWidth="1"/>
    <col min="7435" max="7435" width="21.140625" style="102" customWidth="1"/>
    <col min="7436" max="7436" width="82" style="102" customWidth="1"/>
    <col min="7437" max="7680" width="9.140625" style="102"/>
    <col min="7681" max="7681" width="11.140625" style="102" customWidth="1"/>
    <col min="7682" max="7682" width="77.28515625" style="102" customWidth="1"/>
    <col min="7683" max="7683" width="8.5703125" style="102" customWidth="1"/>
    <col min="7684" max="7684" width="17.5703125" style="102" customWidth="1"/>
    <col min="7685" max="7685" width="15.28515625" style="102" customWidth="1"/>
    <col min="7686" max="7686" width="48.7109375" style="102" customWidth="1"/>
    <col min="7687" max="7687" width="24.5703125" style="102" customWidth="1"/>
    <col min="7688" max="7688" width="48.7109375" style="102" customWidth="1"/>
    <col min="7689" max="7689" width="8.140625" style="102" customWidth="1"/>
    <col min="7690" max="7690" width="38.7109375" style="102" customWidth="1"/>
    <col min="7691" max="7691" width="21.140625" style="102" customWidth="1"/>
    <col min="7692" max="7692" width="82" style="102" customWidth="1"/>
    <col min="7693" max="7936" width="9.140625" style="102"/>
    <col min="7937" max="7937" width="11.140625" style="102" customWidth="1"/>
    <col min="7938" max="7938" width="77.28515625" style="102" customWidth="1"/>
    <col min="7939" max="7939" width="8.5703125" style="102" customWidth="1"/>
    <col min="7940" max="7940" width="17.5703125" style="102" customWidth="1"/>
    <col min="7941" max="7941" width="15.28515625" style="102" customWidth="1"/>
    <col min="7942" max="7942" width="48.7109375" style="102" customWidth="1"/>
    <col min="7943" max="7943" width="24.5703125" style="102" customWidth="1"/>
    <col min="7944" max="7944" width="48.7109375" style="102" customWidth="1"/>
    <col min="7945" max="7945" width="8.140625" style="102" customWidth="1"/>
    <col min="7946" max="7946" width="38.7109375" style="102" customWidth="1"/>
    <col min="7947" max="7947" width="21.140625" style="102" customWidth="1"/>
    <col min="7948" max="7948" width="82" style="102" customWidth="1"/>
    <col min="7949" max="8192" width="9.140625" style="102"/>
    <col min="8193" max="8193" width="11.140625" style="102" customWidth="1"/>
    <col min="8194" max="8194" width="77.28515625" style="102" customWidth="1"/>
    <col min="8195" max="8195" width="8.5703125" style="102" customWidth="1"/>
    <col min="8196" max="8196" width="17.5703125" style="102" customWidth="1"/>
    <col min="8197" max="8197" width="15.28515625" style="102" customWidth="1"/>
    <col min="8198" max="8198" width="48.7109375" style="102" customWidth="1"/>
    <col min="8199" max="8199" width="24.5703125" style="102" customWidth="1"/>
    <col min="8200" max="8200" width="48.7109375" style="102" customWidth="1"/>
    <col min="8201" max="8201" width="8.140625" style="102" customWidth="1"/>
    <col min="8202" max="8202" width="38.7109375" style="102" customWidth="1"/>
    <col min="8203" max="8203" width="21.140625" style="102" customWidth="1"/>
    <col min="8204" max="8204" width="82" style="102" customWidth="1"/>
    <col min="8205" max="8448" width="9.140625" style="102"/>
    <col min="8449" max="8449" width="11.140625" style="102" customWidth="1"/>
    <col min="8450" max="8450" width="77.28515625" style="102" customWidth="1"/>
    <col min="8451" max="8451" width="8.5703125" style="102" customWidth="1"/>
    <col min="8452" max="8452" width="17.5703125" style="102" customWidth="1"/>
    <col min="8453" max="8453" width="15.28515625" style="102" customWidth="1"/>
    <col min="8454" max="8454" width="48.7109375" style="102" customWidth="1"/>
    <col min="8455" max="8455" width="24.5703125" style="102" customWidth="1"/>
    <col min="8456" max="8456" width="48.7109375" style="102" customWidth="1"/>
    <col min="8457" max="8457" width="8.140625" style="102" customWidth="1"/>
    <col min="8458" max="8458" width="38.7109375" style="102" customWidth="1"/>
    <col min="8459" max="8459" width="21.140625" style="102" customWidth="1"/>
    <col min="8460" max="8460" width="82" style="102" customWidth="1"/>
    <col min="8461" max="8704" width="9.140625" style="102"/>
    <col min="8705" max="8705" width="11.140625" style="102" customWidth="1"/>
    <col min="8706" max="8706" width="77.28515625" style="102" customWidth="1"/>
    <col min="8707" max="8707" width="8.5703125" style="102" customWidth="1"/>
    <col min="8708" max="8708" width="17.5703125" style="102" customWidth="1"/>
    <col min="8709" max="8709" width="15.28515625" style="102" customWidth="1"/>
    <col min="8710" max="8710" width="48.7109375" style="102" customWidth="1"/>
    <col min="8711" max="8711" width="24.5703125" style="102" customWidth="1"/>
    <col min="8712" max="8712" width="48.7109375" style="102" customWidth="1"/>
    <col min="8713" max="8713" width="8.140625" style="102" customWidth="1"/>
    <col min="8714" max="8714" width="38.7109375" style="102" customWidth="1"/>
    <col min="8715" max="8715" width="21.140625" style="102" customWidth="1"/>
    <col min="8716" max="8716" width="82" style="102" customWidth="1"/>
    <col min="8717" max="8960" width="9.140625" style="102"/>
    <col min="8961" max="8961" width="11.140625" style="102" customWidth="1"/>
    <col min="8962" max="8962" width="77.28515625" style="102" customWidth="1"/>
    <col min="8963" max="8963" width="8.5703125" style="102" customWidth="1"/>
    <col min="8964" max="8964" width="17.5703125" style="102" customWidth="1"/>
    <col min="8965" max="8965" width="15.28515625" style="102" customWidth="1"/>
    <col min="8966" max="8966" width="48.7109375" style="102" customWidth="1"/>
    <col min="8967" max="8967" width="24.5703125" style="102" customWidth="1"/>
    <col min="8968" max="8968" width="48.7109375" style="102" customWidth="1"/>
    <col min="8969" max="8969" width="8.140625" style="102" customWidth="1"/>
    <col min="8970" max="8970" width="38.7109375" style="102" customWidth="1"/>
    <col min="8971" max="8971" width="21.140625" style="102" customWidth="1"/>
    <col min="8972" max="8972" width="82" style="102" customWidth="1"/>
    <col min="8973" max="9216" width="9.140625" style="102"/>
    <col min="9217" max="9217" width="11.140625" style="102" customWidth="1"/>
    <col min="9218" max="9218" width="77.28515625" style="102" customWidth="1"/>
    <col min="9219" max="9219" width="8.5703125" style="102" customWidth="1"/>
    <col min="9220" max="9220" width="17.5703125" style="102" customWidth="1"/>
    <col min="9221" max="9221" width="15.28515625" style="102" customWidth="1"/>
    <col min="9222" max="9222" width="48.7109375" style="102" customWidth="1"/>
    <col min="9223" max="9223" width="24.5703125" style="102" customWidth="1"/>
    <col min="9224" max="9224" width="48.7109375" style="102" customWidth="1"/>
    <col min="9225" max="9225" width="8.140625" style="102" customWidth="1"/>
    <col min="9226" max="9226" width="38.7109375" style="102" customWidth="1"/>
    <col min="9227" max="9227" width="21.140625" style="102" customWidth="1"/>
    <col min="9228" max="9228" width="82" style="102" customWidth="1"/>
    <col min="9229" max="9472" width="9.140625" style="102"/>
    <col min="9473" max="9473" width="11.140625" style="102" customWidth="1"/>
    <col min="9474" max="9474" width="77.28515625" style="102" customWidth="1"/>
    <col min="9475" max="9475" width="8.5703125" style="102" customWidth="1"/>
    <col min="9476" max="9476" width="17.5703125" style="102" customWidth="1"/>
    <col min="9477" max="9477" width="15.28515625" style="102" customWidth="1"/>
    <col min="9478" max="9478" width="48.7109375" style="102" customWidth="1"/>
    <col min="9479" max="9479" width="24.5703125" style="102" customWidth="1"/>
    <col min="9480" max="9480" width="48.7109375" style="102" customWidth="1"/>
    <col min="9481" max="9481" width="8.140625" style="102" customWidth="1"/>
    <col min="9482" max="9482" width="38.7109375" style="102" customWidth="1"/>
    <col min="9483" max="9483" width="21.140625" style="102" customWidth="1"/>
    <col min="9484" max="9484" width="82" style="102" customWidth="1"/>
    <col min="9485" max="9728" width="9.140625" style="102"/>
    <col min="9729" max="9729" width="11.140625" style="102" customWidth="1"/>
    <col min="9730" max="9730" width="77.28515625" style="102" customWidth="1"/>
    <col min="9731" max="9731" width="8.5703125" style="102" customWidth="1"/>
    <col min="9732" max="9732" width="17.5703125" style="102" customWidth="1"/>
    <col min="9733" max="9733" width="15.28515625" style="102" customWidth="1"/>
    <col min="9734" max="9734" width="48.7109375" style="102" customWidth="1"/>
    <col min="9735" max="9735" width="24.5703125" style="102" customWidth="1"/>
    <col min="9736" max="9736" width="48.7109375" style="102" customWidth="1"/>
    <col min="9737" max="9737" width="8.140625" style="102" customWidth="1"/>
    <col min="9738" max="9738" width="38.7109375" style="102" customWidth="1"/>
    <col min="9739" max="9739" width="21.140625" style="102" customWidth="1"/>
    <col min="9740" max="9740" width="82" style="102" customWidth="1"/>
    <col min="9741" max="9984" width="9.140625" style="102"/>
    <col min="9985" max="9985" width="11.140625" style="102" customWidth="1"/>
    <col min="9986" max="9986" width="77.28515625" style="102" customWidth="1"/>
    <col min="9987" max="9987" width="8.5703125" style="102" customWidth="1"/>
    <col min="9988" max="9988" width="17.5703125" style="102" customWidth="1"/>
    <col min="9989" max="9989" width="15.28515625" style="102" customWidth="1"/>
    <col min="9990" max="9990" width="48.7109375" style="102" customWidth="1"/>
    <col min="9991" max="9991" width="24.5703125" style="102" customWidth="1"/>
    <col min="9992" max="9992" width="48.7109375" style="102" customWidth="1"/>
    <col min="9993" max="9993" width="8.140625" style="102" customWidth="1"/>
    <col min="9994" max="9994" width="38.7109375" style="102" customWidth="1"/>
    <col min="9995" max="9995" width="21.140625" style="102" customWidth="1"/>
    <col min="9996" max="9996" width="82" style="102" customWidth="1"/>
    <col min="9997" max="10240" width="9.140625" style="102"/>
    <col min="10241" max="10241" width="11.140625" style="102" customWidth="1"/>
    <col min="10242" max="10242" width="77.28515625" style="102" customWidth="1"/>
    <col min="10243" max="10243" width="8.5703125" style="102" customWidth="1"/>
    <col min="10244" max="10244" width="17.5703125" style="102" customWidth="1"/>
    <col min="10245" max="10245" width="15.28515625" style="102" customWidth="1"/>
    <col min="10246" max="10246" width="48.7109375" style="102" customWidth="1"/>
    <col min="10247" max="10247" width="24.5703125" style="102" customWidth="1"/>
    <col min="10248" max="10248" width="48.7109375" style="102" customWidth="1"/>
    <col min="10249" max="10249" width="8.140625" style="102" customWidth="1"/>
    <col min="10250" max="10250" width="38.7109375" style="102" customWidth="1"/>
    <col min="10251" max="10251" width="21.140625" style="102" customWidth="1"/>
    <col min="10252" max="10252" width="82" style="102" customWidth="1"/>
    <col min="10253" max="10496" width="9.140625" style="102"/>
    <col min="10497" max="10497" width="11.140625" style="102" customWidth="1"/>
    <col min="10498" max="10498" width="77.28515625" style="102" customWidth="1"/>
    <col min="10499" max="10499" width="8.5703125" style="102" customWidth="1"/>
    <col min="10500" max="10500" width="17.5703125" style="102" customWidth="1"/>
    <col min="10501" max="10501" width="15.28515625" style="102" customWidth="1"/>
    <col min="10502" max="10502" width="48.7109375" style="102" customWidth="1"/>
    <col min="10503" max="10503" width="24.5703125" style="102" customWidth="1"/>
    <col min="10504" max="10504" width="48.7109375" style="102" customWidth="1"/>
    <col min="10505" max="10505" width="8.140625" style="102" customWidth="1"/>
    <col min="10506" max="10506" width="38.7109375" style="102" customWidth="1"/>
    <col min="10507" max="10507" width="21.140625" style="102" customWidth="1"/>
    <col min="10508" max="10508" width="82" style="102" customWidth="1"/>
    <col min="10509" max="10752" width="9.140625" style="102"/>
    <col min="10753" max="10753" width="11.140625" style="102" customWidth="1"/>
    <col min="10754" max="10754" width="77.28515625" style="102" customWidth="1"/>
    <col min="10755" max="10755" width="8.5703125" style="102" customWidth="1"/>
    <col min="10756" max="10756" width="17.5703125" style="102" customWidth="1"/>
    <col min="10757" max="10757" width="15.28515625" style="102" customWidth="1"/>
    <col min="10758" max="10758" width="48.7109375" style="102" customWidth="1"/>
    <col min="10759" max="10759" width="24.5703125" style="102" customWidth="1"/>
    <col min="10760" max="10760" width="48.7109375" style="102" customWidth="1"/>
    <col min="10761" max="10761" width="8.140625" style="102" customWidth="1"/>
    <col min="10762" max="10762" width="38.7109375" style="102" customWidth="1"/>
    <col min="10763" max="10763" width="21.140625" style="102" customWidth="1"/>
    <col min="10764" max="10764" width="82" style="102" customWidth="1"/>
    <col min="10765" max="11008" width="9.140625" style="102"/>
    <col min="11009" max="11009" width="11.140625" style="102" customWidth="1"/>
    <col min="11010" max="11010" width="77.28515625" style="102" customWidth="1"/>
    <col min="11011" max="11011" width="8.5703125" style="102" customWidth="1"/>
    <col min="11012" max="11012" width="17.5703125" style="102" customWidth="1"/>
    <col min="11013" max="11013" width="15.28515625" style="102" customWidth="1"/>
    <col min="11014" max="11014" width="48.7109375" style="102" customWidth="1"/>
    <col min="11015" max="11015" width="24.5703125" style="102" customWidth="1"/>
    <col min="11016" max="11016" width="48.7109375" style="102" customWidth="1"/>
    <col min="11017" max="11017" width="8.140625" style="102" customWidth="1"/>
    <col min="11018" max="11018" width="38.7109375" style="102" customWidth="1"/>
    <col min="11019" max="11019" width="21.140625" style="102" customWidth="1"/>
    <col min="11020" max="11020" width="82" style="102" customWidth="1"/>
    <col min="11021" max="11264" width="9.140625" style="102"/>
    <col min="11265" max="11265" width="11.140625" style="102" customWidth="1"/>
    <col min="11266" max="11266" width="77.28515625" style="102" customWidth="1"/>
    <col min="11267" max="11267" width="8.5703125" style="102" customWidth="1"/>
    <col min="11268" max="11268" width="17.5703125" style="102" customWidth="1"/>
    <col min="11269" max="11269" width="15.28515625" style="102" customWidth="1"/>
    <col min="11270" max="11270" width="48.7109375" style="102" customWidth="1"/>
    <col min="11271" max="11271" width="24.5703125" style="102" customWidth="1"/>
    <col min="11272" max="11272" width="48.7109375" style="102" customWidth="1"/>
    <col min="11273" max="11273" width="8.140625" style="102" customWidth="1"/>
    <col min="11274" max="11274" width="38.7109375" style="102" customWidth="1"/>
    <col min="11275" max="11275" width="21.140625" style="102" customWidth="1"/>
    <col min="11276" max="11276" width="82" style="102" customWidth="1"/>
    <col min="11277" max="11520" width="9.140625" style="102"/>
    <col min="11521" max="11521" width="11.140625" style="102" customWidth="1"/>
    <col min="11522" max="11522" width="77.28515625" style="102" customWidth="1"/>
    <col min="11523" max="11523" width="8.5703125" style="102" customWidth="1"/>
    <col min="11524" max="11524" width="17.5703125" style="102" customWidth="1"/>
    <col min="11525" max="11525" width="15.28515625" style="102" customWidth="1"/>
    <col min="11526" max="11526" width="48.7109375" style="102" customWidth="1"/>
    <col min="11527" max="11527" width="24.5703125" style="102" customWidth="1"/>
    <col min="11528" max="11528" width="48.7109375" style="102" customWidth="1"/>
    <col min="11529" max="11529" width="8.140625" style="102" customWidth="1"/>
    <col min="11530" max="11530" width="38.7109375" style="102" customWidth="1"/>
    <col min="11531" max="11531" width="21.140625" style="102" customWidth="1"/>
    <col min="11532" max="11532" width="82" style="102" customWidth="1"/>
    <col min="11533" max="11776" width="9.140625" style="102"/>
    <col min="11777" max="11777" width="11.140625" style="102" customWidth="1"/>
    <col min="11778" max="11778" width="77.28515625" style="102" customWidth="1"/>
    <col min="11779" max="11779" width="8.5703125" style="102" customWidth="1"/>
    <col min="11780" max="11780" width="17.5703125" style="102" customWidth="1"/>
    <col min="11781" max="11781" width="15.28515625" style="102" customWidth="1"/>
    <col min="11782" max="11782" width="48.7109375" style="102" customWidth="1"/>
    <col min="11783" max="11783" width="24.5703125" style="102" customWidth="1"/>
    <col min="11784" max="11784" width="48.7109375" style="102" customWidth="1"/>
    <col min="11785" max="11785" width="8.140625" style="102" customWidth="1"/>
    <col min="11786" max="11786" width="38.7109375" style="102" customWidth="1"/>
    <col min="11787" max="11787" width="21.140625" style="102" customWidth="1"/>
    <col min="11788" max="11788" width="82" style="102" customWidth="1"/>
    <col min="11789" max="12032" width="9.140625" style="102"/>
    <col min="12033" max="12033" width="11.140625" style="102" customWidth="1"/>
    <col min="12034" max="12034" width="77.28515625" style="102" customWidth="1"/>
    <col min="12035" max="12035" width="8.5703125" style="102" customWidth="1"/>
    <col min="12036" max="12036" width="17.5703125" style="102" customWidth="1"/>
    <col min="12037" max="12037" width="15.28515625" style="102" customWidth="1"/>
    <col min="12038" max="12038" width="48.7109375" style="102" customWidth="1"/>
    <col min="12039" max="12039" width="24.5703125" style="102" customWidth="1"/>
    <col min="12040" max="12040" width="48.7109375" style="102" customWidth="1"/>
    <col min="12041" max="12041" width="8.140625" style="102" customWidth="1"/>
    <col min="12042" max="12042" width="38.7109375" style="102" customWidth="1"/>
    <col min="12043" max="12043" width="21.140625" style="102" customWidth="1"/>
    <col min="12044" max="12044" width="82" style="102" customWidth="1"/>
    <col min="12045" max="12288" width="9.140625" style="102"/>
    <col min="12289" max="12289" width="11.140625" style="102" customWidth="1"/>
    <col min="12290" max="12290" width="77.28515625" style="102" customWidth="1"/>
    <col min="12291" max="12291" width="8.5703125" style="102" customWidth="1"/>
    <col min="12292" max="12292" width="17.5703125" style="102" customWidth="1"/>
    <col min="12293" max="12293" width="15.28515625" style="102" customWidth="1"/>
    <col min="12294" max="12294" width="48.7109375" style="102" customWidth="1"/>
    <col min="12295" max="12295" width="24.5703125" style="102" customWidth="1"/>
    <col min="12296" max="12296" width="48.7109375" style="102" customWidth="1"/>
    <col min="12297" max="12297" width="8.140625" style="102" customWidth="1"/>
    <col min="12298" max="12298" width="38.7109375" style="102" customWidth="1"/>
    <col min="12299" max="12299" width="21.140625" style="102" customWidth="1"/>
    <col min="12300" max="12300" width="82" style="102" customWidth="1"/>
    <col min="12301" max="12544" width="9.140625" style="102"/>
    <col min="12545" max="12545" width="11.140625" style="102" customWidth="1"/>
    <col min="12546" max="12546" width="77.28515625" style="102" customWidth="1"/>
    <col min="12547" max="12547" width="8.5703125" style="102" customWidth="1"/>
    <col min="12548" max="12548" width="17.5703125" style="102" customWidth="1"/>
    <col min="12549" max="12549" width="15.28515625" style="102" customWidth="1"/>
    <col min="12550" max="12550" width="48.7109375" style="102" customWidth="1"/>
    <col min="12551" max="12551" width="24.5703125" style="102" customWidth="1"/>
    <col min="12552" max="12552" width="48.7109375" style="102" customWidth="1"/>
    <col min="12553" max="12553" width="8.140625" style="102" customWidth="1"/>
    <col min="12554" max="12554" width="38.7109375" style="102" customWidth="1"/>
    <col min="12555" max="12555" width="21.140625" style="102" customWidth="1"/>
    <col min="12556" max="12556" width="82" style="102" customWidth="1"/>
    <col min="12557" max="12800" width="9.140625" style="102"/>
    <col min="12801" max="12801" width="11.140625" style="102" customWidth="1"/>
    <col min="12802" max="12802" width="77.28515625" style="102" customWidth="1"/>
    <col min="12803" max="12803" width="8.5703125" style="102" customWidth="1"/>
    <col min="12804" max="12804" width="17.5703125" style="102" customWidth="1"/>
    <col min="12805" max="12805" width="15.28515625" style="102" customWidth="1"/>
    <col min="12806" max="12806" width="48.7109375" style="102" customWidth="1"/>
    <col min="12807" max="12807" width="24.5703125" style="102" customWidth="1"/>
    <col min="12808" max="12808" width="48.7109375" style="102" customWidth="1"/>
    <col min="12809" max="12809" width="8.140625" style="102" customWidth="1"/>
    <col min="12810" max="12810" width="38.7109375" style="102" customWidth="1"/>
    <col min="12811" max="12811" width="21.140625" style="102" customWidth="1"/>
    <col min="12812" max="12812" width="82" style="102" customWidth="1"/>
    <col min="12813" max="13056" width="9.140625" style="102"/>
    <col min="13057" max="13057" width="11.140625" style="102" customWidth="1"/>
    <col min="13058" max="13058" width="77.28515625" style="102" customWidth="1"/>
    <col min="13059" max="13059" width="8.5703125" style="102" customWidth="1"/>
    <col min="13060" max="13060" width="17.5703125" style="102" customWidth="1"/>
    <col min="13061" max="13061" width="15.28515625" style="102" customWidth="1"/>
    <col min="13062" max="13062" width="48.7109375" style="102" customWidth="1"/>
    <col min="13063" max="13063" width="24.5703125" style="102" customWidth="1"/>
    <col min="13064" max="13064" width="48.7109375" style="102" customWidth="1"/>
    <col min="13065" max="13065" width="8.140625" style="102" customWidth="1"/>
    <col min="13066" max="13066" width="38.7109375" style="102" customWidth="1"/>
    <col min="13067" max="13067" width="21.140625" style="102" customWidth="1"/>
    <col min="13068" max="13068" width="82" style="102" customWidth="1"/>
    <col min="13069" max="13312" width="9.140625" style="102"/>
    <col min="13313" max="13313" width="11.140625" style="102" customWidth="1"/>
    <col min="13314" max="13314" width="77.28515625" style="102" customWidth="1"/>
    <col min="13315" max="13315" width="8.5703125" style="102" customWidth="1"/>
    <col min="13316" max="13316" width="17.5703125" style="102" customWidth="1"/>
    <col min="13317" max="13317" width="15.28515625" style="102" customWidth="1"/>
    <col min="13318" max="13318" width="48.7109375" style="102" customWidth="1"/>
    <col min="13319" max="13319" width="24.5703125" style="102" customWidth="1"/>
    <col min="13320" max="13320" width="48.7109375" style="102" customWidth="1"/>
    <col min="13321" max="13321" width="8.140625" style="102" customWidth="1"/>
    <col min="13322" max="13322" width="38.7109375" style="102" customWidth="1"/>
    <col min="13323" max="13323" width="21.140625" style="102" customWidth="1"/>
    <col min="13324" max="13324" width="82" style="102" customWidth="1"/>
    <col min="13325" max="13568" width="9.140625" style="102"/>
    <col min="13569" max="13569" width="11.140625" style="102" customWidth="1"/>
    <col min="13570" max="13570" width="77.28515625" style="102" customWidth="1"/>
    <col min="13571" max="13571" width="8.5703125" style="102" customWidth="1"/>
    <col min="13572" max="13572" width="17.5703125" style="102" customWidth="1"/>
    <col min="13573" max="13573" width="15.28515625" style="102" customWidth="1"/>
    <col min="13574" max="13574" width="48.7109375" style="102" customWidth="1"/>
    <col min="13575" max="13575" width="24.5703125" style="102" customWidth="1"/>
    <col min="13576" max="13576" width="48.7109375" style="102" customWidth="1"/>
    <col min="13577" max="13577" width="8.140625" style="102" customWidth="1"/>
    <col min="13578" max="13578" width="38.7109375" style="102" customWidth="1"/>
    <col min="13579" max="13579" width="21.140625" style="102" customWidth="1"/>
    <col min="13580" max="13580" width="82" style="102" customWidth="1"/>
    <col min="13581" max="13824" width="9.140625" style="102"/>
    <col min="13825" max="13825" width="11.140625" style="102" customWidth="1"/>
    <col min="13826" max="13826" width="77.28515625" style="102" customWidth="1"/>
    <col min="13827" max="13827" width="8.5703125" style="102" customWidth="1"/>
    <col min="13828" max="13828" width="17.5703125" style="102" customWidth="1"/>
    <col min="13829" max="13829" width="15.28515625" style="102" customWidth="1"/>
    <col min="13830" max="13830" width="48.7109375" style="102" customWidth="1"/>
    <col min="13831" max="13831" width="24.5703125" style="102" customWidth="1"/>
    <col min="13832" max="13832" width="48.7109375" style="102" customWidth="1"/>
    <col min="13833" max="13833" width="8.140625" style="102" customWidth="1"/>
    <col min="13834" max="13834" width="38.7109375" style="102" customWidth="1"/>
    <col min="13835" max="13835" width="21.140625" style="102" customWidth="1"/>
    <col min="13836" max="13836" width="82" style="102" customWidth="1"/>
    <col min="13837" max="14080" width="9.140625" style="102"/>
    <col min="14081" max="14081" width="11.140625" style="102" customWidth="1"/>
    <col min="14082" max="14082" width="77.28515625" style="102" customWidth="1"/>
    <col min="14083" max="14083" width="8.5703125" style="102" customWidth="1"/>
    <col min="14084" max="14084" width="17.5703125" style="102" customWidth="1"/>
    <col min="14085" max="14085" width="15.28515625" style="102" customWidth="1"/>
    <col min="14086" max="14086" width="48.7109375" style="102" customWidth="1"/>
    <col min="14087" max="14087" width="24.5703125" style="102" customWidth="1"/>
    <col min="14088" max="14088" width="48.7109375" style="102" customWidth="1"/>
    <col min="14089" max="14089" width="8.140625" style="102" customWidth="1"/>
    <col min="14090" max="14090" width="38.7109375" style="102" customWidth="1"/>
    <col min="14091" max="14091" width="21.140625" style="102" customWidth="1"/>
    <col min="14092" max="14092" width="82" style="102" customWidth="1"/>
    <col min="14093" max="14336" width="9.140625" style="102"/>
    <col min="14337" max="14337" width="11.140625" style="102" customWidth="1"/>
    <col min="14338" max="14338" width="77.28515625" style="102" customWidth="1"/>
    <col min="14339" max="14339" width="8.5703125" style="102" customWidth="1"/>
    <col min="14340" max="14340" width="17.5703125" style="102" customWidth="1"/>
    <col min="14341" max="14341" width="15.28515625" style="102" customWidth="1"/>
    <col min="14342" max="14342" width="48.7109375" style="102" customWidth="1"/>
    <col min="14343" max="14343" width="24.5703125" style="102" customWidth="1"/>
    <col min="14344" max="14344" width="48.7109375" style="102" customWidth="1"/>
    <col min="14345" max="14345" width="8.140625" style="102" customWidth="1"/>
    <col min="14346" max="14346" width="38.7109375" style="102" customWidth="1"/>
    <col min="14347" max="14347" width="21.140625" style="102" customWidth="1"/>
    <col min="14348" max="14348" width="82" style="102" customWidth="1"/>
    <col min="14349" max="14592" width="9.140625" style="102"/>
    <col min="14593" max="14593" width="11.140625" style="102" customWidth="1"/>
    <col min="14594" max="14594" width="77.28515625" style="102" customWidth="1"/>
    <col min="14595" max="14595" width="8.5703125" style="102" customWidth="1"/>
    <col min="14596" max="14596" width="17.5703125" style="102" customWidth="1"/>
    <col min="14597" max="14597" width="15.28515625" style="102" customWidth="1"/>
    <col min="14598" max="14598" width="48.7109375" style="102" customWidth="1"/>
    <col min="14599" max="14599" width="24.5703125" style="102" customWidth="1"/>
    <col min="14600" max="14600" width="48.7109375" style="102" customWidth="1"/>
    <col min="14601" max="14601" width="8.140625" style="102" customWidth="1"/>
    <col min="14602" max="14602" width="38.7109375" style="102" customWidth="1"/>
    <col min="14603" max="14603" width="21.140625" style="102" customWidth="1"/>
    <col min="14604" max="14604" width="82" style="102" customWidth="1"/>
    <col min="14605" max="14848" width="9.140625" style="102"/>
    <col min="14849" max="14849" width="11.140625" style="102" customWidth="1"/>
    <col min="14850" max="14850" width="77.28515625" style="102" customWidth="1"/>
    <col min="14851" max="14851" width="8.5703125" style="102" customWidth="1"/>
    <col min="14852" max="14852" width="17.5703125" style="102" customWidth="1"/>
    <col min="14853" max="14853" width="15.28515625" style="102" customWidth="1"/>
    <col min="14854" max="14854" width="48.7109375" style="102" customWidth="1"/>
    <col min="14855" max="14855" width="24.5703125" style="102" customWidth="1"/>
    <col min="14856" max="14856" width="48.7109375" style="102" customWidth="1"/>
    <col min="14857" max="14857" width="8.140625" style="102" customWidth="1"/>
    <col min="14858" max="14858" width="38.7109375" style="102" customWidth="1"/>
    <col min="14859" max="14859" width="21.140625" style="102" customWidth="1"/>
    <col min="14860" max="14860" width="82" style="102" customWidth="1"/>
    <col min="14861" max="15104" width="9.140625" style="102"/>
    <col min="15105" max="15105" width="11.140625" style="102" customWidth="1"/>
    <col min="15106" max="15106" width="77.28515625" style="102" customWidth="1"/>
    <col min="15107" max="15107" width="8.5703125" style="102" customWidth="1"/>
    <col min="15108" max="15108" width="17.5703125" style="102" customWidth="1"/>
    <col min="15109" max="15109" width="15.28515625" style="102" customWidth="1"/>
    <col min="15110" max="15110" width="48.7109375" style="102" customWidth="1"/>
    <col min="15111" max="15111" width="24.5703125" style="102" customWidth="1"/>
    <col min="15112" max="15112" width="48.7109375" style="102" customWidth="1"/>
    <col min="15113" max="15113" width="8.140625" style="102" customWidth="1"/>
    <col min="15114" max="15114" width="38.7109375" style="102" customWidth="1"/>
    <col min="15115" max="15115" width="21.140625" style="102" customWidth="1"/>
    <col min="15116" max="15116" width="82" style="102" customWidth="1"/>
    <col min="15117" max="15360" width="9.140625" style="102"/>
    <col min="15361" max="15361" width="11.140625" style="102" customWidth="1"/>
    <col min="15362" max="15362" width="77.28515625" style="102" customWidth="1"/>
    <col min="15363" max="15363" width="8.5703125" style="102" customWidth="1"/>
    <col min="15364" max="15364" width="17.5703125" style="102" customWidth="1"/>
    <col min="15365" max="15365" width="15.28515625" style="102" customWidth="1"/>
    <col min="15366" max="15366" width="48.7109375" style="102" customWidth="1"/>
    <col min="15367" max="15367" width="24.5703125" style="102" customWidth="1"/>
    <col min="15368" max="15368" width="48.7109375" style="102" customWidth="1"/>
    <col min="15369" max="15369" width="8.140625" style="102" customWidth="1"/>
    <col min="15370" max="15370" width="38.7109375" style="102" customWidth="1"/>
    <col min="15371" max="15371" width="21.140625" style="102" customWidth="1"/>
    <col min="15372" max="15372" width="82" style="102" customWidth="1"/>
    <col min="15373" max="15616" width="9.140625" style="102"/>
    <col min="15617" max="15617" width="11.140625" style="102" customWidth="1"/>
    <col min="15618" max="15618" width="77.28515625" style="102" customWidth="1"/>
    <col min="15619" max="15619" width="8.5703125" style="102" customWidth="1"/>
    <col min="15620" max="15620" width="17.5703125" style="102" customWidth="1"/>
    <col min="15621" max="15621" width="15.28515625" style="102" customWidth="1"/>
    <col min="15622" max="15622" width="48.7109375" style="102" customWidth="1"/>
    <col min="15623" max="15623" width="24.5703125" style="102" customWidth="1"/>
    <col min="15624" max="15624" width="48.7109375" style="102" customWidth="1"/>
    <col min="15625" max="15625" width="8.140625" style="102" customWidth="1"/>
    <col min="15626" max="15626" width="38.7109375" style="102" customWidth="1"/>
    <col min="15627" max="15627" width="21.140625" style="102" customWidth="1"/>
    <col min="15628" max="15628" width="82" style="102" customWidth="1"/>
    <col min="15629" max="15872" width="9.140625" style="102"/>
    <col min="15873" max="15873" width="11.140625" style="102" customWidth="1"/>
    <col min="15874" max="15874" width="77.28515625" style="102" customWidth="1"/>
    <col min="15875" max="15875" width="8.5703125" style="102" customWidth="1"/>
    <col min="15876" max="15876" width="17.5703125" style="102" customWidth="1"/>
    <col min="15877" max="15877" width="15.28515625" style="102" customWidth="1"/>
    <col min="15878" max="15878" width="48.7109375" style="102" customWidth="1"/>
    <col min="15879" max="15879" width="24.5703125" style="102" customWidth="1"/>
    <col min="15880" max="15880" width="48.7109375" style="102" customWidth="1"/>
    <col min="15881" max="15881" width="8.140625" style="102" customWidth="1"/>
    <col min="15882" max="15882" width="38.7109375" style="102" customWidth="1"/>
    <col min="15883" max="15883" width="21.140625" style="102" customWidth="1"/>
    <col min="15884" max="15884" width="82" style="102" customWidth="1"/>
    <col min="15885" max="16128" width="9.140625" style="102"/>
    <col min="16129" max="16129" width="11.140625" style="102" customWidth="1"/>
    <col min="16130" max="16130" width="77.28515625" style="102" customWidth="1"/>
    <col min="16131" max="16131" width="8.5703125" style="102" customWidth="1"/>
    <col min="16132" max="16132" width="17.5703125" style="102" customWidth="1"/>
    <col min="16133" max="16133" width="15.28515625" style="102" customWidth="1"/>
    <col min="16134" max="16134" width="48.7109375" style="102" customWidth="1"/>
    <col min="16135" max="16135" width="24.5703125" style="102" customWidth="1"/>
    <col min="16136" max="16136" width="48.7109375" style="102" customWidth="1"/>
    <col min="16137" max="16137" width="8.140625" style="102" customWidth="1"/>
    <col min="16138" max="16138" width="38.7109375" style="102" customWidth="1"/>
    <col min="16139" max="16139" width="21.140625" style="102" customWidth="1"/>
    <col min="16140" max="16140" width="82" style="102" customWidth="1"/>
    <col min="16141" max="16384" width="9.140625" style="102"/>
  </cols>
  <sheetData>
    <row r="1" spans="1:13" customFormat="1" ht="15" x14ac:dyDescent="0.25">
      <c r="A1" s="459" t="s">
        <v>12770</v>
      </c>
      <c r="B1" s="460"/>
      <c r="C1" s="461"/>
      <c r="D1" s="461"/>
    </row>
    <row r="2" spans="1:13" customFormat="1" ht="15" x14ac:dyDescent="0.25">
      <c r="A2" s="459" t="s">
        <v>8324</v>
      </c>
      <c r="B2" s="460"/>
      <c r="C2" s="461"/>
      <c r="D2" s="461"/>
    </row>
    <row r="3" spans="1:13" customFormat="1" ht="15" x14ac:dyDescent="0.25">
      <c r="A3" s="459" t="s">
        <v>12771</v>
      </c>
      <c r="B3" s="460"/>
      <c r="C3" s="461"/>
      <c r="D3" s="461"/>
    </row>
    <row r="4" spans="1:13" s="101" customFormat="1" ht="15" x14ac:dyDescent="0.25">
      <c r="A4"/>
      <c r="B4"/>
      <c r="C4"/>
      <c r="D4"/>
      <c r="E4"/>
      <c r="F4"/>
      <c r="G4"/>
      <c r="H4"/>
      <c r="I4"/>
      <c r="J4"/>
      <c r="K4"/>
      <c r="L4"/>
      <c r="M4"/>
    </row>
    <row r="5" spans="1:13" s="101" customFormat="1" ht="15" x14ac:dyDescent="0.25">
      <c r="A5" s="508" t="s">
        <v>3540</v>
      </c>
      <c r="B5" s="509" t="s">
        <v>192</v>
      </c>
      <c r="C5" s="508" t="s">
        <v>193</v>
      </c>
      <c r="D5" s="508" t="s">
        <v>155</v>
      </c>
      <c r="E5" s="508" t="s">
        <v>1978</v>
      </c>
      <c r="F5" s="205"/>
      <c r="G5" s="205"/>
      <c r="H5" s="205"/>
      <c r="I5" s="205"/>
      <c r="J5" s="205"/>
      <c r="K5" s="205"/>
      <c r="L5" s="205"/>
      <c r="M5"/>
    </row>
    <row r="6" spans="1:13" ht="15" x14ac:dyDescent="0.25">
      <c r="A6" s="461"/>
      <c r="B6" s="460"/>
      <c r="C6" s="461"/>
      <c r="D6" s="461"/>
      <c r="E6"/>
    </row>
    <row r="7" spans="1:13" ht="40.5" x14ac:dyDescent="0.25">
      <c r="A7" s="508">
        <v>97141</v>
      </c>
      <c r="B7" s="509" t="s">
        <v>12772</v>
      </c>
      <c r="C7" s="508" t="s">
        <v>5</v>
      </c>
      <c r="D7" s="508">
        <v>4.78</v>
      </c>
      <c r="E7" s="461" t="s">
        <v>174</v>
      </c>
    </row>
    <row r="8" spans="1:13" ht="40.5" x14ac:dyDescent="0.25">
      <c r="A8" s="508">
        <v>97142</v>
      </c>
      <c r="B8" s="509" t="s">
        <v>12773</v>
      </c>
      <c r="C8" s="508" t="s">
        <v>5</v>
      </c>
      <c r="D8" s="508">
        <v>5.55</v>
      </c>
      <c r="E8" s="461" t="s">
        <v>174</v>
      </c>
    </row>
    <row r="9" spans="1:13" ht="40.5" x14ac:dyDescent="0.25">
      <c r="A9" s="508">
        <v>97143</v>
      </c>
      <c r="B9" s="509" t="s">
        <v>12774</v>
      </c>
      <c r="C9" s="508" t="s">
        <v>5</v>
      </c>
      <c r="D9" s="508">
        <v>7.43</v>
      </c>
      <c r="E9" s="461" t="s">
        <v>174</v>
      </c>
    </row>
    <row r="10" spans="1:13" ht="40.5" x14ac:dyDescent="0.25">
      <c r="A10" s="508">
        <v>97144</v>
      </c>
      <c r="B10" s="509" t="s">
        <v>12775</v>
      </c>
      <c r="C10" s="508" t="s">
        <v>5</v>
      </c>
      <c r="D10" s="508">
        <v>9.33</v>
      </c>
      <c r="E10" s="461" t="s">
        <v>174</v>
      </c>
    </row>
    <row r="11" spans="1:13" ht="40.5" x14ac:dyDescent="0.25">
      <c r="A11" s="508">
        <v>97145</v>
      </c>
      <c r="B11" s="509" t="s">
        <v>12776</v>
      </c>
      <c r="C11" s="508" t="s">
        <v>5</v>
      </c>
      <c r="D11" s="508">
        <v>11.25</v>
      </c>
      <c r="E11" s="461" t="s">
        <v>174</v>
      </c>
    </row>
    <row r="12" spans="1:13" ht="40.5" x14ac:dyDescent="0.25">
      <c r="A12" s="508">
        <v>97146</v>
      </c>
      <c r="B12" s="509" t="s">
        <v>12777</v>
      </c>
      <c r="C12" s="508" t="s">
        <v>5</v>
      </c>
      <c r="D12" s="508">
        <v>13.16</v>
      </c>
      <c r="E12" s="461" t="s">
        <v>174</v>
      </c>
    </row>
    <row r="13" spans="1:13" ht="40.5" x14ac:dyDescent="0.25">
      <c r="A13" s="508">
        <v>97147</v>
      </c>
      <c r="B13" s="509" t="s">
        <v>12778</v>
      </c>
      <c r="C13" s="508" t="s">
        <v>5</v>
      </c>
      <c r="D13" s="508">
        <v>15.07</v>
      </c>
      <c r="E13" s="461" t="s">
        <v>174</v>
      </c>
    </row>
    <row r="14" spans="1:13" ht="40.5" x14ac:dyDescent="0.25">
      <c r="A14" s="508">
        <v>97148</v>
      </c>
      <c r="B14" s="509" t="s">
        <v>12779</v>
      </c>
      <c r="C14" s="508" t="s">
        <v>5</v>
      </c>
      <c r="D14" s="508">
        <v>16.97</v>
      </c>
      <c r="E14" s="461" t="s">
        <v>174</v>
      </c>
    </row>
    <row r="15" spans="1:13" ht="40.5" x14ac:dyDescent="0.25">
      <c r="A15" s="508">
        <v>97149</v>
      </c>
      <c r="B15" s="509" t="s">
        <v>12780</v>
      </c>
      <c r="C15" s="508" t="s">
        <v>5</v>
      </c>
      <c r="D15" s="508">
        <v>18.93</v>
      </c>
      <c r="E15" s="461" t="s">
        <v>174</v>
      </c>
    </row>
    <row r="16" spans="1:13" ht="40.5" x14ac:dyDescent="0.25">
      <c r="A16" s="508">
        <v>97150</v>
      </c>
      <c r="B16" s="509" t="s">
        <v>12781</v>
      </c>
      <c r="C16" s="508" t="s">
        <v>5</v>
      </c>
      <c r="D16" s="508">
        <v>24.19</v>
      </c>
      <c r="E16" s="461" t="s">
        <v>174</v>
      </c>
    </row>
    <row r="17" spans="1:5" ht="40.5" x14ac:dyDescent="0.25">
      <c r="A17" s="508">
        <v>97151</v>
      </c>
      <c r="B17" s="509" t="s">
        <v>12782</v>
      </c>
      <c r="C17" s="508" t="s">
        <v>5</v>
      </c>
      <c r="D17" s="508">
        <v>28.58</v>
      </c>
      <c r="E17" s="461" t="s">
        <v>174</v>
      </c>
    </row>
    <row r="18" spans="1:5" ht="40.5" x14ac:dyDescent="0.25">
      <c r="A18" s="508">
        <v>97152</v>
      </c>
      <c r="B18" s="509" t="s">
        <v>12783</v>
      </c>
      <c r="C18" s="508" t="s">
        <v>5</v>
      </c>
      <c r="D18" s="508">
        <v>32.659999999999997</v>
      </c>
      <c r="E18" s="461" t="s">
        <v>174</v>
      </c>
    </row>
    <row r="19" spans="1:5" ht="40.5" x14ac:dyDescent="0.25">
      <c r="A19" s="508">
        <v>97153</v>
      </c>
      <c r="B19" s="509" t="s">
        <v>12784</v>
      </c>
      <c r="C19" s="508" t="s">
        <v>5</v>
      </c>
      <c r="D19" s="508">
        <v>36.94</v>
      </c>
      <c r="E19" s="461" t="s">
        <v>174</v>
      </c>
    </row>
    <row r="20" spans="1:5" ht="40.5" x14ac:dyDescent="0.25">
      <c r="A20" s="508">
        <v>97154</v>
      </c>
      <c r="B20" s="509" t="s">
        <v>12785</v>
      </c>
      <c r="C20" s="508" t="s">
        <v>5</v>
      </c>
      <c r="D20" s="508">
        <v>41.25</v>
      </c>
      <c r="E20" s="461" t="s">
        <v>174</v>
      </c>
    </row>
    <row r="21" spans="1:5" ht="40.5" x14ac:dyDescent="0.25">
      <c r="A21" s="508">
        <v>97155</v>
      </c>
      <c r="B21" s="509" t="s">
        <v>12786</v>
      </c>
      <c r="C21" s="508" t="s">
        <v>5</v>
      </c>
      <c r="D21" s="508">
        <v>45.57</v>
      </c>
      <c r="E21" s="461" t="s">
        <v>174</v>
      </c>
    </row>
    <row r="22" spans="1:5" ht="40.5" x14ac:dyDescent="0.25">
      <c r="A22" s="508">
        <v>97156</v>
      </c>
      <c r="B22" s="509" t="s">
        <v>12787</v>
      </c>
      <c r="C22" s="508" t="s">
        <v>5</v>
      </c>
      <c r="D22" s="508">
        <v>54.65</v>
      </c>
      <c r="E22" s="461" t="s">
        <v>174</v>
      </c>
    </row>
    <row r="23" spans="1:5" ht="40.5" x14ac:dyDescent="0.25">
      <c r="A23" s="508">
        <v>97157</v>
      </c>
      <c r="B23" s="509" t="s">
        <v>12788</v>
      </c>
      <c r="C23" s="508" t="s">
        <v>5</v>
      </c>
      <c r="D23" s="508">
        <v>3.69</v>
      </c>
      <c r="E23" s="461" t="s">
        <v>174</v>
      </c>
    </row>
    <row r="24" spans="1:5" ht="40.5" x14ac:dyDescent="0.25">
      <c r="A24" s="508">
        <v>97158</v>
      </c>
      <c r="B24" s="509" t="s">
        <v>12789</v>
      </c>
      <c r="C24" s="508" t="s">
        <v>5</v>
      </c>
      <c r="D24" s="508">
        <v>4.33</v>
      </c>
      <c r="E24" s="461" t="s">
        <v>174</v>
      </c>
    </row>
    <row r="25" spans="1:5" ht="40.5" x14ac:dyDescent="0.25">
      <c r="A25" s="508">
        <v>97159</v>
      </c>
      <c r="B25" s="509" t="s">
        <v>12790</v>
      </c>
      <c r="C25" s="508" t="s">
        <v>5</v>
      </c>
      <c r="D25" s="508">
        <v>5.9</v>
      </c>
      <c r="E25" s="461" t="s">
        <v>174</v>
      </c>
    </row>
    <row r="26" spans="1:5" ht="40.5" x14ac:dyDescent="0.25">
      <c r="A26" s="508">
        <v>97160</v>
      </c>
      <c r="B26" s="509" t="s">
        <v>12791</v>
      </c>
      <c r="C26" s="508" t="s">
        <v>5</v>
      </c>
      <c r="D26" s="508">
        <v>7.5</v>
      </c>
      <c r="E26" s="461" t="s">
        <v>174</v>
      </c>
    </row>
    <row r="27" spans="1:5" ht="40.5" x14ac:dyDescent="0.25">
      <c r="A27" s="508">
        <v>97161</v>
      </c>
      <c r="B27" s="509" t="s">
        <v>12792</v>
      </c>
      <c r="C27" s="508" t="s">
        <v>5</v>
      </c>
      <c r="D27" s="508">
        <v>9.09</v>
      </c>
      <c r="E27" s="461" t="s">
        <v>174</v>
      </c>
    </row>
    <row r="28" spans="1:5" ht="40.5" x14ac:dyDescent="0.25">
      <c r="A28" s="508">
        <v>97162</v>
      </c>
      <c r="B28" s="509" t="s">
        <v>12793</v>
      </c>
      <c r="C28" s="508" t="s">
        <v>5</v>
      </c>
      <c r="D28" s="508">
        <v>10.7</v>
      </c>
      <c r="E28" s="461" t="s">
        <v>174</v>
      </c>
    </row>
    <row r="29" spans="1:5" ht="40.5" x14ac:dyDescent="0.25">
      <c r="A29" s="508">
        <v>97163</v>
      </c>
      <c r="B29" s="509" t="s">
        <v>12794</v>
      </c>
      <c r="C29" s="508" t="s">
        <v>5</v>
      </c>
      <c r="D29" s="508">
        <v>12.29</v>
      </c>
      <c r="E29" s="461" t="s">
        <v>174</v>
      </c>
    </row>
    <row r="30" spans="1:5" ht="40.5" x14ac:dyDescent="0.25">
      <c r="A30" s="508">
        <v>97164</v>
      </c>
      <c r="B30" s="509" t="s">
        <v>12795</v>
      </c>
      <c r="C30" s="508" t="s">
        <v>5</v>
      </c>
      <c r="D30" s="508">
        <v>13.9</v>
      </c>
      <c r="E30" s="461" t="s">
        <v>174</v>
      </c>
    </row>
    <row r="31" spans="1:5" ht="40.5" x14ac:dyDescent="0.25">
      <c r="A31" s="508">
        <v>97165</v>
      </c>
      <c r="B31" s="509" t="s">
        <v>12796</v>
      </c>
      <c r="C31" s="508" t="s">
        <v>5</v>
      </c>
      <c r="D31" s="508">
        <v>15.53</v>
      </c>
      <c r="E31" s="461" t="s">
        <v>174</v>
      </c>
    </row>
    <row r="32" spans="1:5" ht="40.5" x14ac:dyDescent="0.25">
      <c r="A32" s="508">
        <v>97166</v>
      </c>
      <c r="B32" s="509" t="s">
        <v>12797</v>
      </c>
      <c r="C32" s="508" t="s">
        <v>5</v>
      </c>
      <c r="D32" s="508">
        <v>19.38</v>
      </c>
      <c r="E32" s="461" t="s">
        <v>174</v>
      </c>
    </row>
    <row r="33" spans="1:5" ht="40.5" x14ac:dyDescent="0.25">
      <c r="A33" s="508">
        <v>97167</v>
      </c>
      <c r="B33" s="509" t="s">
        <v>12798</v>
      </c>
      <c r="C33" s="508" t="s">
        <v>5</v>
      </c>
      <c r="D33" s="508">
        <v>22.97</v>
      </c>
      <c r="E33" s="461" t="s">
        <v>174</v>
      </c>
    </row>
    <row r="34" spans="1:5" ht="40.5" x14ac:dyDescent="0.25">
      <c r="A34" s="508">
        <v>97168</v>
      </c>
      <c r="B34" s="509" t="s">
        <v>12799</v>
      </c>
      <c r="C34" s="508" t="s">
        <v>5</v>
      </c>
      <c r="D34" s="508">
        <v>26.3</v>
      </c>
      <c r="E34" s="461" t="s">
        <v>174</v>
      </c>
    </row>
    <row r="35" spans="1:5" ht="40.5" x14ac:dyDescent="0.25">
      <c r="A35" s="508">
        <v>97169</v>
      </c>
      <c r="B35" s="509" t="s">
        <v>12800</v>
      </c>
      <c r="C35" s="508" t="s">
        <v>5</v>
      </c>
      <c r="D35" s="508">
        <v>29.79</v>
      </c>
      <c r="E35" s="461" t="s">
        <v>174</v>
      </c>
    </row>
    <row r="36" spans="1:5" ht="40.5" x14ac:dyDescent="0.25">
      <c r="A36" s="508">
        <v>97170</v>
      </c>
      <c r="B36" s="509" t="s">
        <v>12801</v>
      </c>
      <c r="C36" s="508" t="s">
        <v>5</v>
      </c>
      <c r="D36" s="508">
        <v>33.31</v>
      </c>
      <c r="E36" s="461" t="s">
        <v>174</v>
      </c>
    </row>
    <row r="37" spans="1:5" ht="40.5" x14ac:dyDescent="0.25">
      <c r="A37" s="508">
        <v>97171</v>
      </c>
      <c r="B37" s="509" t="s">
        <v>12802</v>
      </c>
      <c r="C37" s="508" t="s">
        <v>5</v>
      </c>
      <c r="D37" s="508">
        <v>36.83</v>
      </c>
      <c r="E37" s="461" t="s">
        <v>174</v>
      </c>
    </row>
    <row r="38" spans="1:5" ht="40.5" x14ac:dyDescent="0.25">
      <c r="A38" s="508">
        <v>97172</v>
      </c>
      <c r="B38" s="509" t="s">
        <v>12803</v>
      </c>
      <c r="C38" s="508" t="s">
        <v>5</v>
      </c>
      <c r="D38" s="508">
        <v>44.35</v>
      </c>
      <c r="E38" s="461" t="s">
        <v>174</v>
      </c>
    </row>
    <row r="39" spans="1:5" ht="40.5" x14ac:dyDescent="0.25">
      <c r="A39" s="508">
        <v>105249</v>
      </c>
      <c r="B39" s="509" t="s">
        <v>12804</v>
      </c>
      <c r="C39" s="508" t="s">
        <v>107</v>
      </c>
      <c r="D39" s="508">
        <v>121.26</v>
      </c>
      <c r="E39" s="461" t="s">
        <v>174</v>
      </c>
    </row>
    <row r="40" spans="1:5" ht="40.5" x14ac:dyDescent="0.25">
      <c r="A40" s="508">
        <v>105250</v>
      </c>
      <c r="B40" s="509" t="s">
        <v>12805</v>
      </c>
      <c r="C40" s="508" t="s">
        <v>107</v>
      </c>
      <c r="D40" s="508">
        <v>15.17</v>
      </c>
      <c r="E40" s="461" t="s">
        <v>174</v>
      </c>
    </row>
    <row r="41" spans="1:5" ht="40.5" x14ac:dyDescent="0.25">
      <c r="A41" s="508">
        <v>105251</v>
      </c>
      <c r="B41" s="509" t="s">
        <v>12806</v>
      </c>
      <c r="C41" s="508" t="s">
        <v>107</v>
      </c>
      <c r="D41" s="508">
        <v>17.559999999999999</v>
      </c>
      <c r="E41" s="461" t="s">
        <v>174</v>
      </c>
    </row>
    <row r="42" spans="1:5" ht="40.5" x14ac:dyDescent="0.25">
      <c r="A42" s="508">
        <v>105252</v>
      </c>
      <c r="B42" s="509" t="s">
        <v>12807</v>
      </c>
      <c r="C42" s="508" t="s">
        <v>107</v>
      </c>
      <c r="D42" s="508">
        <v>23.53</v>
      </c>
      <c r="E42" s="461" t="s">
        <v>174</v>
      </c>
    </row>
    <row r="43" spans="1:5" ht="40.5" x14ac:dyDescent="0.25">
      <c r="A43" s="508">
        <v>105253</v>
      </c>
      <c r="B43" s="509" t="s">
        <v>12808</v>
      </c>
      <c r="C43" s="508" t="s">
        <v>107</v>
      </c>
      <c r="D43" s="508">
        <v>29.47</v>
      </c>
      <c r="E43" s="461" t="s">
        <v>174</v>
      </c>
    </row>
    <row r="44" spans="1:5" ht="40.5" x14ac:dyDescent="0.25">
      <c r="A44" s="508">
        <v>105254</v>
      </c>
      <c r="B44" s="509" t="s">
        <v>12809</v>
      </c>
      <c r="C44" s="508" t="s">
        <v>107</v>
      </c>
      <c r="D44" s="508">
        <v>35.590000000000003</v>
      </c>
      <c r="E44" s="461" t="s">
        <v>174</v>
      </c>
    </row>
    <row r="45" spans="1:5" ht="40.5" x14ac:dyDescent="0.25">
      <c r="A45" s="508">
        <v>105255</v>
      </c>
      <c r="B45" s="509" t="s">
        <v>12810</v>
      </c>
      <c r="C45" s="508" t="s">
        <v>107</v>
      </c>
      <c r="D45" s="508">
        <v>41.68</v>
      </c>
      <c r="E45" s="461" t="s">
        <v>174</v>
      </c>
    </row>
    <row r="46" spans="1:5" ht="40.5" x14ac:dyDescent="0.25">
      <c r="A46" s="508">
        <v>105256</v>
      </c>
      <c r="B46" s="509" t="s">
        <v>12811</v>
      </c>
      <c r="C46" s="508" t="s">
        <v>107</v>
      </c>
      <c r="D46" s="508">
        <v>47.77</v>
      </c>
      <c r="E46" s="461" t="s">
        <v>174</v>
      </c>
    </row>
    <row r="47" spans="1:5" ht="40.5" x14ac:dyDescent="0.25">
      <c r="A47" s="508">
        <v>105257</v>
      </c>
      <c r="B47" s="509" t="s">
        <v>12812</v>
      </c>
      <c r="C47" s="508" t="s">
        <v>107</v>
      </c>
      <c r="D47" s="508">
        <v>53.85</v>
      </c>
      <c r="E47" s="461" t="s">
        <v>174</v>
      </c>
    </row>
    <row r="48" spans="1:5" ht="40.5" x14ac:dyDescent="0.25">
      <c r="A48" s="508">
        <v>105258</v>
      </c>
      <c r="B48" s="509" t="s">
        <v>12813</v>
      </c>
      <c r="C48" s="508" t="s">
        <v>107</v>
      </c>
      <c r="D48" s="508">
        <v>30.64</v>
      </c>
      <c r="E48" s="461" t="s">
        <v>174</v>
      </c>
    </row>
    <row r="49" spans="1:5" ht="40.5" x14ac:dyDescent="0.25">
      <c r="A49" s="508">
        <v>105259</v>
      </c>
      <c r="B49" s="509" t="s">
        <v>12814</v>
      </c>
      <c r="C49" s="508" t="s">
        <v>107</v>
      </c>
      <c r="D49" s="508">
        <v>19.05</v>
      </c>
      <c r="E49" s="461" t="s">
        <v>174</v>
      </c>
    </row>
    <row r="50" spans="1:5" ht="40.5" x14ac:dyDescent="0.25">
      <c r="A50" s="508">
        <v>105261</v>
      </c>
      <c r="B50" s="509" t="s">
        <v>12815</v>
      </c>
      <c r="C50" s="508" t="s">
        <v>107</v>
      </c>
      <c r="D50" s="508">
        <v>34.340000000000003</v>
      </c>
      <c r="E50" s="461" t="s">
        <v>174</v>
      </c>
    </row>
    <row r="51" spans="1:5" ht="40.5" x14ac:dyDescent="0.25">
      <c r="A51" s="508">
        <v>105262</v>
      </c>
      <c r="B51" s="509" t="s">
        <v>12816</v>
      </c>
      <c r="C51" s="508" t="s">
        <v>107</v>
      </c>
      <c r="D51" s="508">
        <v>42.6</v>
      </c>
      <c r="E51" s="461" t="s">
        <v>174</v>
      </c>
    </row>
    <row r="52" spans="1:5" ht="40.5" x14ac:dyDescent="0.25">
      <c r="A52" s="508">
        <v>105263</v>
      </c>
      <c r="B52" s="509" t="s">
        <v>12817</v>
      </c>
      <c r="C52" s="508" t="s">
        <v>107</v>
      </c>
      <c r="D52" s="508">
        <v>50.66</v>
      </c>
      <c r="E52" s="461" t="s">
        <v>174</v>
      </c>
    </row>
    <row r="53" spans="1:5" ht="40.5" x14ac:dyDescent="0.25">
      <c r="A53" s="508">
        <v>105264</v>
      </c>
      <c r="B53" s="509" t="s">
        <v>12818</v>
      </c>
      <c r="C53" s="508" t="s">
        <v>107</v>
      </c>
      <c r="D53" s="508">
        <v>57.96</v>
      </c>
      <c r="E53" s="461" t="s">
        <v>174</v>
      </c>
    </row>
    <row r="54" spans="1:5" ht="40.5" x14ac:dyDescent="0.25">
      <c r="A54" s="508">
        <v>105265</v>
      </c>
      <c r="B54" s="509" t="s">
        <v>12819</v>
      </c>
      <c r="C54" s="508" t="s">
        <v>107</v>
      </c>
      <c r="D54" s="508">
        <v>65.56</v>
      </c>
      <c r="E54" s="461" t="s">
        <v>174</v>
      </c>
    </row>
    <row r="55" spans="1:5" ht="40.5" x14ac:dyDescent="0.25">
      <c r="A55" s="508">
        <v>105266</v>
      </c>
      <c r="B55" s="509" t="s">
        <v>12820</v>
      </c>
      <c r="C55" s="508" t="s">
        <v>107</v>
      </c>
      <c r="D55" s="508">
        <v>73.37</v>
      </c>
      <c r="E55" s="461" t="s">
        <v>174</v>
      </c>
    </row>
    <row r="56" spans="1:5" ht="40.5" x14ac:dyDescent="0.25">
      <c r="A56" s="508">
        <v>105267</v>
      </c>
      <c r="B56" s="509" t="s">
        <v>12821</v>
      </c>
      <c r="C56" s="508" t="s">
        <v>107</v>
      </c>
      <c r="D56" s="508">
        <v>81.28</v>
      </c>
      <c r="E56" s="461" t="s">
        <v>174</v>
      </c>
    </row>
    <row r="57" spans="1:5" ht="40.5" x14ac:dyDescent="0.25">
      <c r="A57" s="508">
        <v>105268</v>
      </c>
      <c r="B57" s="509" t="s">
        <v>12822</v>
      </c>
      <c r="C57" s="508" t="s">
        <v>107</v>
      </c>
      <c r="D57" s="508">
        <v>100.13</v>
      </c>
      <c r="E57" s="461" t="s">
        <v>174</v>
      </c>
    </row>
    <row r="58" spans="1:5" ht="40.5" x14ac:dyDescent="0.25">
      <c r="A58" s="508">
        <v>105269</v>
      </c>
      <c r="B58" s="509" t="s">
        <v>12823</v>
      </c>
      <c r="C58" s="508" t="s">
        <v>107</v>
      </c>
      <c r="D58" s="508">
        <v>11.79</v>
      </c>
      <c r="E58" s="461" t="s">
        <v>174</v>
      </c>
    </row>
    <row r="59" spans="1:5" ht="40.5" x14ac:dyDescent="0.25">
      <c r="A59" s="508">
        <v>105270</v>
      </c>
      <c r="B59" s="509" t="s">
        <v>12824</v>
      </c>
      <c r="C59" s="508" t="s">
        <v>107</v>
      </c>
      <c r="D59" s="508">
        <v>60.1</v>
      </c>
      <c r="E59" s="461" t="s">
        <v>174</v>
      </c>
    </row>
    <row r="60" spans="1:5" ht="40.5" x14ac:dyDescent="0.25">
      <c r="A60" s="508">
        <v>105271</v>
      </c>
      <c r="B60" s="509" t="s">
        <v>12825</v>
      </c>
      <c r="C60" s="508" t="s">
        <v>107</v>
      </c>
      <c r="D60" s="508">
        <v>76.55</v>
      </c>
      <c r="E60" s="461" t="s">
        <v>174</v>
      </c>
    </row>
    <row r="61" spans="1:5" ht="40.5" x14ac:dyDescent="0.25">
      <c r="A61" s="508">
        <v>105272</v>
      </c>
      <c r="B61" s="509" t="s">
        <v>12826</v>
      </c>
      <c r="C61" s="508" t="s">
        <v>107</v>
      </c>
      <c r="D61" s="508">
        <v>90.53</v>
      </c>
      <c r="E61" s="461" t="s">
        <v>174</v>
      </c>
    </row>
    <row r="62" spans="1:5" ht="40.5" x14ac:dyDescent="0.25">
      <c r="A62" s="508">
        <v>105273</v>
      </c>
      <c r="B62" s="509" t="s">
        <v>12827</v>
      </c>
      <c r="C62" s="508" t="s">
        <v>107</v>
      </c>
      <c r="D62" s="508">
        <v>103.73</v>
      </c>
      <c r="E62" s="461" t="s">
        <v>174</v>
      </c>
    </row>
    <row r="63" spans="1:5" ht="40.5" x14ac:dyDescent="0.25">
      <c r="A63" s="508">
        <v>105274</v>
      </c>
      <c r="B63" s="509" t="s">
        <v>12828</v>
      </c>
      <c r="C63" s="508" t="s">
        <v>107</v>
      </c>
      <c r="D63" s="508">
        <v>117.25</v>
      </c>
      <c r="E63" s="461" t="s">
        <v>174</v>
      </c>
    </row>
    <row r="64" spans="1:5" ht="40.5" x14ac:dyDescent="0.25">
      <c r="A64" s="508">
        <v>105275</v>
      </c>
      <c r="B64" s="509" t="s">
        <v>12829</v>
      </c>
      <c r="C64" s="508" t="s">
        <v>107</v>
      </c>
      <c r="D64" s="508">
        <v>130.96</v>
      </c>
      <c r="E64" s="461" t="s">
        <v>174</v>
      </c>
    </row>
    <row r="65" spans="1:5" ht="40.5" x14ac:dyDescent="0.25">
      <c r="A65" s="508">
        <v>105276</v>
      </c>
      <c r="B65" s="509" t="s">
        <v>12830</v>
      </c>
      <c r="C65" s="508" t="s">
        <v>107</v>
      </c>
      <c r="D65" s="508">
        <v>144.79</v>
      </c>
      <c r="E65" s="461" t="s">
        <v>174</v>
      </c>
    </row>
    <row r="66" spans="1:5" ht="40.5" x14ac:dyDescent="0.25">
      <c r="A66" s="508">
        <v>105277</v>
      </c>
      <c r="B66" s="509" t="s">
        <v>12831</v>
      </c>
      <c r="C66" s="508" t="s">
        <v>107</v>
      </c>
      <c r="D66" s="508">
        <v>175.44</v>
      </c>
      <c r="E66" s="461" t="s">
        <v>174</v>
      </c>
    </row>
    <row r="67" spans="1:5" ht="40.5" x14ac:dyDescent="0.25">
      <c r="A67" s="508">
        <v>105278</v>
      </c>
      <c r="B67" s="509" t="s">
        <v>12832</v>
      </c>
      <c r="C67" s="508" t="s">
        <v>107</v>
      </c>
      <c r="D67" s="508">
        <v>20.75</v>
      </c>
      <c r="E67" s="461" t="s">
        <v>174</v>
      </c>
    </row>
    <row r="68" spans="1:5" ht="40.5" x14ac:dyDescent="0.25">
      <c r="A68" s="508">
        <v>105279</v>
      </c>
      <c r="B68" s="509" t="s">
        <v>12833</v>
      </c>
      <c r="C68" s="508" t="s">
        <v>107</v>
      </c>
      <c r="D68" s="508">
        <v>24.06</v>
      </c>
      <c r="E68" s="461" t="s">
        <v>174</v>
      </c>
    </row>
    <row r="69" spans="1:5" ht="40.5" x14ac:dyDescent="0.25">
      <c r="A69" s="508">
        <v>105280</v>
      </c>
      <c r="B69" s="509" t="s">
        <v>12834</v>
      </c>
      <c r="C69" s="508" t="s">
        <v>107</v>
      </c>
      <c r="D69" s="508">
        <v>32.19</v>
      </c>
      <c r="E69" s="461" t="s">
        <v>174</v>
      </c>
    </row>
    <row r="70" spans="1:5" ht="40.5" x14ac:dyDescent="0.25">
      <c r="A70" s="508">
        <v>105281</v>
      </c>
      <c r="B70" s="509" t="s">
        <v>12835</v>
      </c>
      <c r="C70" s="508" t="s">
        <v>107</v>
      </c>
      <c r="D70" s="508">
        <v>40.29</v>
      </c>
      <c r="E70" s="461" t="s">
        <v>174</v>
      </c>
    </row>
    <row r="71" spans="1:5" ht="40.5" x14ac:dyDescent="0.25">
      <c r="A71" s="508">
        <v>105282</v>
      </c>
      <c r="B71" s="509" t="s">
        <v>12836</v>
      </c>
      <c r="C71" s="508" t="s">
        <v>107</v>
      </c>
      <c r="D71" s="508">
        <v>13.81</v>
      </c>
      <c r="E71" s="461" t="s">
        <v>174</v>
      </c>
    </row>
    <row r="72" spans="1:5" ht="40.5" x14ac:dyDescent="0.25">
      <c r="A72" s="508">
        <v>105283</v>
      </c>
      <c r="B72" s="509" t="s">
        <v>12837</v>
      </c>
      <c r="C72" s="508" t="s">
        <v>107</v>
      </c>
      <c r="D72" s="508">
        <v>25.9</v>
      </c>
      <c r="E72" s="461" t="s">
        <v>174</v>
      </c>
    </row>
    <row r="73" spans="1:5" ht="40.5" x14ac:dyDescent="0.25">
      <c r="A73" s="508">
        <v>105284</v>
      </c>
      <c r="B73" s="509" t="s">
        <v>12838</v>
      </c>
      <c r="C73" s="508" t="s">
        <v>107</v>
      </c>
      <c r="D73" s="508">
        <v>48.74</v>
      </c>
      <c r="E73" s="461" t="s">
        <v>174</v>
      </c>
    </row>
    <row r="74" spans="1:5" ht="40.5" x14ac:dyDescent="0.25">
      <c r="A74" s="508">
        <v>105297</v>
      </c>
      <c r="B74" s="509" t="s">
        <v>12839</v>
      </c>
      <c r="C74" s="508" t="s">
        <v>107</v>
      </c>
      <c r="D74" s="508">
        <v>10.37</v>
      </c>
      <c r="E74" s="461" t="s">
        <v>174</v>
      </c>
    </row>
    <row r="75" spans="1:5" ht="40.5" x14ac:dyDescent="0.25">
      <c r="A75" s="508">
        <v>105298</v>
      </c>
      <c r="B75" s="509" t="s">
        <v>12840</v>
      </c>
      <c r="C75" s="508" t="s">
        <v>107</v>
      </c>
      <c r="D75" s="508">
        <v>18.8</v>
      </c>
      <c r="E75" s="461" t="s">
        <v>174</v>
      </c>
    </row>
    <row r="76" spans="1:5" ht="40.5" x14ac:dyDescent="0.25">
      <c r="A76" s="508">
        <v>105299</v>
      </c>
      <c r="B76" s="509" t="s">
        <v>12841</v>
      </c>
      <c r="C76" s="508" t="s">
        <v>107</v>
      </c>
      <c r="D76" s="508">
        <v>23.8</v>
      </c>
      <c r="E76" s="461" t="s">
        <v>174</v>
      </c>
    </row>
    <row r="77" spans="1:5" ht="40.5" x14ac:dyDescent="0.25">
      <c r="A77" s="508">
        <v>105300</v>
      </c>
      <c r="B77" s="509" t="s">
        <v>12842</v>
      </c>
      <c r="C77" s="508" t="s">
        <v>107</v>
      </c>
      <c r="D77" s="508">
        <v>28.95</v>
      </c>
      <c r="E77" s="461" t="s">
        <v>174</v>
      </c>
    </row>
    <row r="78" spans="1:5" ht="40.5" x14ac:dyDescent="0.25">
      <c r="A78" s="508">
        <v>105301</v>
      </c>
      <c r="B78" s="509" t="s">
        <v>12843</v>
      </c>
      <c r="C78" s="508" t="s">
        <v>107</v>
      </c>
      <c r="D78" s="508">
        <v>34.090000000000003</v>
      </c>
      <c r="E78" s="461" t="s">
        <v>174</v>
      </c>
    </row>
    <row r="79" spans="1:5" ht="40.5" x14ac:dyDescent="0.25">
      <c r="A79" s="508">
        <v>105302</v>
      </c>
      <c r="B79" s="509" t="s">
        <v>12844</v>
      </c>
      <c r="C79" s="508" t="s">
        <v>107</v>
      </c>
      <c r="D79" s="508">
        <v>39.229999999999997</v>
      </c>
      <c r="E79" s="461" t="s">
        <v>174</v>
      </c>
    </row>
    <row r="80" spans="1:5" ht="40.5" x14ac:dyDescent="0.25">
      <c r="A80" s="508">
        <v>105303</v>
      </c>
      <c r="B80" s="509" t="s">
        <v>12845</v>
      </c>
      <c r="C80" s="508" t="s">
        <v>107</v>
      </c>
      <c r="D80" s="508">
        <v>44.35</v>
      </c>
      <c r="E80" s="461" t="s">
        <v>174</v>
      </c>
    </row>
    <row r="81" spans="1:5" ht="40.5" x14ac:dyDescent="0.25">
      <c r="A81" s="508">
        <v>105304</v>
      </c>
      <c r="B81" s="509" t="s">
        <v>12846</v>
      </c>
      <c r="C81" s="508" t="s">
        <v>107</v>
      </c>
      <c r="D81" s="508">
        <v>49.65</v>
      </c>
      <c r="E81" s="461" t="s">
        <v>174</v>
      </c>
    </row>
    <row r="82" spans="1:5" ht="40.5" x14ac:dyDescent="0.25">
      <c r="A82" s="508">
        <v>105305</v>
      </c>
      <c r="B82" s="509" t="s">
        <v>12847</v>
      </c>
      <c r="C82" s="508" t="s">
        <v>107</v>
      </c>
      <c r="D82" s="508">
        <v>61.77</v>
      </c>
      <c r="E82" s="461" t="s">
        <v>174</v>
      </c>
    </row>
    <row r="83" spans="1:5" ht="40.5" x14ac:dyDescent="0.25">
      <c r="A83" s="508">
        <v>105306</v>
      </c>
      <c r="B83" s="509" t="s">
        <v>12848</v>
      </c>
      <c r="C83" s="508" t="s">
        <v>107</v>
      </c>
      <c r="D83" s="508">
        <v>73.34</v>
      </c>
      <c r="E83" s="461" t="s">
        <v>174</v>
      </c>
    </row>
    <row r="84" spans="1:5" ht="40.5" x14ac:dyDescent="0.25">
      <c r="A84" s="508">
        <v>105307</v>
      </c>
      <c r="B84" s="509" t="s">
        <v>12849</v>
      </c>
      <c r="C84" s="508" t="s">
        <v>107</v>
      </c>
      <c r="D84" s="508">
        <v>84.12</v>
      </c>
      <c r="E84" s="461" t="s">
        <v>174</v>
      </c>
    </row>
    <row r="85" spans="1:5" ht="40.5" x14ac:dyDescent="0.25">
      <c r="A85" s="508">
        <v>105317</v>
      </c>
      <c r="B85" s="509" t="s">
        <v>12850</v>
      </c>
      <c r="C85" s="508" t="s">
        <v>107</v>
      </c>
      <c r="D85" s="508">
        <v>23.52</v>
      </c>
      <c r="E85" s="461" t="s">
        <v>174</v>
      </c>
    </row>
    <row r="86" spans="1:5" ht="40.5" x14ac:dyDescent="0.25">
      <c r="A86" s="508">
        <v>105318</v>
      </c>
      <c r="B86" s="509" t="s">
        <v>12851</v>
      </c>
      <c r="C86" s="508" t="s">
        <v>107</v>
      </c>
      <c r="D86" s="508">
        <v>27.07</v>
      </c>
      <c r="E86" s="461" t="s">
        <v>174</v>
      </c>
    </row>
    <row r="87" spans="1:5" ht="40.5" x14ac:dyDescent="0.25">
      <c r="A87" s="508">
        <v>105319</v>
      </c>
      <c r="B87" s="509" t="s">
        <v>12852</v>
      </c>
      <c r="C87" s="508" t="s">
        <v>107</v>
      </c>
      <c r="D87" s="508">
        <v>32.74</v>
      </c>
      <c r="E87" s="461" t="s">
        <v>174</v>
      </c>
    </row>
    <row r="88" spans="1:5" ht="40.5" x14ac:dyDescent="0.25">
      <c r="A88" s="508">
        <v>105320</v>
      </c>
      <c r="B88" s="509" t="s">
        <v>12853</v>
      </c>
      <c r="C88" s="508" t="s">
        <v>107</v>
      </c>
      <c r="D88" s="508">
        <v>39.909999999999997</v>
      </c>
      <c r="E88" s="461" t="s">
        <v>174</v>
      </c>
    </row>
    <row r="89" spans="1:5" ht="40.5" x14ac:dyDescent="0.25">
      <c r="A89" s="508">
        <v>105321</v>
      </c>
      <c r="B89" s="509" t="s">
        <v>12854</v>
      </c>
      <c r="C89" s="508" t="s">
        <v>107</v>
      </c>
      <c r="D89" s="508">
        <v>47.05</v>
      </c>
      <c r="E89" s="461" t="s">
        <v>174</v>
      </c>
    </row>
    <row r="90" spans="1:5" ht="40.5" x14ac:dyDescent="0.25">
      <c r="A90" s="508">
        <v>105322</v>
      </c>
      <c r="B90" s="509" t="s">
        <v>12855</v>
      </c>
      <c r="C90" s="508" t="s">
        <v>107</v>
      </c>
      <c r="D90" s="508">
        <v>54.17</v>
      </c>
      <c r="E90" s="461" t="s">
        <v>174</v>
      </c>
    </row>
    <row r="91" spans="1:5" ht="40.5" x14ac:dyDescent="0.25">
      <c r="A91" s="508">
        <v>105323</v>
      </c>
      <c r="B91" s="509" t="s">
        <v>12856</v>
      </c>
      <c r="C91" s="508" t="s">
        <v>107</v>
      </c>
      <c r="D91" s="508">
        <v>61.31</v>
      </c>
      <c r="E91" s="461" t="s">
        <v>174</v>
      </c>
    </row>
    <row r="92" spans="1:5" ht="40.5" x14ac:dyDescent="0.25">
      <c r="A92" s="508">
        <v>105324</v>
      </c>
      <c r="B92" s="509" t="s">
        <v>12857</v>
      </c>
      <c r="C92" s="508" t="s">
        <v>107</v>
      </c>
      <c r="D92" s="508">
        <v>68.709999999999994</v>
      </c>
      <c r="E92" s="461" t="s">
        <v>174</v>
      </c>
    </row>
    <row r="93" spans="1:5" ht="40.5" x14ac:dyDescent="0.25">
      <c r="A93" s="508">
        <v>105325</v>
      </c>
      <c r="B93" s="509" t="s">
        <v>12858</v>
      </c>
      <c r="C93" s="508" t="s">
        <v>107</v>
      </c>
      <c r="D93" s="508">
        <v>85.2</v>
      </c>
      <c r="E93" s="461" t="s">
        <v>174</v>
      </c>
    </row>
    <row r="94" spans="1:5" ht="40.5" x14ac:dyDescent="0.25">
      <c r="A94" s="508">
        <v>105326</v>
      </c>
      <c r="B94" s="509" t="s">
        <v>12859</v>
      </c>
      <c r="C94" s="508" t="s">
        <v>107</v>
      </c>
      <c r="D94" s="508">
        <v>101.37</v>
      </c>
      <c r="E94" s="461" t="s">
        <v>174</v>
      </c>
    </row>
    <row r="95" spans="1:5" ht="40.5" x14ac:dyDescent="0.25">
      <c r="A95" s="508">
        <v>105340</v>
      </c>
      <c r="B95" s="509" t="s">
        <v>12860</v>
      </c>
      <c r="C95" s="508" t="s">
        <v>107</v>
      </c>
      <c r="D95" s="508">
        <v>95.22</v>
      </c>
      <c r="E95" s="461" t="s">
        <v>174</v>
      </c>
    </row>
    <row r="96" spans="1:5" ht="40.5" x14ac:dyDescent="0.25">
      <c r="A96" s="508">
        <v>105341</v>
      </c>
      <c r="B96" s="509" t="s">
        <v>12861</v>
      </c>
      <c r="C96" s="508" t="s">
        <v>107</v>
      </c>
      <c r="D96" s="508">
        <v>117.93</v>
      </c>
      <c r="E96" s="461" t="s">
        <v>174</v>
      </c>
    </row>
    <row r="97" spans="1:5" ht="40.5" x14ac:dyDescent="0.25">
      <c r="A97" s="508">
        <v>105342</v>
      </c>
      <c r="B97" s="509" t="s">
        <v>12862</v>
      </c>
      <c r="C97" s="508" t="s">
        <v>107</v>
      </c>
      <c r="D97" s="508">
        <v>143.72999999999999</v>
      </c>
      <c r="E97" s="461" t="s">
        <v>174</v>
      </c>
    </row>
    <row r="98" spans="1:5" ht="40.5" x14ac:dyDescent="0.25">
      <c r="A98" s="508">
        <v>105343</v>
      </c>
      <c r="B98" s="509" t="s">
        <v>12863</v>
      </c>
      <c r="C98" s="508" t="s">
        <v>107</v>
      </c>
      <c r="D98" s="508">
        <v>16.239999999999998</v>
      </c>
      <c r="E98" s="461" t="s">
        <v>174</v>
      </c>
    </row>
    <row r="99" spans="1:5" ht="40.5" x14ac:dyDescent="0.25">
      <c r="A99" s="508">
        <v>105344</v>
      </c>
      <c r="B99" s="509" t="s">
        <v>12864</v>
      </c>
      <c r="C99" s="508" t="s">
        <v>107</v>
      </c>
      <c r="D99" s="508">
        <v>115.95</v>
      </c>
      <c r="E99" s="461" t="s">
        <v>174</v>
      </c>
    </row>
    <row r="100" spans="1:5" ht="40.5" x14ac:dyDescent="0.25">
      <c r="A100" s="508">
        <v>105345</v>
      </c>
      <c r="B100" s="509" t="s">
        <v>12865</v>
      </c>
      <c r="C100" s="508" t="s">
        <v>107</v>
      </c>
      <c r="D100" s="508">
        <v>146.75</v>
      </c>
      <c r="E100" s="461" t="s">
        <v>174</v>
      </c>
    </row>
    <row r="101" spans="1:5" ht="40.5" x14ac:dyDescent="0.25">
      <c r="A101" s="508">
        <v>105346</v>
      </c>
      <c r="B101" s="509" t="s">
        <v>12866</v>
      </c>
      <c r="C101" s="508" t="s">
        <v>107</v>
      </c>
      <c r="D101" s="510">
        <v>162.6</v>
      </c>
      <c r="E101" s="461" t="s">
        <v>174</v>
      </c>
    </row>
    <row r="102" spans="1:5" ht="40.5" x14ac:dyDescent="0.25">
      <c r="A102" s="508">
        <v>105347</v>
      </c>
      <c r="B102" s="509" t="s">
        <v>12867</v>
      </c>
      <c r="C102" s="508" t="s">
        <v>107</v>
      </c>
      <c r="D102" s="508">
        <v>200.26</v>
      </c>
      <c r="E102" s="461" t="s">
        <v>174</v>
      </c>
    </row>
    <row r="103" spans="1:5" ht="40.5" x14ac:dyDescent="0.25">
      <c r="A103" s="508">
        <v>105348</v>
      </c>
      <c r="B103" s="509" t="s">
        <v>12868</v>
      </c>
      <c r="C103" s="508" t="s">
        <v>107</v>
      </c>
      <c r="D103" s="508">
        <v>57.16</v>
      </c>
      <c r="E103" s="461" t="s">
        <v>174</v>
      </c>
    </row>
    <row r="104" spans="1:5" ht="40.5" x14ac:dyDescent="0.25">
      <c r="A104" s="508">
        <v>105349</v>
      </c>
      <c r="B104" s="509" t="s">
        <v>12869</v>
      </c>
      <c r="C104" s="508" t="s">
        <v>107</v>
      </c>
      <c r="D104" s="510">
        <v>65.55</v>
      </c>
      <c r="E104" s="461" t="s">
        <v>174</v>
      </c>
    </row>
    <row r="105" spans="1:5" ht="40.5" x14ac:dyDescent="0.25">
      <c r="A105" s="508">
        <v>105350</v>
      </c>
      <c r="B105" s="509" t="s">
        <v>12870</v>
      </c>
      <c r="C105" s="508" t="s">
        <v>107</v>
      </c>
      <c r="D105" s="508">
        <v>73.959999999999994</v>
      </c>
      <c r="E105" s="461" t="s">
        <v>174</v>
      </c>
    </row>
    <row r="106" spans="1:5" ht="40.5" x14ac:dyDescent="0.25">
      <c r="A106" s="508">
        <v>105351</v>
      </c>
      <c r="B106" s="509" t="s">
        <v>12871</v>
      </c>
      <c r="C106" s="508" t="s">
        <v>107</v>
      </c>
      <c r="D106" s="510">
        <v>82.64</v>
      </c>
      <c r="E106" s="461" t="s">
        <v>174</v>
      </c>
    </row>
    <row r="107" spans="1:5" ht="40.5" x14ac:dyDescent="0.25">
      <c r="A107" s="508">
        <v>105352</v>
      </c>
      <c r="B107" s="509" t="s">
        <v>12872</v>
      </c>
      <c r="C107" s="508" t="s">
        <v>107</v>
      </c>
      <c r="D107" s="508">
        <v>104.91</v>
      </c>
      <c r="E107" s="461" t="s">
        <v>174</v>
      </c>
    </row>
    <row r="108" spans="1:5" ht="40.5" x14ac:dyDescent="0.25">
      <c r="A108" s="508">
        <v>105353</v>
      </c>
      <c r="B108" s="509" t="s">
        <v>12873</v>
      </c>
      <c r="C108" s="508" t="s">
        <v>107</v>
      </c>
      <c r="D108" s="508">
        <v>124.31</v>
      </c>
      <c r="E108" s="461" t="s">
        <v>174</v>
      </c>
    </row>
    <row r="109" spans="1:5" ht="40.5" x14ac:dyDescent="0.25">
      <c r="A109" s="508">
        <v>105354</v>
      </c>
      <c r="B109" s="509" t="s">
        <v>12874</v>
      </c>
      <c r="C109" s="508" t="s">
        <v>107</v>
      </c>
      <c r="D109" s="508">
        <v>142.1</v>
      </c>
      <c r="E109" s="461" t="s">
        <v>174</v>
      </c>
    </row>
    <row r="110" spans="1:5" ht="40.5" x14ac:dyDescent="0.25">
      <c r="A110" s="508">
        <v>105355</v>
      </c>
      <c r="B110" s="509" t="s">
        <v>12875</v>
      </c>
      <c r="C110" s="508" t="s">
        <v>107</v>
      </c>
      <c r="D110" s="508">
        <v>160.51</v>
      </c>
      <c r="E110" s="461" t="s">
        <v>174</v>
      </c>
    </row>
    <row r="111" spans="1:5" ht="40.5" x14ac:dyDescent="0.25">
      <c r="A111" s="508">
        <v>105356</v>
      </c>
      <c r="B111" s="509" t="s">
        <v>12876</v>
      </c>
      <c r="C111" s="508" t="s">
        <v>107</v>
      </c>
      <c r="D111" s="508">
        <v>179.35</v>
      </c>
      <c r="E111" s="461" t="s">
        <v>174</v>
      </c>
    </row>
    <row r="112" spans="1:5" ht="40.5" x14ac:dyDescent="0.25">
      <c r="A112" s="508">
        <v>105357</v>
      </c>
      <c r="B112" s="509" t="s">
        <v>12877</v>
      </c>
      <c r="C112" s="508" t="s">
        <v>107</v>
      </c>
      <c r="D112" s="508">
        <v>198.43</v>
      </c>
      <c r="E112" s="461" t="s">
        <v>174</v>
      </c>
    </row>
    <row r="113" spans="1:5" ht="40.5" x14ac:dyDescent="0.25">
      <c r="A113" s="508">
        <v>105358</v>
      </c>
      <c r="B113" s="509" t="s">
        <v>12878</v>
      </c>
      <c r="C113" s="508" t="s">
        <v>107</v>
      </c>
      <c r="D113" s="508">
        <v>242.53</v>
      </c>
      <c r="E113" s="461" t="s">
        <v>174</v>
      </c>
    </row>
    <row r="114" spans="1:5" ht="40.5" x14ac:dyDescent="0.25">
      <c r="A114" s="508">
        <v>105369</v>
      </c>
      <c r="B114" s="509" t="s">
        <v>12879</v>
      </c>
      <c r="C114" s="508" t="s">
        <v>107</v>
      </c>
      <c r="D114" s="508">
        <v>69.14</v>
      </c>
      <c r="E114" s="461" t="s">
        <v>174</v>
      </c>
    </row>
    <row r="115" spans="1:5" ht="40.5" x14ac:dyDescent="0.25">
      <c r="A115" s="508">
        <v>105377</v>
      </c>
      <c r="B115" s="509" t="s">
        <v>12880</v>
      </c>
      <c r="C115" s="508" t="s">
        <v>107</v>
      </c>
      <c r="D115" s="508">
        <v>44.04</v>
      </c>
      <c r="E115" s="461" t="s">
        <v>174</v>
      </c>
    </row>
    <row r="116" spans="1:5" ht="40.5" x14ac:dyDescent="0.25">
      <c r="A116" s="508">
        <v>105378</v>
      </c>
      <c r="B116" s="509" t="s">
        <v>12881</v>
      </c>
      <c r="C116" s="508" t="s">
        <v>107</v>
      </c>
      <c r="D116" s="508">
        <v>12.01</v>
      </c>
      <c r="E116" s="461" t="s">
        <v>174</v>
      </c>
    </row>
    <row r="117" spans="1:5" ht="40.5" x14ac:dyDescent="0.25">
      <c r="A117" s="508">
        <v>105379</v>
      </c>
      <c r="B117" s="509" t="s">
        <v>12882</v>
      </c>
      <c r="C117" s="508" t="s">
        <v>107</v>
      </c>
      <c r="D117" s="508">
        <v>16.079999999999998</v>
      </c>
      <c r="E117" s="461" t="s">
        <v>174</v>
      </c>
    </row>
    <row r="118" spans="1:5" ht="40.5" x14ac:dyDescent="0.25">
      <c r="A118" s="508">
        <v>105380</v>
      </c>
      <c r="B118" s="509" t="s">
        <v>12883</v>
      </c>
      <c r="C118" s="508" t="s">
        <v>107</v>
      </c>
      <c r="D118" s="508">
        <v>99.19</v>
      </c>
      <c r="E118" s="461" t="s">
        <v>174</v>
      </c>
    </row>
    <row r="119" spans="1:5" ht="40.5" x14ac:dyDescent="0.25">
      <c r="A119" s="508">
        <v>105388</v>
      </c>
      <c r="B119" s="509" t="s">
        <v>12884</v>
      </c>
      <c r="C119" s="508" t="s">
        <v>107</v>
      </c>
      <c r="D119" s="508">
        <v>12.94</v>
      </c>
      <c r="E119" s="461" t="s">
        <v>174</v>
      </c>
    </row>
    <row r="120" spans="1:5" ht="40.5" x14ac:dyDescent="0.25">
      <c r="A120" s="508">
        <v>105389</v>
      </c>
      <c r="B120" s="509" t="s">
        <v>12885</v>
      </c>
      <c r="C120" s="508" t="s">
        <v>107</v>
      </c>
      <c r="D120" s="508">
        <v>16.350000000000001</v>
      </c>
      <c r="E120" s="461" t="s">
        <v>174</v>
      </c>
    </row>
    <row r="121" spans="1:5" ht="40.5" x14ac:dyDescent="0.25">
      <c r="A121" s="508">
        <v>105390</v>
      </c>
      <c r="B121" s="509" t="s">
        <v>12886</v>
      </c>
      <c r="C121" s="508" t="s">
        <v>107</v>
      </c>
      <c r="D121" s="508">
        <v>106.51</v>
      </c>
      <c r="E121" s="461" t="s">
        <v>174</v>
      </c>
    </row>
    <row r="122" spans="1:5" ht="40.5" x14ac:dyDescent="0.25">
      <c r="A122" s="508">
        <v>105391</v>
      </c>
      <c r="B122" s="509" t="s">
        <v>12887</v>
      </c>
      <c r="C122" s="508" t="s">
        <v>107</v>
      </c>
      <c r="D122" s="508">
        <v>131.13</v>
      </c>
      <c r="E122" s="461" t="s">
        <v>174</v>
      </c>
    </row>
    <row r="123" spans="1:5" ht="40.5" x14ac:dyDescent="0.25">
      <c r="A123" s="508">
        <v>105392</v>
      </c>
      <c r="B123" s="509" t="s">
        <v>12888</v>
      </c>
      <c r="C123" s="508" t="s">
        <v>107</v>
      </c>
      <c r="D123" s="508">
        <v>20.14</v>
      </c>
      <c r="E123" s="461" t="s">
        <v>174</v>
      </c>
    </row>
    <row r="124" spans="1:5" ht="40.5" x14ac:dyDescent="0.25">
      <c r="A124" s="508">
        <v>105393</v>
      </c>
      <c r="B124" s="509" t="s">
        <v>12889</v>
      </c>
      <c r="C124" s="508" t="s">
        <v>107</v>
      </c>
      <c r="D124" s="508">
        <v>24.37</v>
      </c>
      <c r="E124" s="461" t="s">
        <v>174</v>
      </c>
    </row>
    <row r="125" spans="1:5" ht="40.5" x14ac:dyDescent="0.25">
      <c r="A125" s="508">
        <v>105394</v>
      </c>
      <c r="B125" s="509" t="s">
        <v>12890</v>
      </c>
      <c r="C125" s="508" t="s">
        <v>107</v>
      </c>
      <c r="D125" s="508">
        <v>28.56</v>
      </c>
      <c r="E125" s="461" t="s">
        <v>174</v>
      </c>
    </row>
    <row r="126" spans="1:5" ht="40.5" x14ac:dyDescent="0.25">
      <c r="A126" s="508">
        <v>105395</v>
      </c>
      <c r="B126" s="509" t="s">
        <v>12891</v>
      </c>
      <c r="C126" s="508" t="s">
        <v>107</v>
      </c>
      <c r="D126" s="508">
        <v>32.76</v>
      </c>
      <c r="E126" s="461" t="s">
        <v>174</v>
      </c>
    </row>
    <row r="127" spans="1:5" ht="40.5" x14ac:dyDescent="0.25">
      <c r="A127" s="508">
        <v>105396</v>
      </c>
      <c r="B127" s="509" t="s">
        <v>12892</v>
      </c>
      <c r="C127" s="508" t="s">
        <v>107</v>
      </c>
      <c r="D127" s="508">
        <v>36.96</v>
      </c>
      <c r="E127" s="461" t="s">
        <v>174</v>
      </c>
    </row>
    <row r="128" spans="1:5" ht="40.5" x14ac:dyDescent="0.25">
      <c r="A128" s="508">
        <v>105397</v>
      </c>
      <c r="B128" s="509" t="s">
        <v>12893</v>
      </c>
      <c r="C128" s="508" t="s">
        <v>107</v>
      </c>
      <c r="D128" s="508">
        <v>41.31</v>
      </c>
      <c r="E128" s="461" t="s">
        <v>174</v>
      </c>
    </row>
    <row r="129" spans="1:5" ht="40.5" x14ac:dyDescent="0.25">
      <c r="A129" s="508">
        <v>105398</v>
      </c>
      <c r="B129" s="509" t="s">
        <v>12894</v>
      </c>
      <c r="C129" s="508" t="s">
        <v>107</v>
      </c>
      <c r="D129" s="508">
        <v>52.44</v>
      </c>
      <c r="E129" s="461" t="s">
        <v>174</v>
      </c>
    </row>
    <row r="130" spans="1:5" ht="40.5" x14ac:dyDescent="0.25">
      <c r="A130" s="508">
        <v>105399</v>
      </c>
      <c r="B130" s="509" t="s">
        <v>12895</v>
      </c>
      <c r="C130" s="508" t="s">
        <v>107</v>
      </c>
      <c r="D130" s="508">
        <v>62.12</v>
      </c>
      <c r="E130" s="461" t="s">
        <v>174</v>
      </c>
    </row>
    <row r="131" spans="1:5" ht="40.5" x14ac:dyDescent="0.25">
      <c r="A131" s="508">
        <v>105400</v>
      </c>
      <c r="B131" s="509" t="s">
        <v>12896</v>
      </c>
      <c r="C131" s="508" t="s">
        <v>107</v>
      </c>
      <c r="D131" s="508">
        <v>71.040000000000006</v>
      </c>
      <c r="E131" s="461" t="s">
        <v>174</v>
      </c>
    </row>
    <row r="132" spans="1:5" ht="40.5" x14ac:dyDescent="0.25">
      <c r="A132" s="508">
        <v>105401</v>
      </c>
      <c r="B132" s="509" t="s">
        <v>12897</v>
      </c>
      <c r="C132" s="508" t="s">
        <v>107</v>
      </c>
      <c r="D132" s="508">
        <v>80.25</v>
      </c>
      <c r="E132" s="461" t="s">
        <v>174</v>
      </c>
    </row>
    <row r="133" spans="1:5" ht="40.5" x14ac:dyDescent="0.25">
      <c r="A133" s="508">
        <v>105402</v>
      </c>
      <c r="B133" s="509" t="s">
        <v>12898</v>
      </c>
      <c r="C133" s="508" t="s">
        <v>107</v>
      </c>
      <c r="D133" s="508">
        <v>89.68</v>
      </c>
      <c r="E133" s="461" t="s">
        <v>174</v>
      </c>
    </row>
    <row r="134" spans="1:5" ht="40.5" x14ac:dyDescent="0.25">
      <c r="A134" s="508">
        <v>97173</v>
      </c>
      <c r="B134" s="509" t="s">
        <v>12899</v>
      </c>
      <c r="C134" s="508" t="s">
        <v>5</v>
      </c>
      <c r="D134" s="508">
        <v>43.44</v>
      </c>
      <c r="E134" s="461" t="s">
        <v>174</v>
      </c>
    </row>
    <row r="135" spans="1:5" ht="40.5" x14ac:dyDescent="0.25">
      <c r="A135" s="508">
        <v>97174</v>
      </c>
      <c r="B135" s="509" t="s">
        <v>12900</v>
      </c>
      <c r="C135" s="508" t="s">
        <v>5</v>
      </c>
      <c r="D135" s="508">
        <v>51.85</v>
      </c>
      <c r="E135" s="461" t="s">
        <v>174</v>
      </c>
    </row>
    <row r="136" spans="1:5" ht="40.5" x14ac:dyDescent="0.25">
      <c r="A136" s="508">
        <v>97175</v>
      </c>
      <c r="B136" s="509" t="s">
        <v>12901</v>
      </c>
      <c r="C136" s="508" t="s">
        <v>5</v>
      </c>
      <c r="D136" s="508">
        <v>60.26</v>
      </c>
      <c r="E136" s="461" t="s">
        <v>174</v>
      </c>
    </row>
    <row r="137" spans="1:5" ht="40.5" x14ac:dyDescent="0.25">
      <c r="A137" s="508">
        <v>97176</v>
      </c>
      <c r="B137" s="509" t="s">
        <v>12902</v>
      </c>
      <c r="C137" s="508" t="s">
        <v>5</v>
      </c>
      <c r="D137" s="508">
        <v>68.7</v>
      </c>
      <c r="E137" s="461" t="s">
        <v>174</v>
      </c>
    </row>
    <row r="138" spans="1:5" ht="40.5" x14ac:dyDescent="0.25">
      <c r="A138" s="508">
        <v>97177</v>
      </c>
      <c r="B138" s="509" t="s">
        <v>12903</v>
      </c>
      <c r="C138" s="508" t="s">
        <v>5</v>
      </c>
      <c r="D138" s="508">
        <v>77.14</v>
      </c>
      <c r="E138" s="461" t="s">
        <v>174</v>
      </c>
    </row>
    <row r="139" spans="1:5" ht="40.5" x14ac:dyDescent="0.25">
      <c r="A139" s="508">
        <v>97178</v>
      </c>
      <c r="B139" s="509" t="s">
        <v>12904</v>
      </c>
      <c r="C139" s="508" t="s">
        <v>5</v>
      </c>
      <c r="D139" s="508">
        <v>93.99</v>
      </c>
      <c r="E139" s="461" t="s">
        <v>174</v>
      </c>
    </row>
    <row r="140" spans="1:5" ht="40.5" x14ac:dyDescent="0.25">
      <c r="A140" s="508">
        <v>97179</v>
      </c>
      <c r="B140" s="509" t="s">
        <v>12905</v>
      </c>
      <c r="C140" s="508" t="s">
        <v>5</v>
      </c>
      <c r="D140" s="508">
        <v>110.85</v>
      </c>
      <c r="E140" s="461" t="s">
        <v>174</v>
      </c>
    </row>
    <row r="141" spans="1:5" ht="40.5" x14ac:dyDescent="0.25">
      <c r="A141" s="508">
        <v>97180</v>
      </c>
      <c r="B141" s="509" t="s">
        <v>12906</v>
      </c>
      <c r="C141" s="508" t="s">
        <v>5</v>
      </c>
      <c r="D141" s="508">
        <v>127.7</v>
      </c>
      <c r="E141" s="461" t="s">
        <v>174</v>
      </c>
    </row>
    <row r="142" spans="1:5" ht="40.5" x14ac:dyDescent="0.25">
      <c r="A142" s="508">
        <v>97181</v>
      </c>
      <c r="B142" s="509" t="s">
        <v>12907</v>
      </c>
      <c r="C142" s="508" t="s">
        <v>5</v>
      </c>
      <c r="D142" s="508">
        <v>144.56</v>
      </c>
      <c r="E142" s="461" t="s">
        <v>174</v>
      </c>
    </row>
    <row r="143" spans="1:5" ht="40.5" x14ac:dyDescent="0.25">
      <c r="A143" s="508">
        <v>97182</v>
      </c>
      <c r="B143" s="509" t="s">
        <v>12908</v>
      </c>
      <c r="C143" s="508" t="s">
        <v>5</v>
      </c>
      <c r="D143" s="508">
        <v>165.16</v>
      </c>
      <c r="E143" s="461" t="s">
        <v>174</v>
      </c>
    </row>
    <row r="144" spans="1:5" ht="40.5" x14ac:dyDescent="0.25">
      <c r="A144" s="508">
        <v>97183</v>
      </c>
      <c r="B144" s="509" t="s">
        <v>12909</v>
      </c>
      <c r="C144" s="508" t="s">
        <v>5</v>
      </c>
      <c r="D144" s="508">
        <v>39.01</v>
      </c>
      <c r="E144" s="461" t="s">
        <v>174</v>
      </c>
    </row>
    <row r="145" spans="1:5" ht="40.5" x14ac:dyDescent="0.25">
      <c r="A145" s="508">
        <v>97184</v>
      </c>
      <c r="B145" s="509" t="s">
        <v>12910</v>
      </c>
      <c r="C145" s="508" t="s">
        <v>5</v>
      </c>
      <c r="D145" s="508">
        <v>46.63</v>
      </c>
      <c r="E145" s="461" t="s">
        <v>174</v>
      </c>
    </row>
    <row r="146" spans="1:5" ht="40.5" x14ac:dyDescent="0.25">
      <c r="A146" s="508">
        <v>97185</v>
      </c>
      <c r="B146" s="509" t="s">
        <v>12911</v>
      </c>
      <c r="C146" s="508" t="s">
        <v>5</v>
      </c>
      <c r="D146" s="508">
        <v>54.26</v>
      </c>
      <c r="E146" s="461" t="s">
        <v>174</v>
      </c>
    </row>
    <row r="147" spans="1:5" ht="40.5" x14ac:dyDescent="0.25">
      <c r="A147" s="508">
        <v>97186</v>
      </c>
      <c r="B147" s="509" t="s">
        <v>12912</v>
      </c>
      <c r="C147" s="508" t="s">
        <v>5</v>
      </c>
      <c r="D147" s="508">
        <v>61.91</v>
      </c>
      <c r="E147" s="461" t="s">
        <v>174</v>
      </c>
    </row>
    <row r="148" spans="1:5" ht="40.5" x14ac:dyDescent="0.25">
      <c r="A148" s="508">
        <v>97187</v>
      </c>
      <c r="B148" s="509" t="s">
        <v>12913</v>
      </c>
      <c r="C148" s="508" t="s">
        <v>5</v>
      </c>
      <c r="D148" s="508">
        <v>69.55</v>
      </c>
      <c r="E148" s="461" t="s">
        <v>174</v>
      </c>
    </row>
    <row r="149" spans="1:5" ht="40.5" x14ac:dyDescent="0.25">
      <c r="A149" s="508">
        <v>97188</v>
      </c>
      <c r="B149" s="509" t="s">
        <v>12914</v>
      </c>
      <c r="C149" s="508" t="s">
        <v>5</v>
      </c>
      <c r="D149" s="508">
        <v>84.85</v>
      </c>
      <c r="E149" s="461" t="s">
        <v>174</v>
      </c>
    </row>
    <row r="150" spans="1:5" ht="40.5" x14ac:dyDescent="0.25">
      <c r="A150" s="508">
        <v>97189</v>
      </c>
      <c r="B150" s="509" t="s">
        <v>12915</v>
      </c>
      <c r="C150" s="508" t="s">
        <v>5</v>
      </c>
      <c r="D150" s="508">
        <v>100.12</v>
      </c>
      <c r="E150" s="461" t="s">
        <v>174</v>
      </c>
    </row>
    <row r="151" spans="1:5" ht="40.5" x14ac:dyDescent="0.25">
      <c r="A151" s="508">
        <v>97190</v>
      </c>
      <c r="B151" s="509" t="s">
        <v>12916</v>
      </c>
      <c r="C151" s="508" t="s">
        <v>5</v>
      </c>
      <c r="D151" s="508">
        <v>115.4</v>
      </c>
      <c r="E151" s="461" t="s">
        <v>174</v>
      </c>
    </row>
    <row r="152" spans="1:5" ht="40.5" x14ac:dyDescent="0.25">
      <c r="A152" s="508">
        <v>97191</v>
      </c>
      <c r="B152" s="509" t="s">
        <v>12917</v>
      </c>
      <c r="C152" s="508" t="s">
        <v>5</v>
      </c>
      <c r="D152" s="508">
        <v>130.69999999999999</v>
      </c>
      <c r="E152" s="461" t="s">
        <v>174</v>
      </c>
    </row>
    <row r="153" spans="1:5" ht="40.5" x14ac:dyDescent="0.25">
      <c r="A153" s="508">
        <v>97192</v>
      </c>
      <c r="B153" s="509" t="s">
        <v>12918</v>
      </c>
      <c r="C153" s="508" t="s">
        <v>5</v>
      </c>
      <c r="D153" s="508">
        <v>148.88</v>
      </c>
      <c r="E153" s="461" t="s">
        <v>174</v>
      </c>
    </row>
    <row r="154" spans="1:5" ht="27" x14ac:dyDescent="0.25">
      <c r="A154" s="508">
        <v>90694</v>
      </c>
      <c r="B154" s="509" t="s">
        <v>2159</v>
      </c>
      <c r="C154" s="508" t="s">
        <v>5</v>
      </c>
      <c r="D154" s="508">
        <v>39.26</v>
      </c>
      <c r="E154" s="461" t="s">
        <v>174</v>
      </c>
    </row>
    <row r="155" spans="1:5" ht="27" x14ac:dyDescent="0.25">
      <c r="A155" s="508">
        <v>90695</v>
      </c>
      <c r="B155" s="509" t="s">
        <v>2160</v>
      </c>
      <c r="C155" s="508" t="s">
        <v>5</v>
      </c>
      <c r="D155" s="508">
        <v>73.989999999999995</v>
      </c>
      <c r="E155" s="461" t="s">
        <v>174</v>
      </c>
    </row>
    <row r="156" spans="1:5" ht="27" x14ac:dyDescent="0.25">
      <c r="A156" s="508">
        <v>90696</v>
      </c>
      <c r="B156" s="509" t="s">
        <v>2161</v>
      </c>
      <c r="C156" s="508" t="s">
        <v>5</v>
      </c>
      <c r="D156" s="508">
        <v>123.11</v>
      </c>
      <c r="E156" s="461" t="s">
        <v>174</v>
      </c>
    </row>
    <row r="157" spans="1:5" ht="27" x14ac:dyDescent="0.25">
      <c r="A157" s="508">
        <v>90697</v>
      </c>
      <c r="B157" s="509" t="s">
        <v>2162</v>
      </c>
      <c r="C157" s="508" t="s">
        <v>5</v>
      </c>
      <c r="D157" s="508">
        <v>190.51</v>
      </c>
      <c r="E157" s="461" t="s">
        <v>174</v>
      </c>
    </row>
    <row r="158" spans="1:5" ht="27" x14ac:dyDescent="0.25">
      <c r="A158" s="508">
        <v>90698</v>
      </c>
      <c r="B158" s="509" t="s">
        <v>2163</v>
      </c>
      <c r="C158" s="508" t="s">
        <v>5</v>
      </c>
      <c r="D158" s="508">
        <v>290.64999999999998</v>
      </c>
      <c r="E158" s="461" t="s">
        <v>174</v>
      </c>
    </row>
    <row r="159" spans="1:5" ht="27" x14ac:dyDescent="0.25">
      <c r="A159" s="508">
        <v>90699</v>
      </c>
      <c r="B159" s="509" t="s">
        <v>2164</v>
      </c>
      <c r="C159" s="508" t="s">
        <v>5</v>
      </c>
      <c r="D159" s="508">
        <v>408.63</v>
      </c>
      <c r="E159" s="461" t="s">
        <v>174</v>
      </c>
    </row>
    <row r="160" spans="1:5" ht="27" x14ac:dyDescent="0.25">
      <c r="A160" s="508">
        <v>90700</v>
      </c>
      <c r="B160" s="509" t="s">
        <v>2165</v>
      </c>
      <c r="C160" s="508" t="s">
        <v>5</v>
      </c>
      <c r="D160" s="508">
        <v>476.95</v>
      </c>
      <c r="E160" s="461" t="s">
        <v>174</v>
      </c>
    </row>
    <row r="161" spans="1:5" ht="27" x14ac:dyDescent="0.25">
      <c r="A161" s="508">
        <v>90701</v>
      </c>
      <c r="B161" s="509" t="s">
        <v>2166</v>
      </c>
      <c r="C161" s="508" t="s">
        <v>5</v>
      </c>
      <c r="D161" s="508">
        <v>58.76</v>
      </c>
      <c r="E161" s="461" t="s">
        <v>174</v>
      </c>
    </row>
    <row r="162" spans="1:5" ht="27" x14ac:dyDescent="0.25">
      <c r="A162" s="508">
        <v>90702</v>
      </c>
      <c r="B162" s="509" t="s">
        <v>2167</v>
      </c>
      <c r="C162" s="508" t="s">
        <v>5</v>
      </c>
      <c r="D162" s="508">
        <v>96.65</v>
      </c>
      <c r="E162" s="461" t="s">
        <v>174</v>
      </c>
    </row>
    <row r="163" spans="1:5" ht="27" x14ac:dyDescent="0.25">
      <c r="A163" s="508">
        <v>90703</v>
      </c>
      <c r="B163" s="509" t="s">
        <v>2168</v>
      </c>
      <c r="C163" s="508" t="s">
        <v>5</v>
      </c>
      <c r="D163" s="508">
        <v>151.30000000000001</v>
      </c>
      <c r="E163" s="461" t="s">
        <v>174</v>
      </c>
    </row>
    <row r="164" spans="1:5" ht="27" x14ac:dyDescent="0.25">
      <c r="A164" s="508">
        <v>90704</v>
      </c>
      <c r="B164" s="509" t="s">
        <v>2169</v>
      </c>
      <c r="C164" s="508" t="s">
        <v>5</v>
      </c>
      <c r="D164" s="508">
        <v>225.17</v>
      </c>
      <c r="E164" s="461" t="s">
        <v>174</v>
      </c>
    </row>
    <row r="165" spans="1:5" ht="27" x14ac:dyDescent="0.25">
      <c r="A165" s="508">
        <v>90705</v>
      </c>
      <c r="B165" s="509" t="s">
        <v>2170</v>
      </c>
      <c r="C165" s="508" t="s">
        <v>5</v>
      </c>
      <c r="D165" s="508">
        <v>292.45999999999998</v>
      </c>
      <c r="E165" s="461" t="s">
        <v>174</v>
      </c>
    </row>
    <row r="166" spans="1:5" ht="27" x14ac:dyDescent="0.25">
      <c r="A166" s="508">
        <v>90706</v>
      </c>
      <c r="B166" s="509" t="s">
        <v>2171</v>
      </c>
      <c r="C166" s="508" t="s">
        <v>5</v>
      </c>
      <c r="D166" s="508">
        <v>387.26</v>
      </c>
      <c r="E166" s="461" t="s">
        <v>174</v>
      </c>
    </row>
    <row r="167" spans="1:5" ht="27" x14ac:dyDescent="0.25">
      <c r="A167" s="508">
        <v>90708</v>
      </c>
      <c r="B167" s="509" t="s">
        <v>2172</v>
      </c>
      <c r="C167" s="508" t="s">
        <v>5</v>
      </c>
      <c r="D167" s="508">
        <v>684.07</v>
      </c>
      <c r="E167" s="461" t="s">
        <v>174</v>
      </c>
    </row>
    <row r="168" spans="1:5" ht="27" x14ac:dyDescent="0.25">
      <c r="A168" s="508">
        <v>90724</v>
      </c>
      <c r="B168" s="509" t="s">
        <v>2173</v>
      </c>
      <c r="C168" s="508" t="s">
        <v>107</v>
      </c>
      <c r="D168" s="508">
        <v>26.01</v>
      </c>
      <c r="E168" s="461" t="s">
        <v>174</v>
      </c>
    </row>
    <row r="169" spans="1:5" ht="27" x14ac:dyDescent="0.25">
      <c r="A169" s="508">
        <v>90725</v>
      </c>
      <c r="B169" s="509" t="s">
        <v>2174</v>
      </c>
      <c r="C169" s="508" t="s">
        <v>107</v>
      </c>
      <c r="D169" s="508">
        <v>32</v>
      </c>
      <c r="E169" s="461" t="s">
        <v>174</v>
      </c>
    </row>
    <row r="170" spans="1:5" ht="27" x14ac:dyDescent="0.25">
      <c r="A170" s="508">
        <v>90726</v>
      </c>
      <c r="B170" s="509" t="s">
        <v>2175</v>
      </c>
      <c r="C170" s="508" t="s">
        <v>107</v>
      </c>
      <c r="D170" s="508">
        <v>38.07</v>
      </c>
      <c r="E170" s="461" t="s">
        <v>174</v>
      </c>
    </row>
    <row r="171" spans="1:5" ht="27" x14ac:dyDescent="0.25">
      <c r="A171" s="508">
        <v>90727</v>
      </c>
      <c r="B171" s="509" t="s">
        <v>2176</v>
      </c>
      <c r="C171" s="508" t="s">
        <v>107</v>
      </c>
      <c r="D171" s="508">
        <v>44.08</v>
      </c>
      <c r="E171" s="461" t="s">
        <v>174</v>
      </c>
    </row>
    <row r="172" spans="1:5" ht="27" x14ac:dyDescent="0.25">
      <c r="A172" s="508">
        <v>90728</v>
      </c>
      <c r="B172" s="509" t="s">
        <v>2177</v>
      </c>
      <c r="C172" s="508" t="s">
        <v>107</v>
      </c>
      <c r="D172" s="508">
        <v>50.08</v>
      </c>
      <c r="E172" s="461" t="s">
        <v>174</v>
      </c>
    </row>
    <row r="173" spans="1:5" ht="27" x14ac:dyDescent="0.25">
      <c r="A173" s="508">
        <v>90729</v>
      </c>
      <c r="B173" s="509" t="s">
        <v>2178</v>
      </c>
      <c r="C173" s="508" t="s">
        <v>107</v>
      </c>
      <c r="D173" s="508">
        <v>56.08</v>
      </c>
      <c r="E173" s="461" t="s">
        <v>174</v>
      </c>
    </row>
    <row r="174" spans="1:5" ht="27" x14ac:dyDescent="0.25">
      <c r="A174" s="508">
        <v>90730</v>
      </c>
      <c r="B174" s="509" t="s">
        <v>2179</v>
      </c>
      <c r="C174" s="508" t="s">
        <v>107</v>
      </c>
      <c r="D174" s="508">
        <v>62.09</v>
      </c>
      <c r="E174" s="461" t="s">
        <v>174</v>
      </c>
    </row>
    <row r="175" spans="1:5" ht="27" x14ac:dyDescent="0.25">
      <c r="A175" s="508">
        <v>90731</v>
      </c>
      <c r="B175" s="509" t="s">
        <v>2180</v>
      </c>
      <c r="C175" s="508" t="s">
        <v>107</v>
      </c>
      <c r="D175" s="508">
        <v>68.09</v>
      </c>
      <c r="E175" s="461" t="s">
        <v>174</v>
      </c>
    </row>
    <row r="176" spans="1:5" ht="27" x14ac:dyDescent="0.25">
      <c r="A176" s="508">
        <v>90732</v>
      </c>
      <c r="B176" s="509" t="s">
        <v>2181</v>
      </c>
      <c r="C176" s="508" t="s">
        <v>107</v>
      </c>
      <c r="D176" s="508">
        <v>86.1</v>
      </c>
      <c r="E176" s="461" t="s">
        <v>174</v>
      </c>
    </row>
    <row r="177" spans="1:5" ht="27" x14ac:dyDescent="0.25">
      <c r="A177" s="508">
        <v>90733</v>
      </c>
      <c r="B177" s="509" t="s">
        <v>2182</v>
      </c>
      <c r="C177" s="508" t="s">
        <v>5</v>
      </c>
      <c r="D177" s="510">
        <v>3.65</v>
      </c>
      <c r="E177" s="461" t="s">
        <v>174</v>
      </c>
    </row>
    <row r="178" spans="1:5" ht="27" x14ac:dyDescent="0.25">
      <c r="A178" s="508">
        <v>90734</v>
      </c>
      <c r="B178" s="509" t="s">
        <v>2183</v>
      </c>
      <c r="C178" s="508" t="s">
        <v>5</v>
      </c>
      <c r="D178" s="508">
        <v>4.32</v>
      </c>
      <c r="E178" s="461" t="s">
        <v>174</v>
      </c>
    </row>
    <row r="179" spans="1:5" ht="27" x14ac:dyDescent="0.25">
      <c r="A179" s="508">
        <v>90735</v>
      </c>
      <c r="B179" s="509" t="s">
        <v>2184</v>
      </c>
      <c r="C179" s="508" t="s">
        <v>5</v>
      </c>
      <c r="D179" s="508">
        <v>5</v>
      </c>
      <c r="E179" s="461" t="s">
        <v>174</v>
      </c>
    </row>
    <row r="180" spans="1:5" ht="27" x14ac:dyDescent="0.25">
      <c r="A180" s="508">
        <v>90736</v>
      </c>
      <c r="B180" s="509" t="s">
        <v>2185</v>
      </c>
      <c r="C180" s="508" t="s">
        <v>5</v>
      </c>
      <c r="D180" s="508">
        <v>5.67</v>
      </c>
      <c r="E180" s="461" t="s">
        <v>174</v>
      </c>
    </row>
    <row r="181" spans="1:5" ht="27" x14ac:dyDescent="0.25">
      <c r="A181" s="508">
        <v>90737</v>
      </c>
      <c r="B181" s="509" t="s">
        <v>2186</v>
      </c>
      <c r="C181" s="508" t="s">
        <v>5</v>
      </c>
      <c r="D181" s="508">
        <v>6.35</v>
      </c>
      <c r="E181" s="461" t="s">
        <v>174</v>
      </c>
    </row>
    <row r="182" spans="1:5" ht="27" x14ac:dyDescent="0.25">
      <c r="A182" s="508">
        <v>90738</v>
      </c>
      <c r="B182" s="509" t="s">
        <v>2187</v>
      </c>
      <c r="C182" s="508" t="s">
        <v>5</v>
      </c>
      <c r="D182" s="508">
        <v>7.02</v>
      </c>
      <c r="E182" s="461" t="s">
        <v>174</v>
      </c>
    </row>
    <row r="183" spans="1:5" ht="27" x14ac:dyDescent="0.25">
      <c r="A183" s="508">
        <v>90739</v>
      </c>
      <c r="B183" s="509" t="s">
        <v>2188</v>
      </c>
      <c r="C183" s="508" t="s">
        <v>5</v>
      </c>
      <c r="D183" s="508">
        <v>9.25</v>
      </c>
      <c r="E183" s="461" t="s">
        <v>174</v>
      </c>
    </row>
    <row r="184" spans="1:5" ht="27" x14ac:dyDescent="0.25">
      <c r="A184" s="508">
        <v>90740</v>
      </c>
      <c r="B184" s="509" t="s">
        <v>2189</v>
      </c>
      <c r="C184" s="508" t="s">
        <v>5</v>
      </c>
      <c r="D184" s="508">
        <v>4.82</v>
      </c>
      <c r="E184" s="461" t="s">
        <v>174</v>
      </c>
    </row>
    <row r="185" spans="1:5" ht="27" x14ac:dyDescent="0.25">
      <c r="A185" s="508">
        <v>90741</v>
      </c>
      <c r="B185" s="509" t="s">
        <v>2190</v>
      </c>
      <c r="C185" s="508" t="s">
        <v>5</v>
      </c>
      <c r="D185" s="508">
        <v>5.49</v>
      </c>
      <c r="E185" s="461" t="s">
        <v>174</v>
      </c>
    </row>
    <row r="186" spans="1:5" ht="27" x14ac:dyDescent="0.25">
      <c r="A186" s="508">
        <v>90742</v>
      </c>
      <c r="B186" s="509" t="s">
        <v>2191</v>
      </c>
      <c r="C186" s="508" t="s">
        <v>5</v>
      </c>
      <c r="D186" s="508">
        <v>6.17</v>
      </c>
      <c r="E186" s="461" t="s">
        <v>174</v>
      </c>
    </row>
    <row r="187" spans="1:5" ht="27" x14ac:dyDescent="0.25">
      <c r="A187" s="508">
        <v>90743</v>
      </c>
      <c r="B187" s="509" t="s">
        <v>2192</v>
      </c>
      <c r="C187" s="508" t="s">
        <v>5</v>
      </c>
      <c r="D187" s="508">
        <v>6.84</v>
      </c>
      <c r="E187" s="461" t="s">
        <v>174</v>
      </c>
    </row>
    <row r="188" spans="1:5" ht="27" x14ac:dyDescent="0.25">
      <c r="A188" s="508">
        <v>90744</v>
      </c>
      <c r="B188" s="509" t="s">
        <v>2193</v>
      </c>
      <c r="C188" s="508" t="s">
        <v>5</v>
      </c>
      <c r="D188" s="508">
        <v>7.52</v>
      </c>
      <c r="E188" s="461" t="s">
        <v>174</v>
      </c>
    </row>
    <row r="189" spans="1:5" ht="27" x14ac:dyDescent="0.25">
      <c r="A189" s="508">
        <v>90745</v>
      </c>
      <c r="B189" s="509" t="s">
        <v>2194</v>
      </c>
      <c r="C189" s="508" t="s">
        <v>5</v>
      </c>
      <c r="D189" s="510">
        <v>10.33</v>
      </c>
      <c r="E189" s="461" t="s">
        <v>174</v>
      </c>
    </row>
    <row r="190" spans="1:5" ht="27" x14ac:dyDescent="0.25">
      <c r="A190" s="508">
        <v>90746</v>
      </c>
      <c r="B190" s="509" t="s">
        <v>2195</v>
      </c>
      <c r="C190" s="508" t="s">
        <v>5</v>
      </c>
      <c r="D190" s="508">
        <v>3.95</v>
      </c>
      <c r="E190" s="461" t="s">
        <v>174</v>
      </c>
    </row>
    <row r="191" spans="1:5" ht="27" x14ac:dyDescent="0.25">
      <c r="A191" s="508">
        <v>90747</v>
      </c>
      <c r="B191" s="509" t="s">
        <v>2196</v>
      </c>
      <c r="C191" s="508" t="s">
        <v>5</v>
      </c>
      <c r="D191" s="508">
        <v>17.28</v>
      </c>
      <c r="E191" s="461" t="s">
        <v>174</v>
      </c>
    </row>
    <row r="192" spans="1:5" ht="27" x14ac:dyDescent="0.25">
      <c r="A192" s="508">
        <v>94869</v>
      </c>
      <c r="B192" s="509" t="s">
        <v>2197</v>
      </c>
      <c r="C192" s="508" t="s">
        <v>5</v>
      </c>
      <c r="D192" s="508">
        <v>120.5</v>
      </c>
      <c r="E192" s="461" t="s">
        <v>174</v>
      </c>
    </row>
    <row r="193" spans="1:5" ht="27" x14ac:dyDescent="0.25">
      <c r="A193" s="508">
        <v>94870</v>
      </c>
      <c r="B193" s="509" t="s">
        <v>2198</v>
      </c>
      <c r="C193" s="508" t="s">
        <v>5</v>
      </c>
      <c r="D193" s="508">
        <v>2.04</v>
      </c>
      <c r="E193" s="461" t="s">
        <v>174</v>
      </c>
    </row>
    <row r="194" spans="1:5" ht="27" x14ac:dyDescent="0.25">
      <c r="A194" s="508">
        <v>94871</v>
      </c>
      <c r="B194" s="509" t="s">
        <v>2199</v>
      </c>
      <c r="C194" s="508" t="s">
        <v>5</v>
      </c>
      <c r="D194" s="508">
        <v>188.44</v>
      </c>
      <c r="E194" s="461" t="s">
        <v>174</v>
      </c>
    </row>
    <row r="195" spans="1:5" ht="27" x14ac:dyDescent="0.25">
      <c r="A195" s="508">
        <v>94872</v>
      </c>
      <c r="B195" s="509" t="s">
        <v>2200</v>
      </c>
      <c r="C195" s="508" t="s">
        <v>5</v>
      </c>
      <c r="D195" s="508">
        <v>2.86</v>
      </c>
      <c r="E195" s="461" t="s">
        <v>174</v>
      </c>
    </row>
    <row r="196" spans="1:5" ht="27" x14ac:dyDescent="0.25">
      <c r="A196" s="508">
        <v>94875</v>
      </c>
      <c r="B196" s="509" t="s">
        <v>2201</v>
      </c>
      <c r="C196" s="508" t="s">
        <v>5</v>
      </c>
      <c r="D196" s="508">
        <v>1110.5</v>
      </c>
      <c r="E196" s="461" t="s">
        <v>174</v>
      </c>
    </row>
    <row r="197" spans="1:5" ht="27" x14ac:dyDescent="0.25">
      <c r="A197" s="508">
        <v>94876</v>
      </c>
      <c r="B197" s="509" t="s">
        <v>2202</v>
      </c>
      <c r="C197" s="508" t="s">
        <v>5</v>
      </c>
      <c r="D197" s="508">
        <v>29.14</v>
      </c>
      <c r="E197" s="461" t="s">
        <v>174</v>
      </c>
    </row>
    <row r="198" spans="1:5" ht="27" x14ac:dyDescent="0.25">
      <c r="A198" s="508">
        <v>94878</v>
      </c>
      <c r="B198" s="509" t="s">
        <v>3541</v>
      </c>
      <c r="C198" s="508" t="s">
        <v>5</v>
      </c>
      <c r="D198" s="508">
        <v>33.68</v>
      </c>
      <c r="E198" s="461" t="s">
        <v>174</v>
      </c>
    </row>
    <row r="199" spans="1:5" ht="27" x14ac:dyDescent="0.25">
      <c r="A199" s="508">
        <v>94879</v>
      </c>
      <c r="B199" s="509" t="s">
        <v>3542</v>
      </c>
      <c r="C199" s="508" t="s">
        <v>5</v>
      </c>
      <c r="D199" s="508">
        <v>1709.35</v>
      </c>
      <c r="E199" s="461" t="s">
        <v>174</v>
      </c>
    </row>
    <row r="200" spans="1:5" ht="27" x14ac:dyDescent="0.25">
      <c r="A200" s="508">
        <v>94880</v>
      </c>
      <c r="B200" s="509" t="s">
        <v>3543</v>
      </c>
      <c r="C200" s="508" t="s">
        <v>5</v>
      </c>
      <c r="D200" s="508">
        <v>43.53</v>
      </c>
      <c r="E200" s="461" t="s">
        <v>174</v>
      </c>
    </row>
    <row r="201" spans="1:5" ht="27" x14ac:dyDescent="0.25">
      <c r="A201" s="508">
        <v>94881</v>
      </c>
      <c r="B201" s="509" t="s">
        <v>3544</v>
      </c>
      <c r="C201" s="508" t="s">
        <v>5</v>
      </c>
      <c r="D201" s="508">
        <v>2352.8200000000002</v>
      </c>
      <c r="E201" s="461" t="s">
        <v>174</v>
      </c>
    </row>
    <row r="202" spans="1:5" ht="27" x14ac:dyDescent="0.25">
      <c r="A202" s="508">
        <v>94882</v>
      </c>
      <c r="B202" s="509" t="s">
        <v>3545</v>
      </c>
      <c r="C202" s="508" t="s">
        <v>5</v>
      </c>
      <c r="D202" s="508">
        <v>50.55</v>
      </c>
      <c r="E202" s="461" t="s">
        <v>174</v>
      </c>
    </row>
    <row r="203" spans="1:5" ht="27" x14ac:dyDescent="0.25">
      <c r="A203" s="508">
        <v>94884</v>
      </c>
      <c r="B203" s="509" t="s">
        <v>3546</v>
      </c>
      <c r="C203" s="508" t="s">
        <v>5</v>
      </c>
      <c r="D203" s="508">
        <v>64.739999999999995</v>
      </c>
      <c r="E203" s="461" t="s">
        <v>174</v>
      </c>
    </row>
    <row r="204" spans="1:5" ht="40.5" x14ac:dyDescent="0.25">
      <c r="A204" s="508">
        <v>97121</v>
      </c>
      <c r="B204" s="509" t="s">
        <v>12919</v>
      </c>
      <c r="C204" s="508" t="s">
        <v>5</v>
      </c>
      <c r="D204" s="508">
        <v>3.21</v>
      </c>
      <c r="E204" s="461" t="s">
        <v>174</v>
      </c>
    </row>
    <row r="205" spans="1:5" ht="40.5" x14ac:dyDescent="0.25">
      <c r="A205" s="508">
        <v>97122</v>
      </c>
      <c r="B205" s="509" t="s">
        <v>12920</v>
      </c>
      <c r="C205" s="508" t="s">
        <v>5</v>
      </c>
      <c r="D205" s="508">
        <v>3.86</v>
      </c>
      <c r="E205" s="461" t="s">
        <v>174</v>
      </c>
    </row>
    <row r="206" spans="1:5" ht="40.5" x14ac:dyDescent="0.25">
      <c r="A206" s="508">
        <v>97123</v>
      </c>
      <c r="B206" s="509" t="s">
        <v>12921</v>
      </c>
      <c r="C206" s="508" t="s">
        <v>5</v>
      </c>
      <c r="D206" s="508">
        <v>4.49</v>
      </c>
      <c r="E206" s="461" t="s">
        <v>174</v>
      </c>
    </row>
    <row r="207" spans="1:5" ht="40.5" x14ac:dyDescent="0.25">
      <c r="A207" s="508">
        <v>97124</v>
      </c>
      <c r="B207" s="509" t="s">
        <v>12922</v>
      </c>
      <c r="C207" s="508" t="s">
        <v>5</v>
      </c>
      <c r="D207" s="508">
        <v>2.62</v>
      </c>
      <c r="E207" s="461" t="s">
        <v>174</v>
      </c>
    </row>
    <row r="208" spans="1:5" ht="40.5" x14ac:dyDescent="0.25">
      <c r="A208" s="508">
        <v>97125</v>
      </c>
      <c r="B208" s="509" t="s">
        <v>12923</v>
      </c>
      <c r="C208" s="508" t="s">
        <v>5</v>
      </c>
      <c r="D208" s="508">
        <v>3.17</v>
      </c>
      <c r="E208" s="461" t="s">
        <v>174</v>
      </c>
    </row>
    <row r="209" spans="1:5" ht="40.5" x14ac:dyDescent="0.25">
      <c r="A209" s="508">
        <v>97126</v>
      </c>
      <c r="B209" s="509" t="s">
        <v>12924</v>
      </c>
      <c r="C209" s="508" t="s">
        <v>5</v>
      </c>
      <c r="D209" s="508">
        <v>3.69</v>
      </c>
      <c r="E209" s="461" t="s">
        <v>174</v>
      </c>
    </row>
    <row r="210" spans="1:5" ht="27" x14ac:dyDescent="0.25">
      <c r="A210" s="508">
        <v>102264</v>
      </c>
      <c r="B210" s="509" t="s">
        <v>2203</v>
      </c>
      <c r="C210" s="508" t="s">
        <v>5</v>
      </c>
      <c r="D210" s="508">
        <v>17.59</v>
      </c>
      <c r="E210" s="461" t="s">
        <v>174</v>
      </c>
    </row>
    <row r="211" spans="1:5" ht="27" x14ac:dyDescent="0.25">
      <c r="A211" s="508">
        <v>102265</v>
      </c>
      <c r="B211" s="509" t="s">
        <v>2204</v>
      </c>
      <c r="C211" s="508" t="s">
        <v>107</v>
      </c>
      <c r="D211" s="508">
        <v>110.1</v>
      </c>
      <c r="E211" s="461" t="s">
        <v>174</v>
      </c>
    </row>
    <row r="212" spans="1:5" ht="27" x14ac:dyDescent="0.25">
      <c r="A212" s="508">
        <v>102266</v>
      </c>
      <c r="B212" s="509" t="s">
        <v>2205</v>
      </c>
      <c r="C212" s="508" t="s">
        <v>107</v>
      </c>
      <c r="D212" s="508">
        <v>122.1</v>
      </c>
      <c r="E212" s="461" t="s">
        <v>174</v>
      </c>
    </row>
    <row r="213" spans="1:5" ht="27" x14ac:dyDescent="0.25">
      <c r="A213" s="508">
        <v>102267</v>
      </c>
      <c r="B213" s="509" t="s">
        <v>2206</v>
      </c>
      <c r="C213" s="508" t="s">
        <v>107</v>
      </c>
      <c r="D213" s="508">
        <v>140.19</v>
      </c>
      <c r="E213" s="461" t="s">
        <v>174</v>
      </c>
    </row>
    <row r="214" spans="1:5" ht="27" x14ac:dyDescent="0.25">
      <c r="A214" s="508">
        <v>102268</v>
      </c>
      <c r="B214" s="509" t="s">
        <v>2207</v>
      </c>
      <c r="C214" s="508" t="s">
        <v>107</v>
      </c>
      <c r="D214" s="508">
        <v>158.19</v>
      </c>
      <c r="E214" s="461" t="s">
        <v>174</v>
      </c>
    </row>
    <row r="215" spans="1:5" ht="27" x14ac:dyDescent="0.25">
      <c r="A215" s="508">
        <v>102269</v>
      </c>
      <c r="B215" s="509" t="s">
        <v>2208</v>
      </c>
      <c r="C215" s="508" t="s">
        <v>107</v>
      </c>
      <c r="D215" s="508">
        <v>194.21</v>
      </c>
      <c r="E215" s="461" t="s">
        <v>174</v>
      </c>
    </row>
    <row r="216" spans="1:5" ht="40.5" x14ac:dyDescent="0.25">
      <c r="A216" s="508">
        <v>105260</v>
      </c>
      <c r="B216" s="509" t="s">
        <v>12925</v>
      </c>
      <c r="C216" s="508" t="s">
        <v>107</v>
      </c>
      <c r="D216" s="508">
        <v>20.260000000000002</v>
      </c>
      <c r="E216" s="461" t="s">
        <v>174</v>
      </c>
    </row>
    <row r="217" spans="1:5" ht="40.5" x14ac:dyDescent="0.25">
      <c r="A217" s="508">
        <v>105285</v>
      </c>
      <c r="B217" s="509" t="s">
        <v>12926</v>
      </c>
      <c r="C217" s="508" t="s">
        <v>107</v>
      </c>
      <c r="D217" s="508">
        <v>19.670000000000002</v>
      </c>
      <c r="E217" s="461" t="s">
        <v>174</v>
      </c>
    </row>
    <row r="218" spans="1:5" ht="40.5" x14ac:dyDescent="0.25">
      <c r="A218" s="508">
        <v>105286</v>
      </c>
      <c r="B218" s="509" t="s">
        <v>12927</v>
      </c>
      <c r="C218" s="508" t="s">
        <v>107</v>
      </c>
      <c r="D218" s="508">
        <v>26.65</v>
      </c>
      <c r="E218" s="461" t="s">
        <v>174</v>
      </c>
    </row>
    <row r="219" spans="1:5" ht="40.5" x14ac:dyDescent="0.25">
      <c r="A219" s="508">
        <v>105287</v>
      </c>
      <c r="B219" s="509" t="s">
        <v>12928</v>
      </c>
      <c r="C219" s="508" t="s">
        <v>107</v>
      </c>
      <c r="D219" s="508">
        <v>24.28</v>
      </c>
      <c r="E219" s="461" t="s">
        <v>174</v>
      </c>
    </row>
    <row r="220" spans="1:5" ht="40.5" x14ac:dyDescent="0.25">
      <c r="A220" s="508">
        <v>105288</v>
      </c>
      <c r="B220" s="509" t="s">
        <v>12929</v>
      </c>
      <c r="C220" s="508" t="s">
        <v>107</v>
      </c>
      <c r="D220" s="508">
        <v>41.89</v>
      </c>
      <c r="E220" s="461" t="s">
        <v>174</v>
      </c>
    </row>
    <row r="221" spans="1:5" ht="40.5" x14ac:dyDescent="0.25">
      <c r="A221" s="508">
        <v>105289</v>
      </c>
      <c r="B221" s="509" t="s">
        <v>12930</v>
      </c>
      <c r="C221" s="508" t="s">
        <v>107</v>
      </c>
      <c r="D221" s="508">
        <v>39.090000000000003</v>
      </c>
      <c r="E221" s="461" t="s">
        <v>174</v>
      </c>
    </row>
    <row r="222" spans="1:5" ht="40.5" x14ac:dyDescent="0.25">
      <c r="A222" s="508">
        <v>105290</v>
      </c>
      <c r="B222" s="509" t="s">
        <v>12931</v>
      </c>
      <c r="C222" s="508" t="s">
        <v>107</v>
      </c>
      <c r="D222" s="508">
        <v>55.35</v>
      </c>
      <c r="E222" s="461" t="s">
        <v>174</v>
      </c>
    </row>
    <row r="223" spans="1:5" ht="40.5" x14ac:dyDescent="0.25">
      <c r="A223" s="508">
        <v>105291</v>
      </c>
      <c r="B223" s="509" t="s">
        <v>12932</v>
      </c>
      <c r="C223" s="508" t="s">
        <v>107</v>
      </c>
      <c r="D223" s="508">
        <v>52.11</v>
      </c>
      <c r="E223" s="461" t="s">
        <v>174</v>
      </c>
    </row>
    <row r="224" spans="1:5" ht="40.5" x14ac:dyDescent="0.25">
      <c r="A224" s="508">
        <v>105292</v>
      </c>
      <c r="B224" s="509" t="s">
        <v>12933</v>
      </c>
      <c r="C224" s="508" t="s">
        <v>107</v>
      </c>
      <c r="D224" s="508">
        <v>43.56</v>
      </c>
      <c r="E224" s="461" t="s">
        <v>174</v>
      </c>
    </row>
    <row r="225" spans="1:5" ht="40.5" x14ac:dyDescent="0.25">
      <c r="A225" s="508">
        <v>105293</v>
      </c>
      <c r="B225" s="509" t="s">
        <v>12934</v>
      </c>
      <c r="C225" s="508" t="s">
        <v>107</v>
      </c>
      <c r="D225" s="508">
        <v>40.01</v>
      </c>
      <c r="E225" s="461" t="s">
        <v>174</v>
      </c>
    </row>
    <row r="226" spans="1:5" ht="40.5" x14ac:dyDescent="0.25">
      <c r="A226" s="508">
        <v>105294</v>
      </c>
      <c r="B226" s="509" t="s">
        <v>12935</v>
      </c>
      <c r="C226" s="508" t="s">
        <v>107</v>
      </c>
      <c r="D226" s="508">
        <v>82.76</v>
      </c>
      <c r="E226" s="461" t="s">
        <v>174</v>
      </c>
    </row>
    <row r="227" spans="1:5" ht="40.5" x14ac:dyDescent="0.25">
      <c r="A227" s="508">
        <v>105295</v>
      </c>
      <c r="B227" s="509" t="s">
        <v>12936</v>
      </c>
      <c r="C227" s="508" t="s">
        <v>107</v>
      </c>
      <c r="D227" s="508">
        <v>78.569999999999993</v>
      </c>
      <c r="E227" s="461" t="s">
        <v>174</v>
      </c>
    </row>
    <row r="228" spans="1:5" ht="40.5" x14ac:dyDescent="0.25">
      <c r="A228" s="508">
        <v>105296</v>
      </c>
      <c r="B228" s="509" t="s">
        <v>12937</v>
      </c>
      <c r="C228" s="508" t="s">
        <v>107</v>
      </c>
      <c r="D228" s="508">
        <v>137.30000000000001</v>
      </c>
      <c r="E228" s="461" t="s">
        <v>174</v>
      </c>
    </row>
    <row r="229" spans="1:5" ht="40.5" x14ac:dyDescent="0.25">
      <c r="A229" s="508">
        <v>105308</v>
      </c>
      <c r="B229" s="509" t="s">
        <v>12938</v>
      </c>
      <c r="C229" s="508" t="s">
        <v>5</v>
      </c>
      <c r="D229" s="508">
        <v>5.17</v>
      </c>
      <c r="E229" s="461" t="s">
        <v>174</v>
      </c>
    </row>
    <row r="230" spans="1:5" ht="40.5" x14ac:dyDescent="0.25">
      <c r="A230" s="508">
        <v>105309</v>
      </c>
      <c r="B230" s="509" t="s">
        <v>12939</v>
      </c>
      <c r="C230" s="508" t="s">
        <v>5</v>
      </c>
      <c r="D230" s="508">
        <v>5.57</v>
      </c>
      <c r="E230" s="461" t="s">
        <v>174</v>
      </c>
    </row>
    <row r="231" spans="1:5" ht="40.5" x14ac:dyDescent="0.25">
      <c r="A231" s="508">
        <v>105310</v>
      </c>
      <c r="B231" s="509" t="s">
        <v>12940</v>
      </c>
      <c r="C231" s="508" t="s">
        <v>5</v>
      </c>
      <c r="D231" s="508">
        <v>6.56</v>
      </c>
      <c r="E231" s="461" t="s">
        <v>174</v>
      </c>
    </row>
    <row r="232" spans="1:5" ht="40.5" x14ac:dyDescent="0.25">
      <c r="A232" s="508">
        <v>105311</v>
      </c>
      <c r="B232" s="509" t="s">
        <v>12941</v>
      </c>
      <c r="C232" s="508" t="s">
        <v>5</v>
      </c>
      <c r="D232" s="508">
        <v>4.17</v>
      </c>
      <c r="E232" s="461" t="s">
        <v>174</v>
      </c>
    </row>
    <row r="233" spans="1:5" ht="40.5" x14ac:dyDescent="0.25">
      <c r="A233" s="508">
        <v>105312</v>
      </c>
      <c r="B233" s="509" t="s">
        <v>12942</v>
      </c>
      <c r="C233" s="508" t="s">
        <v>5</v>
      </c>
      <c r="D233" s="508">
        <v>4.2699999999999996</v>
      </c>
      <c r="E233" s="461" t="s">
        <v>174</v>
      </c>
    </row>
    <row r="234" spans="1:5" ht="40.5" x14ac:dyDescent="0.25">
      <c r="A234" s="508">
        <v>105313</v>
      </c>
      <c r="B234" s="509" t="s">
        <v>12943</v>
      </c>
      <c r="C234" s="508" t="s">
        <v>5</v>
      </c>
      <c r="D234" s="508">
        <v>4.5999999999999996</v>
      </c>
      <c r="E234" s="461" t="s">
        <v>174</v>
      </c>
    </row>
    <row r="235" spans="1:5" ht="40.5" x14ac:dyDescent="0.25">
      <c r="A235" s="508">
        <v>105314</v>
      </c>
      <c r="B235" s="509" t="s">
        <v>12944</v>
      </c>
      <c r="C235" s="508" t="s">
        <v>5</v>
      </c>
      <c r="D235" s="508">
        <v>5.43</v>
      </c>
      <c r="E235" s="461" t="s">
        <v>174</v>
      </c>
    </row>
    <row r="236" spans="1:5" ht="40.5" x14ac:dyDescent="0.25">
      <c r="A236" s="508">
        <v>105315</v>
      </c>
      <c r="B236" s="509" t="s">
        <v>12945</v>
      </c>
      <c r="C236" s="508" t="s">
        <v>107</v>
      </c>
      <c r="D236" s="508">
        <v>10.89</v>
      </c>
      <c r="E236" s="461" t="s">
        <v>174</v>
      </c>
    </row>
    <row r="237" spans="1:5" ht="40.5" x14ac:dyDescent="0.25">
      <c r="A237" s="508">
        <v>105316</v>
      </c>
      <c r="B237" s="509" t="s">
        <v>12946</v>
      </c>
      <c r="C237" s="508" t="s">
        <v>107</v>
      </c>
      <c r="D237" s="508">
        <v>19.940000000000001</v>
      </c>
      <c r="E237" s="461" t="s">
        <v>174</v>
      </c>
    </row>
    <row r="238" spans="1:5" ht="40.5" x14ac:dyDescent="0.25">
      <c r="A238" s="508">
        <v>105327</v>
      </c>
      <c r="B238" s="509" t="s">
        <v>12947</v>
      </c>
      <c r="C238" s="508" t="s">
        <v>107</v>
      </c>
      <c r="D238" s="508">
        <v>37.36</v>
      </c>
      <c r="E238" s="461" t="s">
        <v>174</v>
      </c>
    </row>
    <row r="239" spans="1:5" ht="40.5" x14ac:dyDescent="0.25">
      <c r="A239" s="508">
        <v>105328</v>
      </c>
      <c r="B239" s="509" t="s">
        <v>12948</v>
      </c>
      <c r="C239" s="508" t="s">
        <v>107</v>
      </c>
      <c r="D239" s="508">
        <v>36.67</v>
      </c>
      <c r="E239" s="461" t="s">
        <v>174</v>
      </c>
    </row>
    <row r="240" spans="1:5" ht="40.5" x14ac:dyDescent="0.25">
      <c r="A240" s="508">
        <v>105329</v>
      </c>
      <c r="B240" s="509" t="s">
        <v>12949</v>
      </c>
      <c r="C240" s="508" t="s">
        <v>107</v>
      </c>
      <c r="D240" s="508">
        <v>60.47</v>
      </c>
      <c r="E240" s="461" t="s">
        <v>174</v>
      </c>
    </row>
    <row r="241" spans="1:5" ht="40.5" x14ac:dyDescent="0.25">
      <c r="A241" s="508">
        <v>105330</v>
      </c>
      <c r="B241" s="509" t="s">
        <v>12950</v>
      </c>
      <c r="C241" s="508" t="s">
        <v>107</v>
      </c>
      <c r="D241" s="508">
        <v>59.67</v>
      </c>
      <c r="E241" s="461" t="s">
        <v>174</v>
      </c>
    </row>
    <row r="242" spans="1:5" ht="40.5" x14ac:dyDescent="0.25">
      <c r="A242" s="508">
        <v>105331</v>
      </c>
      <c r="B242" s="509" t="s">
        <v>12951</v>
      </c>
      <c r="C242" s="508" t="s">
        <v>5</v>
      </c>
      <c r="D242" s="508">
        <v>43.1</v>
      </c>
      <c r="E242" s="461" t="s">
        <v>174</v>
      </c>
    </row>
    <row r="243" spans="1:5" ht="40.5" x14ac:dyDescent="0.25">
      <c r="A243" s="508">
        <v>105332</v>
      </c>
      <c r="B243" s="509" t="s">
        <v>12952</v>
      </c>
      <c r="C243" s="508" t="s">
        <v>5</v>
      </c>
      <c r="D243" s="508">
        <v>42.36</v>
      </c>
      <c r="E243" s="461" t="s">
        <v>174</v>
      </c>
    </row>
    <row r="244" spans="1:5" ht="40.5" x14ac:dyDescent="0.25">
      <c r="A244" s="508">
        <v>105333</v>
      </c>
      <c r="B244" s="509" t="s">
        <v>12953</v>
      </c>
      <c r="C244" s="508" t="s">
        <v>5</v>
      </c>
      <c r="D244" s="508">
        <v>187.76</v>
      </c>
      <c r="E244" s="461" t="s">
        <v>174</v>
      </c>
    </row>
    <row r="245" spans="1:5" ht="40.5" x14ac:dyDescent="0.25">
      <c r="A245" s="508">
        <v>105334</v>
      </c>
      <c r="B245" s="509" t="s">
        <v>12954</v>
      </c>
      <c r="C245" s="508" t="s">
        <v>5</v>
      </c>
      <c r="D245" s="508">
        <v>185.44</v>
      </c>
      <c r="E245" s="461" t="s">
        <v>174</v>
      </c>
    </row>
    <row r="246" spans="1:5" ht="40.5" x14ac:dyDescent="0.25">
      <c r="A246" s="508">
        <v>105335</v>
      </c>
      <c r="B246" s="509" t="s">
        <v>12955</v>
      </c>
      <c r="C246" s="508" t="s">
        <v>5</v>
      </c>
      <c r="D246" s="508">
        <v>282.41000000000003</v>
      </c>
      <c r="E246" s="461" t="s">
        <v>174</v>
      </c>
    </row>
    <row r="247" spans="1:5" ht="40.5" x14ac:dyDescent="0.25">
      <c r="A247" s="508">
        <v>105336</v>
      </c>
      <c r="B247" s="509" t="s">
        <v>12956</v>
      </c>
      <c r="C247" s="508" t="s">
        <v>5</v>
      </c>
      <c r="D247" s="508">
        <v>279.67</v>
      </c>
      <c r="E247" s="461" t="s">
        <v>174</v>
      </c>
    </row>
    <row r="248" spans="1:5" ht="40.5" x14ac:dyDescent="0.25">
      <c r="A248" s="508">
        <v>105337</v>
      </c>
      <c r="B248" s="509" t="s">
        <v>12957</v>
      </c>
      <c r="C248" s="508" t="s">
        <v>5</v>
      </c>
      <c r="D248" s="508">
        <v>397.84</v>
      </c>
      <c r="E248" s="461" t="s">
        <v>174</v>
      </c>
    </row>
    <row r="249" spans="1:5" ht="40.5" x14ac:dyDescent="0.25">
      <c r="A249" s="508">
        <v>105338</v>
      </c>
      <c r="B249" s="509" t="s">
        <v>12958</v>
      </c>
      <c r="C249" s="508" t="s">
        <v>5</v>
      </c>
      <c r="D249" s="508">
        <v>394.68</v>
      </c>
      <c r="E249" s="461" t="s">
        <v>174</v>
      </c>
    </row>
    <row r="250" spans="1:5" ht="40.5" x14ac:dyDescent="0.25">
      <c r="A250" s="508">
        <v>105339</v>
      </c>
      <c r="B250" s="509" t="s">
        <v>12959</v>
      </c>
      <c r="C250" s="508" t="s">
        <v>5</v>
      </c>
      <c r="D250" s="508">
        <v>3.43</v>
      </c>
      <c r="E250" s="461" t="s">
        <v>174</v>
      </c>
    </row>
    <row r="251" spans="1:5" ht="40.5" x14ac:dyDescent="0.25">
      <c r="A251" s="508">
        <v>105359</v>
      </c>
      <c r="B251" s="509" t="s">
        <v>12960</v>
      </c>
      <c r="C251" s="508" t="s">
        <v>107</v>
      </c>
      <c r="D251" s="508">
        <v>13.26</v>
      </c>
      <c r="E251" s="461" t="s">
        <v>174</v>
      </c>
    </row>
    <row r="252" spans="1:5" ht="40.5" x14ac:dyDescent="0.25">
      <c r="A252" s="508">
        <v>105360</v>
      </c>
      <c r="B252" s="509" t="s">
        <v>12961</v>
      </c>
      <c r="C252" s="508" t="s">
        <v>107</v>
      </c>
      <c r="D252" s="508">
        <v>16.07</v>
      </c>
      <c r="E252" s="461" t="s">
        <v>174</v>
      </c>
    </row>
    <row r="253" spans="1:5" ht="40.5" x14ac:dyDescent="0.25">
      <c r="A253" s="508">
        <v>105361</v>
      </c>
      <c r="B253" s="509" t="s">
        <v>12962</v>
      </c>
      <c r="C253" s="508" t="s">
        <v>107</v>
      </c>
      <c r="D253" s="508">
        <v>18.71</v>
      </c>
      <c r="E253" s="461" t="s">
        <v>174</v>
      </c>
    </row>
    <row r="254" spans="1:5" ht="40.5" x14ac:dyDescent="0.25">
      <c r="A254" s="508">
        <v>105362</v>
      </c>
      <c r="B254" s="509" t="s">
        <v>12963</v>
      </c>
      <c r="C254" s="508" t="s">
        <v>107</v>
      </c>
      <c r="D254" s="508">
        <v>19.54</v>
      </c>
      <c r="E254" s="461" t="s">
        <v>174</v>
      </c>
    </row>
    <row r="255" spans="1:5" ht="40.5" x14ac:dyDescent="0.25">
      <c r="A255" s="508">
        <v>105363</v>
      </c>
      <c r="B255" s="509" t="s">
        <v>12964</v>
      </c>
      <c r="C255" s="508" t="s">
        <v>107</v>
      </c>
      <c r="D255" s="508">
        <v>23.48</v>
      </c>
      <c r="E255" s="461" t="s">
        <v>174</v>
      </c>
    </row>
    <row r="256" spans="1:5" ht="40.5" x14ac:dyDescent="0.25">
      <c r="A256" s="508">
        <v>105364</v>
      </c>
      <c r="B256" s="509" t="s">
        <v>12965</v>
      </c>
      <c r="C256" s="508" t="s">
        <v>107</v>
      </c>
      <c r="D256" s="508">
        <v>27.27</v>
      </c>
      <c r="E256" s="461" t="s">
        <v>174</v>
      </c>
    </row>
    <row r="257" spans="1:5" ht="40.5" x14ac:dyDescent="0.25">
      <c r="A257" s="508">
        <v>105365</v>
      </c>
      <c r="B257" s="509" t="s">
        <v>12966</v>
      </c>
      <c r="C257" s="508" t="s">
        <v>107</v>
      </c>
      <c r="D257" s="508">
        <v>26.53</v>
      </c>
      <c r="E257" s="461" t="s">
        <v>174</v>
      </c>
    </row>
    <row r="258" spans="1:5" ht="40.5" x14ac:dyDescent="0.25">
      <c r="A258" s="508">
        <v>105366</v>
      </c>
      <c r="B258" s="509" t="s">
        <v>12967</v>
      </c>
      <c r="C258" s="508" t="s">
        <v>107</v>
      </c>
      <c r="D258" s="508">
        <v>32.159999999999997</v>
      </c>
      <c r="E258" s="461" t="s">
        <v>174</v>
      </c>
    </row>
    <row r="259" spans="1:5" ht="40.5" x14ac:dyDescent="0.25">
      <c r="A259" s="508">
        <v>105367</v>
      </c>
      <c r="B259" s="509" t="s">
        <v>12968</v>
      </c>
      <c r="C259" s="508" t="s">
        <v>107</v>
      </c>
      <c r="D259" s="510">
        <v>37.42</v>
      </c>
      <c r="E259" s="461" t="s">
        <v>174</v>
      </c>
    </row>
    <row r="260" spans="1:5" ht="40.5" x14ac:dyDescent="0.25">
      <c r="A260" s="508">
        <v>105368</v>
      </c>
      <c r="B260" s="509" t="s">
        <v>12969</v>
      </c>
      <c r="C260" s="508" t="s">
        <v>107</v>
      </c>
      <c r="D260" s="510">
        <v>40.659999999999997</v>
      </c>
      <c r="E260" s="461" t="s">
        <v>174</v>
      </c>
    </row>
    <row r="261" spans="1:5" ht="40.5" x14ac:dyDescent="0.25">
      <c r="A261" s="508">
        <v>105370</v>
      </c>
      <c r="B261" s="509" t="s">
        <v>12970</v>
      </c>
      <c r="C261" s="508" t="s">
        <v>107</v>
      </c>
      <c r="D261" s="508">
        <v>64.63</v>
      </c>
      <c r="E261" s="461" t="s">
        <v>174</v>
      </c>
    </row>
    <row r="262" spans="1:5" ht="40.5" x14ac:dyDescent="0.25">
      <c r="A262" s="508">
        <v>105371</v>
      </c>
      <c r="B262" s="509" t="s">
        <v>12971</v>
      </c>
      <c r="C262" s="508" t="s">
        <v>107</v>
      </c>
      <c r="D262" s="508">
        <v>30.96</v>
      </c>
      <c r="E262" s="461" t="s">
        <v>174</v>
      </c>
    </row>
    <row r="263" spans="1:5" ht="40.5" x14ac:dyDescent="0.25">
      <c r="A263" s="508">
        <v>105372</v>
      </c>
      <c r="B263" s="509" t="s">
        <v>12972</v>
      </c>
      <c r="C263" s="508" t="s">
        <v>107</v>
      </c>
      <c r="D263" s="508">
        <v>8.11</v>
      </c>
      <c r="E263" s="461" t="s">
        <v>174</v>
      </c>
    </row>
    <row r="264" spans="1:5" ht="40.5" x14ac:dyDescent="0.25">
      <c r="A264" s="508">
        <v>105373</v>
      </c>
      <c r="B264" s="509" t="s">
        <v>12973</v>
      </c>
      <c r="C264" s="508" t="s">
        <v>107</v>
      </c>
      <c r="D264" s="508">
        <v>9.5</v>
      </c>
      <c r="E264" s="461" t="s">
        <v>174</v>
      </c>
    </row>
    <row r="265" spans="1:5" ht="40.5" x14ac:dyDescent="0.25">
      <c r="A265" s="508">
        <v>105374</v>
      </c>
      <c r="B265" s="509" t="s">
        <v>12974</v>
      </c>
      <c r="C265" s="508" t="s">
        <v>107</v>
      </c>
      <c r="D265" s="508">
        <v>132.44999999999999</v>
      </c>
      <c r="E265" s="461" t="s">
        <v>174</v>
      </c>
    </row>
    <row r="266" spans="1:5" ht="40.5" x14ac:dyDescent="0.25">
      <c r="A266" s="508">
        <v>105375</v>
      </c>
      <c r="B266" s="509" t="s">
        <v>12975</v>
      </c>
      <c r="C266" s="508" t="s">
        <v>107</v>
      </c>
      <c r="D266" s="508">
        <v>111.92</v>
      </c>
      <c r="E266" s="461" t="s">
        <v>174</v>
      </c>
    </row>
    <row r="267" spans="1:5" ht="40.5" x14ac:dyDescent="0.25">
      <c r="A267" s="508">
        <v>105376</v>
      </c>
      <c r="B267" s="509" t="s">
        <v>12976</v>
      </c>
      <c r="C267" s="508" t="s">
        <v>107</v>
      </c>
      <c r="D267" s="508">
        <v>105.46</v>
      </c>
      <c r="E267" s="461" t="s">
        <v>174</v>
      </c>
    </row>
    <row r="268" spans="1:5" ht="40.5" x14ac:dyDescent="0.25">
      <c r="A268" s="508">
        <v>105381</v>
      </c>
      <c r="B268" s="509" t="s">
        <v>12977</v>
      </c>
      <c r="C268" s="508" t="s">
        <v>107</v>
      </c>
      <c r="D268" s="508">
        <v>13.27</v>
      </c>
      <c r="E268" s="461" t="s">
        <v>174</v>
      </c>
    </row>
    <row r="269" spans="1:5" ht="40.5" x14ac:dyDescent="0.25">
      <c r="A269" s="508">
        <v>105382</v>
      </c>
      <c r="B269" s="509" t="s">
        <v>12978</v>
      </c>
      <c r="C269" s="508" t="s">
        <v>107</v>
      </c>
      <c r="D269" s="508">
        <v>15.47</v>
      </c>
      <c r="E269" s="461" t="s">
        <v>174</v>
      </c>
    </row>
    <row r="270" spans="1:5" ht="40.5" x14ac:dyDescent="0.25">
      <c r="A270" s="508">
        <v>105383</v>
      </c>
      <c r="B270" s="509" t="s">
        <v>12979</v>
      </c>
      <c r="C270" s="508" t="s">
        <v>107</v>
      </c>
      <c r="D270" s="508">
        <v>15.99</v>
      </c>
      <c r="E270" s="461" t="s">
        <v>174</v>
      </c>
    </row>
    <row r="271" spans="1:5" ht="40.5" x14ac:dyDescent="0.25">
      <c r="A271" s="508">
        <v>105384</v>
      </c>
      <c r="B271" s="509" t="s">
        <v>12980</v>
      </c>
      <c r="C271" s="508" t="s">
        <v>107</v>
      </c>
      <c r="D271" s="508">
        <v>19.29</v>
      </c>
      <c r="E271" s="461" t="s">
        <v>174</v>
      </c>
    </row>
    <row r="272" spans="1:5" ht="40.5" x14ac:dyDescent="0.25">
      <c r="A272" s="508">
        <v>105385</v>
      </c>
      <c r="B272" s="509" t="s">
        <v>12981</v>
      </c>
      <c r="C272" s="508" t="s">
        <v>107</v>
      </c>
      <c r="D272" s="508">
        <v>22.42</v>
      </c>
      <c r="E272" s="461" t="s">
        <v>174</v>
      </c>
    </row>
    <row r="273" spans="1:5" ht="40.5" x14ac:dyDescent="0.25">
      <c r="A273" s="508">
        <v>105386</v>
      </c>
      <c r="B273" s="509" t="s">
        <v>12982</v>
      </c>
      <c r="C273" s="508" t="s">
        <v>107</v>
      </c>
      <c r="D273" s="508">
        <v>21.79</v>
      </c>
      <c r="E273" s="461" t="s">
        <v>174</v>
      </c>
    </row>
    <row r="274" spans="1:5" ht="40.5" x14ac:dyDescent="0.25">
      <c r="A274" s="508">
        <v>105387</v>
      </c>
      <c r="B274" s="509" t="s">
        <v>12983</v>
      </c>
      <c r="C274" s="508" t="s">
        <v>107</v>
      </c>
      <c r="D274" s="508">
        <v>26.56</v>
      </c>
      <c r="E274" s="461" t="s">
        <v>174</v>
      </c>
    </row>
    <row r="275" spans="1:5" ht="40.5" x14ac:dyDescent="0.25">
      <c r="A275" s="508">
        <v>92833</v>
      </c>
      <c r="B275" s="509" t="s">
        <v>4862</v>
      </c>
      <c r="C275" s="508" t="s">
        <v>5</v>
      </c>
      <c r="D275" s="508">
        <v>217.93</v>
      </c>
      <c r="E275" s="461" t="s">
        <v>174</v>
      </c>
    </row>
    <row r="276" spans="1:5" ht="40.5" x14ac:dyDescent="0.25">
      <c r="A276" s="508">
        <v>92834</v>
      </c>
      <c r="B276" s="509" t="s">
        <v>4863</v>
      </c>
      <c r="C276" s="508" t="s">
        <v>5</v>
      </c>
      <c r="D276" s="508">
        <v>19.88</v>
      </c>
      <c r="E276" s="461" t="s">
        <v>174</v>
      </c>
    </row>
    <row r="277" spans="1:5" ht="40.5" x14ac:dyDescent="0.25">
      <c r="A277" s="508">
        <v>92835</v>
      </c>
      <c r="B277" s="509" t="s">
        <v>4864</v>
      </c>
      <c r="C277" s="508" t="s">
        <v>5</v>
      </c>
      <c r="D277" s="508">
        <v>229.44</v>
      </c>
      <c r="E277" s="461" t="s">
        <v>174</v>
      </c>
    </row>
    <row r="278" spans="1:5" ht="40.5" x14ac:dyDescent="0.25">
      <c r="A278" s="508">
        <v>92836</v>
      </c>
      <c r="B278" s="509" t="s">
        <v>4865</v>
      </c>
      <c r="C278" s="508" t="s">
        <v>5</v>
      </c>
      <c r="D278" s="508">
        <v>26.31</v>
      </c>
      <c r="E278" s="461" t="s">
        <v>174</v>
      </c>
    </row>
    <row r="279" spans="1:5" ht="40.5" x14ac:dyDescent="0.25">
      <c r="A279" s="508">
        <v>92837</v>
      </c>
      <c r="B279" s="509" t="s">
        <v>4866</v>
      </c>
      <c r="C279" s="508" t="s">
        <v>5</v>
      </c>
      <c r="D279" s="508">
        <v>408.91</v>
      </c>
      <c r="E279" s="461" t="s">
        <v>174</v>
      </c>
    </row>
    <row r="280" spans="1:5" ht="40.5" x14ac:dyDescent="0.25">
      <c r="A280" s="508">
        <v>92838</v>
      </c>
      <c r="B280" s="509" t="s">
        <v>4867</v>
      </c>
      <c r="C280" s="508" t="s">
        <v>5</v>
      </c>
      <c r="D280" s="508">
        <v>33.11</v>
      </c>
      <c r="E280" s="461" t="s">
        <v>174</v>
      </c>
    </row>
    <row r="281" spans="1:5" ht="40.5" x14ac:dyDescent="0.25">
      <c r="A281" s="508">
        <v>92839</v>
      </c>
      <c r="B281" s="509" t="s">
        <v>4868</v>
      </c>
      <c r="C281" s="508" t="s">
        <v>5</v>
      </c>
      <c r="D281" s="508">
        <v>501.28</v>
      </c>
      <c r="E281" s="461" t="s">
        <v>174</v>
      </c>
    </row>
    <row r="282" spans="1:5" ht="40.5" x14ac:dyDescent="0.25">
      <c r="A282" s="508">
        <v>92840</v>
      </c>
      <c r="B282" s="509" t="s">
        <v>4869</v>
      </c>
      <c r="C282" s="508" t="s">
        <v>5</v>
      </c>
      <c r="D282" s="510">
        <v>40.15</v>
      </c>
      <c r="E282" s="461" t="s">
        <v>174</v>
      </c>
    </row>
    <row r="283" spans="1:5" ht="40.5" x14ac:dyDescent="0.25">
      <c r="A283" s="508">
        <v>92841</v>
      </c>
      <c r="B283" s="509" t="s">
        <v>4870</v>
      </c>
      <c r="C283" s="508" t="s">
        <v>5</v>
      </c>
      <c r="D283" s="510">
        <v>652.59</v>
      </c>
      <c r="E283" s="461" t="s">
        <v>174</v>
      </c>
    </row>
    <row r="284" spans="1:5" ht="40.5" x14ac:dyDescent="0.25">
      <c r="A284" s="508">
        <v>92842</v>
      </c>
      <c r="B284" s="509" t="s">
        <v>4871</v>
      </c>
      <c r="C284" s="508" t="s">
        <v>5</v>
      </c>
      <c r="D284" s="510">
        <v>50.28</v>
      </c>
      <c r="E284" s="461" t="s">
        <v>174</v>
      </c>
    </row>
    <row r="285" spans="1:5" ht="40.5" x14ac:dyDescent="0.25">
      <c r="A285" s="508">
        <v>92843</v>
      </c>
      <c r="B285" s="509" t="s">
        <v>4872</v>
      </c>
      <c r="C285" s="508" t="s">
        <v>5</v>
      </c>
      <c r="D285" s="510">
        <v>675.31</v>
      </c>
      <c r="E285" s="461" t="s">
        <v>174</v>
      </c>
    </row>
    <row r="286" spans="1:5" ht="40.5" x14ac:dyDescent="0.25">
      <c r="A286" s="508">
        <v>92844</v>
      </c>
      <c r="B286" s="509" t="s">
        <v>4873</v>
      </c>
      <c r="C286" s="508" t="s">
        <v>5</v>
      </c>
      <c r="D286" s="510">
        <v>59.69</v>
      </c>
      <c r="E286" s="461" t="s">
        <v>174</v>
      </c>
    </row>
    <row r="287" spans="1:5" ht="40.5" x14ac:dyDescent="0.25">
      <c r="A287" s="508">
        <v>92845</v>
      </c>
      <c r="B287" s="509" t="s">
        <v>4874</v>
      </c>
      <c r="C287" s="508" t="s">
        <v>5</v>
      </c>
      <c r="D287" s="510">
        <v>1001.86</v>
      </c>
      <c r="E287" s="461" t="s">
        <v>174</v>
      </c>
    </row>
    <row r="288" spans="1:5" ht="40.5" x14ac:dyDescent="0.25">
      <c r="A288" s="508">
        <v>92846</v>
      </c>
      <c r="B288" s="509" t="s">
        <v>4875</v>
      </c>
      <c r="C288" s="508" t="s">
        <v>5</v>
      </c>
      <c r="D288" s="510">
        <v>68.430000000000007</v>
      </c>
      <c r="E288" s="461" t="s">
        <v>174</v>
      </c>
    </row>
    <row r="289" spans="1:5" ht="40.5" x14ac:dyDescent="0.25">
      <c r="A289" s="508">
        <v>92847</v>
      </c>
      <c r="B289" s="509" t="s">
        <v>4876</v>
      </c>
      <c r="C289" s="508" t="s">
        <v>5</v>
      </c>
      <c r="D289" s="508">
        <v>1027.21</v>
      </c>
      <c r="E289" s="461" t="s">
        <v>174</v>
      </c>
    </row>
    <row r="290" spans="1:5" ht="40.5" x14ac:dyDescent="0.25">
      <c r="A290" s="508">
        <v>92848</v>
      </c>
      <c r="B290" s="509" t="s">
        <v>4877</v>
      </c>
      <c r="C290" s="508" t="s">
        <v>5</v>
      </c>
      <c r="D290" s="508">
        <v>80.569999999999993</v>
      </c>
      <c r="E290" s="461" t="s">
        <v>174</v>
      </c>
    </row>
    <row r="291" spans="1:5" ht="40.5" x14ac:dyDescent="0.25">
      <c r="A291" s="508">
        <v>92849</v>
      </c>
      <c r="B291" s="509" t="s">
        <v>4878</v>
      </c>
      <c r="C291" s="508" t="s">
        <v>5</v>
      </c>
      <c r="D291" s="508">
        <v>220.42</v>
      </c>
      <c r="E291" s="461" t="s">
        <v>174</v>
      </c>
    </row>
    <row r="292" spans="1:5" ht="40.5" x14ac:dyDescent="0.25">
      <c r="A292" s="508">
        <v>92850</v>
      </c>
      <c r="B292" s="509" t="s">
        <v>4879</v>
      </c>
      <c r="C292" s="508" t="s">
        <v>5</v>
      </c>
      <c r="D292" s="508">
        <v>22.37</v>
      </c>
      <c r="E292" s="461" t="s">
        <v>174</v>
      </c>
    </row>
    <row r="293" spans="1:5" ht="40.5" x14ac:dyDescent="0.25">
      <c r="A293" s="508">
        <v>92851</v>
      </c>
      <c r="B293" s="509" t="s">
        <v>4880</v>
      </c>
      <c r="C293" s="508" t="s">
        <v>5</v>
      </c>
      <c r="D293" s="508">
        <v>232.99</v>
      </c>
      <c r="E293" s="461" t="s">
        <v>174</v>
      </c>
    </row>
    <row r="294" spans="1:5" ht="40.5" x14ac:dyDescent="0.25">
      <c r="A294" s="508">
        <v>92852</v>
      </c>
      <c r="B294" s="509" t="s">
        <v>4881</v>
      </c>
      <c r="C294" s="508" t="s">
        <v>5</v>
      </c>
      <c r="D294" s="508">
        <v>29.86</v>
      </c>
      <c r="E294" s="461" t="s">
        <v>174</v>
      </c>
    </row>
    <row r="295" spans="1:5" ht="40.5" x14ac:dyDescent="0.25">
      <c r="A295" s="508">
        <v>92853</v>
      </c>
      <c r="B295" s="509" t="s">
        <v>4882</v>
      </c>
      <c r="C295" s="508" t="s">
        <v>5</v>
      </c>
      <c r="D295" s="508">
        <v>413.5</v>
      </c>
      <c r="E295" s="461" t="s">
        <v>174</v>
      </c>
    </row>
    <row r="296" spans="1:5" ht="40.5" x14ac:dyDescent="0.25">
      <c r="A296" s="508">
        <v>92854</v>
      </c>
      <c r="B296" s="509" t="s">
        <v>4883</v>
      </c>
      <c r="C296" s="508" t="s">
        <v>5</v>
      </c>
      <c r="D296" s="508">
        <v>37.700000000000003</v>
      </c>
      <c r="E296" s="461" t="s">
        <v>174</v>
      </c>
    </row>
    <row r="297" spans="1:5" ht="40.5" x14ac:dyDescent="0.25">
      <c r="A297" s="508">
        <v>92855</v>
      </c>
      <c r="B297" s="509" t="s">
        <v>4884</v>
      </c>
      <c r="C297" s="508" t="s">
        <v>5</v>
      </c>
      <c r="D297" s="508">
        <v>506.95</v>
      </c>
      <c r="E297" s="461" t="s">
        <v>174</v>
      </c>
    </row>
    <row r="298" spans="1:5" ht="40.5" x14ac:dyDescent="0.25">
      <c r="A298" s="508">
        <v>92856</v>
      </c>
      <c r="B298" s="509" t="s">
        <v>4885</v>
      </c>
      <c r="C298" s="508" t="s">
        <v>5</v>
      </c>
      <c r="D298" s="508">
        <v>45.82</v>
      </c>
      <c r="E298" s="461" t="s">
        <v>174</v>
      </c>
    </row>
    <row r="299" spans="1:5" ht="40.5" x14ac:dyDescent="0.25">
      <c r="A299" s="508">
        <v>92857</v>
      </c>
      <c r="B299" s="509" t="s">
        <v>4886</v>
      </c>
      <c r="C299" s="508" t="s">
        <v>5</v>
      </c>
      <c r="D299" s="508">
        <v>659.34</v>
      </c>
      <c r="E299" s="461" t="s">
        <v>174</v>
      </c>
    </row>
    <row r="300" spans="1:5" ht="40.5" x14ac:dyDescent="0.25">
      <c r="A300" s="508">
        <v>92858</v>
      </c>
      <c r="B300" s="509" t="s">
        <v>4887</v>
      </c>
      <c r="C300" s="508" t="s">
        <v>5</v>
      </c>
      <c r="D300" s="508">
        <v>57.03</v>
      </c>
      <c r="E300" s="461" t="s">
        <v>174</v>
      </c>
    </row>
    <row r="301" spans="1:5" ht="40.5" x14ac:dyDescent="0.25">
      <c r="A301" s="508">
        <v>92859</v>
      </c>
      <c r="B301" s="509" t="s">
        <v>4888</v>
      </c>
      <c r="C301" s="508" t="s">
        <v>5</v>
      </c>
      <c r="D301" s="508">
        <v>683.13</v>
      </c>
      <c r="E301" s="461" t="s">
        <v>174</v>
      </c>
    </row>
    <row r="302" spans="1:5" ht="40.5" x14ac:dyDescent="0.25">
      <c r="A302" s="508">
        <v>92860</v>
      </c>
      <c r="B302" s="509" t="s">
        <v>4889</v>
      </c>
      <c r="C302" s="508" t="s">
        <v>5</v>
      </c>
      <c r="D302" s="508">
        <v>67.510000000000005</v>
      </c>
      <c r="E302" s="461" t="s">
        <v>174</v>
      </c>
    </row>
    <row r="303" spans="1:5" ht="40.5" x14ac:dyDescent="0.25">
      <c r="A303" s="508">
        <v>92861</v>
      </c>
      <c r="B303" s="509" t="s">
        <v>4890</v>
      </c>
      <c r="C303" s="508" t="s">
        <v>5</v>
      </c>
      <c r="D303" s="508">
        <v>1010.72</v>
      </c>
      <c r="E303" s="461" t="s">
        <v>174</v>
      </c>
    </row>
    <row r="304" spans="1:5" ht="40.5" x14ac:dyDescent="0.25">
      <c r="A304" s="508">
        <v>92862</v>
      </c>
      <c r="B304" s="509" t="s">
        <v>4891</v>
      </c>
      <c r="C304" s="508" t="s">
        <v>5</v>
      </c>
      <c r="D304" s="508">
        <v>77.290000000000006</v>
      </c>
      <c r="E304" s="461" t="s">
        <v>174</v>
      </c>
    </row>
    <row r="305" spans="1:5" ht="40.5" x14ac:dyDescent="0.25">
      <c r="A305" s="508">
        <v>92863</v>
      </c>
      <c r="B305" s="509" t="s">
        <v>4892</v>
      </c>
      <c r="C305" s="508" t="s">
        <v>5</v>
      </c>
      <c r="D305" s="508">
        <v>1037.1199999999999</v>
      </c>
      <c r="E305" s="461" t="s">
        <v>174</v>
      </c>
    </row>
    <row r="306" spans="1:5" ht="40.5" x14ac:dyDescent="0.25">
      <c r="A306" s="508">
        <v>92864</v>
      </c>
      <c r="B306" s="509" t="s">
        <v>4893</v>
      </c>
      <c r="C306" s="508" t="s">
        <v>5</v>
      </c>
      <c r="D306" s="508">
        <v>90.48</v>
      </c>
      <c r="E306" s="461" t="s">
        <v>174</v>
      </c>
    </row>
    <row r="307" spans="1:5" ht="40.5" x14ac:dyDescent="0.25">
      <c r="A307" s="508">
        <v>92210</v>
      </c>
      <c r="B307" s="509" t="s">
        <v>4894</v>
      </c>
      <c r="C307" s="508" t="s">
        <v>5</v>
      </c>
      <c r="D307" s="508">
        <v>159.58000000000001</v>
      </c>
      <c r="E307" s="461" t="s">
        <v>174</v>
      </c>
    </row>
    <row r="308" spans="1:5" ht="40.5" x14ac:dyDescent="0.25">
      <c r="A308" s="508">
        <v>92211</v>
      </c>
      <c r="B308" s="509" t="s">
        <v>4895</v>
      </c>
      <c r="C308" s="508" t="s">
        <v>5</v>
      </c>
      <c r="D308" s="508">
        <v>194.1</v>
      </c>
      <c r="E308" s="461" t="s">
        <v>174</v>
      </c>
    </row>
    <row r="309" spans="1:5" ht="40.5" x14ac:dyDescent="0.25">
      <c r="A309" s="508">
        <v>92212</v>
      </c>
      <c r="B309" s="509" t="s">
        <v>4896</v>
      </c>
      <c r="C309" s="508" t="s">
        <v>5</v>
      </c>
      <c r="D309" s="508">
        <v>296.89</v>
      </c>
      <c r="E309" s="461" t="s">
        <v>174</v>
      </c>
    </row>
    <row r="310" spans="1:5" ht="40.5" x14ac:dyDescent="0.25">
      <c r="A310" s="508">
        <v>92213</v>
      </c>
      <c r="B310" s="509" t="s">
        <v>4897</v>
      </c>
      <c r="C310" s="508" t="s">
        <v>5</v>
      </c>
      <c r="D310" s="508">
        <v>395.28</v>
      </c>
      <c r="E310" s="461" t="s">
        <v>174</v>
      </c>
    </row>
    <row r="311" spans="1:5" ht="40.5" x14ac:dyDescent="0.25">
      <c r="A311" s="508">
        <v>92214</v>
      </c>
      <c r="B311" s="509" t="s">
        <v>4898</v>
      </c>
      <c r="C311" s="508" t="s">
        <v>5</v>
      </c>
      <c r="D311" s="508">
        <v>478.93</v>
      </c>
      <c r="E311" s="461" t="s">
        <v>174</v>
      </c>
    </row>
    <row r="312" spans="1:5" ht="40.5" x14ac:dyDescent="0.25">
      <c r="A312" s="508">
        <v>92215</v>
      </c>
      <c r="B312" s="509" t="s">
        <v>4899</v>
      </c>
      <c r="C312" s="508" t="s">
        <v>5</v>
      </c>
      <c r="D312" s="508">
        <v>550.07000000000005</v>
      </c>
      <c r="E312" s="461" t="s">
        <v>174</v>
      </c>
    </row>
    <row r="313" spans="1:5" ht="40.5" x14ac:dyDescent="0.25">
      <c r="A313" s="508">
        <v>92216</v>
      </c>
      <c r="B313" s="509" t="s">
        <v>4900</v>
      </c>
      <c r="C313" s="508" t="s">
        <v>5</v>
      </c>
      <c r="D313" s="508">
        <v>570.64</v>
      </c>
      <c r="E313" s="461" t="s">
        <v>174</v>
      </c>
    </row>
    <row r="314" spans="1:5" ht="40.5" x14ac:dyDescent="0.25">
      <c r="A314" s="508">
        <v>92219</v>
      </c>
      <c r="B314" s="509" t="s">
        <v>4901</v>
      </c>
      <c r="C314" s="508" t="s">
        <v>5</v>
      </c>
      <c r="D314" s="508">
        <v>163.13999999999999</v>
      </c>
      <c r="E314" s="461" t="s">
        <v>174</v>
      </c>
    </row>
    <row r="315" spans="1:5" ht="40.5" x14ac:dyDescent="0.25">
      <c r="A315" s="508">
        <v>92220</v>
      </c>
      <c r="B315" s="509" t="s">
        <v>4902</v>
      </c>
      <c r="C315" s="508" t="s">
        <v>5</v>
      </c>
      <c r="D315" s="508">
        <v>198.71</v>
      </c>
      <c r="E315" s="461" t="s">
        <v>174</v>
      </c>
    </row>
    <row r="316" spans="1:5" ht="40.5" x14ac:dyDescent="0.25">
      <c r="A316" s="508">
        <v>92221</v>
      </c>
      <c r="B316" s="509" t="s">
        <v>4903</v>
      </c>
      <c r="C316" s="508" t="s">
        <v>5</v>
      </c>
      <c r="D316" s="508">
        <v>302.56</v>
      </c>
      <c r="E316" s="461" t="s">
        <v>174</v>
      </c>
    </row>
    <row r="317" spans="1:5" ht="40.5" x14ac:dyDescent="0.25">
      <c r="A317" s="508">
        <v>92222</v>
      </c>
      <c r="B317" s="509" t="s">
        <v>4904</v>
      </c>
      <c r="C317" s="508" t="s">
        <v>5</v>
      </c>
      <c r="D317" s="508">
        <v>402.01</v>
      </c>
      <c r="E317" s="461" t="s">
        <v>174</v>
      </c>
    </row>
    <row r="318" spans="1:5" ht="40.5" x14ac:dyDescent="0.25">
      <c r="A318" s="508">
        <v>92223</v>
      </c>
      <c r="B318" s="509" t="s">
        <v>4905</v>
      </c>
      <c r="C318" s="508" t="s">
        <v>5</v>
      </c>
      <c r="D318" s="508">
        <v>486.7</v>
      </c>
      <c r="E318" s="461" t="s">
        <v>174</v>
      </c>
    </row>
    <row r="319" spans="1:5" ht="40.5" x14ac:dyDescent="0.25">
      <c r="A319" s="508">
        <v>92224</v>
      </c>
      <c r="B319" s="509" t="s">
        <v>4906</v>
      </c>
      <c r="C319" s="508" t="s">
        <v>5</v>
      </c>
      <c r="D319" s="508">
        <v>558.95000000000005</v>
      </c>
      <c r="E319" s="461" t="s">
        <v>174</v>
      </c>
    </row>
    <row r="320" spans="1:5" ht="40.5" x14ac:dyDescent="0.25">
      <c r="A320" s="508">
        <v>92226</v>
      </c>
      <c r="B320" s="509" t="s">
        <v>4907</v>
      </c>
      <c r="C320" s="508" t="s">
        <v>5</v>
      </c>
      <c r="D320" s="508">
        <v>580.57000000000005</v>
      </c>
      <c r="E320" s="461" t="s">
        <v>174</v>
      </c>
    </row>
    <row r="321" spans="1:5" ht="40.5" x14ac:dyDescent="0.25">
      <c r="A321" s="508">
        <v>92808</v>
      </c>
      <c r="B321" s="509" t="s">
        <v>4908</v>
      </c>
      <c r="C321" s="508" t="s">
        <v>5</v>
      </c>
      <c r="D321" s="510">
        <v>24.88</v>
      </c>
      <c r="E321" s="461" t="s">
        <v>174</v>
      </c>
    </row>
    <row r="322" spans="1:5" ht="40.5" x14ac:dyDescent="0.25">
      <c r="A322" s="508">
        <v>92809</v>
      </c>
      <c r="B322" s="509" t="s">
        <v>4909</v>
      </c>
      <c r="C322" s="508" t="s">
        <v>5</v>
      </c>
      <c r="D322" s="508">
        <v>34.659999999999997</v>
      </c>
      <c r="E322" s="461" t="s">
        <v>174</v>
      </c>
    </row>
    <row r="323" spans="1:5" ht="40.5" x14ac:dyDescent="0.25">
      <c r="A323" s="508">
        <v>92810</v>
      </c>
      <c r="B323" s="509" t="s">
        <v>4910</v>
      </c>
      <c r="C323" s="508" t="s">
        <v>5</v>
      </c>
      <c r="D323" s="508">
        <v>44.8</v>
      </c>
      <c r="E323" s="461" t="s">
        <v>174</v>
      </c>
    </row>
    <row r="324" spans="1:5" ht="40.5" x14ac:dyDescent="0.25">
      <c r="A324" s="508">
        <v>92811</v>
      </c>
      <c r="B324" s="509" t="s">
        <v>4911</v>
      </c>
      <c r="C324" s="508" t="s">
        <v>5</v>
      </c>
      <c r="D324" s="510">
        <v>55.15</v>
      </c>
      <c r="E324" s="461" t="s">
        <v>174</v>
      </c>
    </row>
    <row r="325" spans="1:5" ht="40.5" x14ac:dyDescent="0.25">
      <c r="A325" s="508">
        <v>92812</v>
      </c>
      <c r="B325" s="509" t="s">
        <v>4912</v>
      </c>
      <c r="C325" s="508" t="s">
        <v>5</v>
      </c>
      <c r="D325" s="508">
        <v>65.790000000000006</v>
      </c>
      <c r="E325" s="461" t="s">
        <v>174</v>
      </c>
    </row>
    <row r="326" spans="1:5" ht="40.5" x14ac:dyDescent="0.25">
      <c r="A326" s="508">
        <v>92813</v>
      </c>
      <c r="B326" s="509" t="s">
        <v>4913</v>
      </c>
      <c r="C326" s="508" t="s">
        <v>5</v>
      </c>
      <c r="D326" s="508">
        <v>76.72</v>
      </c>
      <c r="E326" s="461" t="s">
        <v>174</v>
      </c>
    </row>
    <row r="327" spans="1:5" ht="40.5" x14ac:dyDescent="0.25">
      <c r="A327" s="508">
        <v>92814</v>
      </c>
      <c r="B327" s="509" t="s">
        <v>4914</v>
      </c>
      <c r="C327" s="508" t="s">
        <v>5</v>
      </c>
      <c r="D327" s="508">
        <v>87.92</v>
      </c>
      <c r="E327" s="461" t="s">
        <v>174</v>
      </c>
    </row>
    <row r="328" spans="1:5" ht="40.5" x14ac:dyDescent="0.25">
      <c r="A328" s="508">
        <v>92815</v>
      </c>
      <c r="B328" s="509" t="s">
        <v>4915</v>
      </c>
      <c r="C328" s="508" t="s">
        <v>5</v>
      </c>
      <c r="D328" s="510">
        <v>99.36</v>
      </c>
      <c r="E328" s="461" t="s">
        <v>174</v>
      </c>
    </row>
    <row r="329" spans="1:5" ht="40.5" x14ac:dyDescent="0.25">
      <c r="A329" s="508">
        <v>92816</v>
      </c>
      <c r="B329" s="509" t="s">
        <v>4916</v>
      </c>
      <c r="C329" s="508" t="s">
        <v>5</v>
      </c>
      <c r="D329" s="508">
        <v>826.98</v>
      </c>
      <c r="E329" s="461" t="s">
        <v>174</v>
      </c>
    </row>
    <row r="330" spans="1:5" ht="40.5" x14ac:dyDescent="0.25">
      <c r="A330" s="508">
        <v>92817</v>
      </c>
      <c r="B330" s="509" t="s">
        <v>4917</v>
      </c>
      <c r="C330" s="508" t="s">
        <v>5</v>
      </c>
      <c r="D330" s="508">
        <v>123.09</v>
      </c>
      <c r="E330" s="461" t="s">
        <v>174</v>
      </c>
    </row>
    <row r="331" spans="1:5" ht="40.5" x14ac:dyDescent="0.25">
      <c r="A331" s="508">
        <v>92818</v>
      </c>
      <c r="B331" s="509" t="s">
        <v>4918</v>
      </c>
      <c r="C331" s="508" t="s">
        <v>5</v>
      </c>
      <c r="D331" s="508">
        <v>1180.48</v>
      </c>
      <c r="E331" s="461" t="s">
        <v>174</v>
      </c>
    </row>
    <row r="332" spans="1:5" ht="40.5" x14ac:dyDescent="0.25">
      <c r="A332" s="508">
        <v>92819</v>
      </c>
      <c r="B332" s="509" t="s">
        <v>4919</v>
      </c>
      <c r="C332" s="508" t="s">
        <v>5</v>
      </c>
      <c r="D332" s="508">
        <v>160.71</v>
      </c>
      <c r="E332" s="461" t="s">
        <v>174</v>
      </c>
    </row>
    <row r="333" spans="1:5" ht="40.5" x14ac:dyDescent="0.25">
      <c r="A333" s="508">
        <v>92820</v>
      </c>
      <c r="B333" s="509" t="s">
        <v>4920</v>
      </c>
      <c r="C333" s="508" t="s">
        <v>5</v>
      </c>
      <c r="D333" s="508">
        <v>27.39</v>
      </c>
      <c r="E333" s="461" t="s">
        <v>174</v>
      </c>
    </row>
    <row r="334" spans="1:5" ht="40.5" x14ac:dyDescent="0.25">
      <c r="A334" s="508">
        <v>92821</v>
      </c>
      <c r="B334" s="509" t="s">
        <v>4921</v>
      </c>
      <c r="C334" s="508" t="s">
        <v>5</v>
      </c>
      <c r="D334" s="508">
        <v>38.22</v>
      </c>
      <c r="E334" s="461" t="s">
        <v>174</v>
      </c>
    </row>
    <row r="335" spans="1:5" ht="40.5" x14ac:dyDescent="0.25">
      <c r="A335" s="508">
        <v>92822</v>
      </c>
      <c r="B335" s="509" t="s">
        <v>4922</v>
      </c>
      <c r="C335" s="508" t="s">
        <v>5</v>
      </c>
      <c r="D335" s="508">
        <v>49.41</v>
      </c>
      <c r="E335" s="461" t="s">
        <v>174</v>
      </c>
    </row>
    <row r="336" spans="1:5" ht="40.5" x14ac:dyDescent="0.25">
      <c r="A336" s="508">
        <v>92824</v>
      </c>
      <c r="B336" s="509" t="s">
        <v>4923</v>
      </c>
      <c r="C336" s="508" t="s">
        <v>5</v>
      </c>
      <c r="D336" s="508">
        <v>60.82</v>
      </c>
      <c r="E336" s="461" t="s">
        <v>174</v>
      </c>
    </row>
    <row r="337" spans="1:5" ht="40.5" x14ac:dyDescent="0.25">
      <c r="A337" s="508">
        <v>92825</v>
      </c>
      <c r="B337" s="509" t="s">
        <v>4924</v>
      </c>
      <c r="C337" s="508" t="s">
        <v>5</v>
      </c>
      <c r="D337" s="508">
        <v>72.52</v>
      </c>
      <c r="E337" s="461" t="s">
        <v>174</v>
      </c>
    </row>
    <row r="338" spans="1:5" ht="40.5" x14ac:dyDescent="0.25">
      <c r="A338" s="508">
        <v>92826</v>
      </c>
      <c r="B338" s="509" t="s">
        <v>4925</v>
      </c>
      <c r="C338" s="508" t="s">
        <v>5</v>
      </c>
      <c r="D338" s="508">
        <v>84.49</v>
      </c>
      <c r="E338" s="461" t="s">
        <v>174</v>
      </c>
    </row>
    <row r="339" spans="1:5" ht="40.5" x14ac:dyDescent="0.25">
      <c r="A339" s="508">
        <v>92827</v>
      </c>
      <c r="B339" s="509" t="s">
        <v>4926</v>
      </c>
      <c r="C339" s="508" t="s">
        <v>5</v>
      </c>
      <c r="D339" s="508">
        <v>96.8</v>
      </c>
      <c r="E339" s="461" t="s">
        <v>174</v>
      </c>
    </row>
    <row r="340" spans="1:5" ht="40.5" x14ac:dyDescent="0.25">
      <c r="A340" s="508">
        <v>92828</v>
      </c>
      <c r="B340" s="509" t="s">
        <v>4927</v>
      </c>
      <c r="C340" s="508" t="s">
        <v>5</v>
      </c>
      <c r="D340" s="508">
        <v>109.29</v>
      </c>
      <c r="E340" s="461" t="s">
        <v>174</v>
      </c>
    </row>
    <row r="341" spans="1:5" ht="40.5" x14ac:dyDescent="0.25">
      <c r="A341" s="508">
        <v>92829</v>
      </c>
      <c r="B341" s="509" t="s">
        <v>4928</v>
      </c>
      <c r="C341" s="508" t="s">
        <v>5</v>
      </c>
      <c r="D341" s="508">
        <v>839.03</v>
      </c>
      <c r="E341" s="461" t="s">
        <v>174</v>
      </c>
    </row>
    <row r="342" spans="1:5" ht="40.5" x14ac:dyDescent="0.25">
      <c r="A342" s="508">
        <v>92830</v>
      </c>
      <c r="B342" s="509" t="s">
        <v>4929</v>
      </c>
      <c r="C342" s="508" t="s">
        <v>5</v>
      </c>
      <c r="D342" s="508">
        <v>135.13999999999999</v>
      </c>
      <c r="E342" s="461" t="s">
        <v>174</v>
      </c>
    </row>
    <row r="343" spans="1:5" ht="40.5" x14ac:dyDescent="0.25">
      <c r="A343" s="508">
        <v>92831</v>
      </c>
      <c r="B343" s="509" t="s">
        <v>4930</v>
      </c>
      <c r="C343" s="508" t="s">
        <v>5</v>
      </c>
      <c r="D343" s="508">
        <v>1195.72</v>
      </c>
      <c r="E343" s="461" t="s">
        <v>174</v>
      </c>
    </row>
    <row r="344" spans="1:5" ht="40.5" x14ac:dyDescent="0.25">
      <c r="A344" s="508">
        <v>92832</v>
      </c>
      <c r="B344" s="509" t="s">
        <v>4931</v>
      </c>
      <c r="C344" s="508" t="s">
        <v>5</v>
      </c>
      <c r="D344" s="508">
        <v>175.95</v>
      </c>
      <c r="E344" s="461" t="s">
        <v>174</v>
      </c>
    </row>
    <row r="345" spans="1:5" ht="40.5" x14ac:dyDescent="0.25">
      <c r="A345" s="508">
        <v>95565</v>
      </c>
      <c r="B345" s="509" t="s">
        <v>4932</v>
      </c>
      <c r="C345" s="508" t="s">
        <v>5</v>
      </c>
      <c r="D345" s="508">
        <v>135.58000000000001</v>
      </c>
      <c r="E345" s="461" t="s">
        <v>174</v>
      </c>
    </row>
    <row r="346" spans="1:5" ht="40.5" x14ac:dyDescent="0.25">
      <c r="A346" s="508">
        <v>95566</v>
      </c>
      <c r="B346" s="509" t="s">
        <v>4933</v>
      </c>
      <c r="C346" s="508" t="s">
        <v>5</v>
      </c>
      <c r="D346" s="508">
        <v>138.09</v>
      </c>
      <c r="E346" s="461" t="s">
        <v>174</v>
      </c>
    </row>
    <row r="347" spans="1:5" ht="40.5" x14ac:dyDescent="0.25">
      <c r="A347" s="508">
        <v>95567</v>
      </c>
      <c r="B347" s="509" t="s">
        <v>4934</v>
      </c>
      <c r="C347" s="508" t="s">
        <v>5</v>
      </c>
      <c r="D347" s="508">
        <v>79.5</v>
      </c>
      <c r="E347" s="461" t="s">
        <v>174</v>
      </c>
    </row>
    <row r="348" spans="1:5" ht="40.5" x14ac:dyDescent="0.25">
      <c r="A348" s="508">
        <v>95568</v>
      </c>
      <c r="B348" s="509" t="s">
        <v>4935</v>
      </c>
      <c r="C348" s="508" t="s">
        <v>5</v>
      </c>
      <c r="D348" s="508">
        <v>99.19</v>
      </c>
      <c r="E348" s="461" t="s">
        <v>174</v>
      </c>
    </row>
    <row r="349" spans="1:5" ht="40.5" x14ac:dyDescent="0.25">
      <c r="A349" s="508">
        <v>95569</v>
      </c>
      <c r="B349" s="509" t="s">
        <v>4936</v>
      </c>
      <c r="C349" s="508" t="s">
        <v>5</v>
      </c>
      <c r="D349" s="508">
        <v>140.85</v>
      </c>
      <c r="E349" s="461" t="s">
        <v>174</v>
      </c>
    </row>
    <row r="350" spans="1:5" ht="40.5" x14ac:dyDescent="0.25">
      <c r="A350" s="508">
        <v>95570</v>
      </c>
      <c r="B350" s="509" t="s">
        <v>4937</v>
      </c>
      <c r="C350" s="508" t="s">
        <v>5</v>
      </c>
      <c r="D350" s="510">
        <v>82.01</v>
      </c>
      <c r="E350" s="461" t="s">
        <v>174</v>
      </c>
    </row>
    <row r="351" spans="1:5" ht="40.5" x14ac:dyDescent="0.25">
      <c r="A351" s="508">
        <v>95571</v>
      </c>
      <c r="B351" s="509" t="s">
        <v>4938</v>
      </c>
      <c r="C351" s="508" t="s">
        <v>5</v>
      </c>
      <c r="D351" s="510">
        <v>102.75</v>
      </c>
      <c r="E351" s="461" t="s">
        <v>174</v>
      </c>
    </row>
    <row r="352" spans="1:5" ht="40.5" x14ac:dyDescent="0.25">
      <c r="A352" s="508">
        <v>95572</v>
      </c>
      <c r="B352" s="509" t="s">
        <v>4939</v>
      </c>
      <c r="C352" s="508" t="s">
        <v>5</v>
      </c>
      <c r="D352" s="510">
        <v>145.46</v>
      </c>
      <c r="E352" s="461" t="s">
        <v>174</v>
      </c>
    </row>
    <row r="353" spans="1:5" ht="40.5" x14ac:dyDescent="0.25">
      <c r="A353" s="508">
        <v>97127</v>
      </c>
      <c r="B353" s="509" t="s">
        <v>12984</v>
      </c>
      <c r="C353" s="508" t="s">
        <v>5</v>
      </c>
      <c r="D353" s="510">
        <v>5.44</v>
      </c>
      <c r="E353" s="461" t="s">
        <v>174</v>
      </c>
    </row>
    <row r="354" spans="1:5" ht="40.5" x14ac:dyDescent="0.25">
      <c r="A354" s="508">
        <v>97128</v>
      </c>
      <c r="B354" s="509" t="s">
        <v>12985</v>
      </c>
      <c r="C354" s="508" t="s">
        <v>5</v>
      </c>
      <c r="D354" s="508">
        <v>10.15</v>
      </c>
      <c r="E354" s="461" t="s">
        <v>174</v>
      </c>
    </row>
    <row r="355" spans="1:5" ht="40.5" x14ac:dyDescent="0.25">
      <c r="A355" s="508">
        <v>97129</v>
      </c>
      <c r="B355" s="509" t="s">
        <v>12986</v>
      </c>
      <c r="C355" s="508" t="s">
        <v>5</v>
      </c>
      <c r="D355" s="508">
        <v>12.03</v>
      </c>
      <c r="E355" s="461" t="s">
        <v>174</v>
      </c>
    </row>
    <row r="356" spans="1:5" ht="40.5" x14ac:dyDescent="0.25">
      <c r="A356" s="508">
        <v>97130</v>
      </c>
      <c r="B356" s="509" t="s">
        <v>12987</v>
      </c>
      <c r="C356" s="508" t="s">
        <v>5</v>
      </c>
      <c r="D356" s="508">
        <v>13.9</v>
      </c>
      <c r="E356" s="461" t="s">
        <v>174</v>
      </c>
    </row>
    <row r="357" spans="1:5" ht="40.5" x14ac:dyDescent="0.25">
      <c r="A357" s="508">
        <v>97131</v>
      </c>
      <c r="B357" s="509" t="s">
        <v>12988</v>
      </c>
      <c r="C357" s="508" t="s">
        <v>5</v>
      </c>
      <c r="D357" s="508">
        <v>15.8</v>
      </c>
      <c r="E357" s="461" t="s">
        <v>174</v>
      </c>
    </row>
    <row r="358" spans="1:5" ht="40.5" x14ac:dyDescent="0.25">
      <c r="A358" s="508">
        <v>97132</v>
      </c>
      <c r="B358" s="509" t="s">
        <v>12989</v>
      </c>
      <c r="C358" s="508" t="s">
        <v>5</v>
      </c>
      <c r="D358" s="508">
        <v>17.66</v>
      </c>
      <c r="E358" s="461" t="s">
        <v>174</v>
      </c>
    </row>
    <row r="359" spans="1:5" ht="40.5" x14ac:dyDescent="0.25">
      <c r="A359" s="508">
        <v>97133</v>
      </c>
      <c r="B359" s="509" t="s">
        <v>12990</v>
      </c>
      <c r="C359" s="508" t="s">
        <v>5</v>
      </c>
      <c r="D359" s="508">
        <v>21.42</v>
      </c>
      <c r="E359" s="461" t="s">
        <v>174</v>
      </c>
    </row>
    <row r="360" spans="1:5" ht="40.5" x14ac:dyDescent="0.25">
      <c r="A360" s="508">
        <v>97134</v>
      </c>
      <c r="B360" s="509" t="s">
        <v>12991</v>
      </c>
      <c r="C360" s="508" t="s">
        <v>5</v>
      </c>
      <c r="D360" s="508">
        <v>4.5</v>
      </c>
      <c r="E360" s="461" t="s">
        <v>174</v>
      </c>
    </row>
    <row r="361" spans="1:5" ht="40.5" x14ac:dyDescent="0.25">
      <c r="A361" s="508">
        <v>97135</v>
      </c>
      <c r="B361" s="509" t="s">
        <v>12992</v>
      </c>
      <c r="C361" s="508" t="s">
        <v>5</v>
      </c>
      <c r="D361" s="508">
        <v>7.83</v>
      </c>
      <c r="E361" s="461" t="s">
        <v>174</v>
      </c>
    </row>
    <row r="362" spans="1:5" ht="40.5" x14ac:dyDescent="0.25">
      <c r="A362" s="508">
        <v>97136</v>
      </c>
      <c r="B362" s="509" t="s">
        <v>12993</v>
      </c>
      <c r="C362" s="508" t="s">
        <v>5</v>
      </c>
      <c r="D362" s="508">
        <v>9.2899999999999991</v>
      </c>
      <c r="E362" s="461" t="s">
        <v>174</v>
      </c>
    </row>
    <row r="363" spans="1:5" ht="40.5" x14ac:dyDescent="0.25">
      <c r="A363" s="508">
        <v>97137</v>
      </c>
      <c r="B363" s="509" t="s">
        <v>12994</v>
      </c>
      <c r="C363" s="508" t="s">
        <v>5</v>
      </c>
      <c r="D363" s="508">
        <v>10.74</v>
      </c>
      <c r="E363" s="461" t="s">
        <v>174</v>
      </c>
    </row>
    <row r="364" spans="1:5" ht="40.5" x14ac:dyDescent="0.25">
      <c r="A364" s="508">
        <v>97138</v>
      </c>
      <c r="B364" s="509" t="s">
        <v>12995</v>
      </c>
      <c r="C364" s="508" t="s">
        <v>5</v>
      </c>
      <c r="D364" s="508">
        <v>12.2</v>
      </c>
      <c r="E364" s="461" t="s">
        <v>174</v>
      </c>
    </row>
    <row r="365" spans="1:5" ht="40.5" x14ac:dyDescent="0.25">
      <c r="A365" s="508">
        <v>97139</v>
      </c>
      <c r="B365" s="509" t="s">
        <v>12996</v>
      </c>
      <c r="C365" s="508" t="s">
        <v>5</v>
      </c>
      <c r="D365" s="508">
        <v>13.65</v>
      </c>
      <c r="E365" s="461" t="s">
        <v>174</v>
      </c>
    </row>
    <row r="366" spans="1:5" ht="40.5" x14ac:dyDescent="0.25">
      <c r="A366" s="508">
        <v>97140</v>
      </c>
      <c r="B366" s="509" t="s">
        <v>12997</v>
      </c>
      <c r="C366" s="508" t="s">
        <v>5</v>
      </c>
      <c r="D366" s="508">
        <v>16.55</v>
      </c>
      <c r="E366" s="461" t="s">
        <v>174</v>
      </c>
    </row>
    <row r="367" spans="1:5" ht="27" x14ac:dyDescent="0.25">
      <c r="A367" s="508">
        <v>103089</v>
      </c>
      <c r="B367" s="509" t="s">
        <v>3929</v>
      </c>
      <c r="C367" s="508" t="s">
        <v>5</v>
      </c>
      <c r="D367" s="508">
        <v>11.87</v>
      </c>
      <c r="E367" s="461" t="s">
        <v>174</v>
      </c>
    </row>
    <row r="368" spans="1:5" ht="27" x14ac:dyDescent="0.25">
      <c r="A368" s="508">
        <v>103090</v>
      </c>
      <c r="B368" s="509" t="s">
        <v>3930</v>
      </c>
      <c r="C368" s="508" t="s">
        <v>5</v>
      </c>
      <c r="D368" s="508">
        <v>14.21</v>
      </c>
      <c r="E368" s="461" t="s">
        <v>174</v>
      </c>
    </row>
    <row r="369" spans="1:5" ht="27" x14ac:dyDescent="0.25">
      <c r="A369" s="508">
        <v>103091</v>
      </c>
      <c r="B369" s="509" t="s">
        <v>3931</v>
      </c>
      <c r="C369" s="508" t="s">
        <v>5</v>
      </c>
      <c r="D369" s="508">
        <v>20.02</v>
      </c>
      <c r="E369" s="461" t="s">
        <v>174</v>
      </c>
    </row>
    <row r="370" spans="1:5" ht="27" x14ac:dyDescent="0.25">
      <c r="A370" s="508">
        <v>103092</v>
      </c>
      <c r="B370" s="509" t="s">
        <v>3932</v>
      </c>
      <c r="C370" s="508" t="s">
        <v>5</v>
      </c>
      <c r="D370" s="508">
        <v>25.84</v>
      </c>
      <c r="E370" s="461" t="s">
        <v>174</v>
      </c>
    </row>
    <row r="371" spans="1:5" ht="27" x14ac:dyDescent="0.25">
      <c r="A371" s="508">
        <v>103093</v>
      </c>
      <c r="B371" s="509" t="s">
        <v>3933</v>
      </c>
      <c r="C371" s="508" t="s">
        <v>5</v>
      </c>
      <c r="D371" s="508">
        <v>39.5</v>
      </c>
      <c r="E371" s="461" t="s">
        <v>174</v>
      </c>
    </row>
    <row r="372" spans="1:5" ht="27" x14ac:dyDescent="0.25">
      <c r="A372" s="508">
        <v>103094</v>
      </c>
      <c r="B372" s="509" t="s">
        <v>3934</v>
      </c>
      <c r="C372" s="508" t="s">
        <v>5</v>
      </c>
      <c r="D372" s="508">
        <v>45.36</v>
      </c>
      <c r="E372" s="461" t="s">
        <v>174</v>
      </c>
    </row>
    <row r="373" spans="1:5" ht="27" x14ac:dyDescent="0.25">
      <c r="A373" s="508">
        <v>103095</v>
      </c>
      <c r="B373" s="509" t="s">
        <v>3935</v>
      </c>
      <c r="C373" s="508" t="s">
        <v>5</v>
      </c>
      <c r="D373" s="508">
        <v>59.01</v>
      </c>
      <c r="E373" s="461" t="s">
        <v>174</v>
      </c>
    </row>
    <row r="374" spans="1:5" ht="27" x14ac:dyDescent="0.25">
      <c r="A374" s="508">
        <v>103096</v>
      </c>
      <c r="B374" s="509" t="s">
        <v>3936</v>
      </c>
      <c r="C374" s="508" t="s">
        <v>5</v>
      </c>
      <c r="D374" s="508">
        <v>64.86</v>
      </c>
      <c r="E374" s="461" t="s">
        <v>174</v>
      </c>
    </row>
    <row r="375" spans="1:5" ht="27" x14ac:dyDescent="0.25">
      <c r="A375" s="508">
        <v>103097</v>
      </c>
      <c r="B375" s="509" t="s">
        <v>3937</v>
      </c>
      <c r="C375" s="508" t="s">
        <v>5</v>
      </c>
      <c r="D375" s="508">
        <v>78.5</v>
      </c>
      <c r="E375" s="461" t="s">
        <v>174</v>
      </c>
    </row>
    <row r="376" spans="1:5" ht="27" x14ac:dyDescent="0.25">
      <c r="A376" s="508">
        <v>103098</v>
      </c>
      <c r="B376" s="509" t="s">
        <v>3938</v>
      </c>
      <c r="C376" s="508" t="s">
        <v>5</v>
      </c>
      <c r="D376" s="508">
        <v>84.34</v>
      </c>
      <c r="E376" s="461" t="s">
        <v>174</v>
      </c>
    </row>
    <row r="377" spans="1:5" ht="27" x14ac:dyDescent="0.25">
      <c r="A377" s="508">
        <v>103099</v>
      </c>
      <c r="B377" s="509" t="s">
        <v>3939</v>
      </c>
      <c r="C377" s="508" t="s">
        <v>5</v>
      </c>
      <c r="D377" s="508">
        <v>95.97</v>
      </c>
      <c r="E377" s="461" t="s">
        <v>174</v>
      </c>
    </row>
    <row r="378" spans="1:5" ht="27" x14ac:dyDescent="0.25">
      <c r="A378" s="508">
        <v>103100</v>
      </c>
      <c r="B378" s="509" t="s">
        <v>3940</v>
      </c>
      <c r="C378" s="508" t="s">
        <v>5</v>
      </c>
      <c r="D378" s="508">
        <v>102.45</v>
      </c>
      <c r="E378" s="461" t="s">
        <v>174</v>
      </c>
    </row>
    <row r="379" spans="1:5" ht="27" x14ac:dyDescent="0.25">
      <c r="A379" s="508">
        <v>103101</v>
      </c>
      <c r="B379" s="509" t="s">
        <v>3941</v>
      </c>
      <c r="C379" s="508" t="s">
        <v>5</v>
      </c>
      <c r="D379" s="508">
        <v>112.87</v>
      </c>
      <c r="E379" s="461" t="s">
        <v>174</v>
      </c>
    </row>
    <row r="380" spans="1:5" ht="27" x14ac:dyDescent="0.25">
      <c r="A380" s="508">
        <v>103102</v>
      </c>
      <c r="B380" s="509" t="s">
        <v>3942</v>
      </c>
      <c r="C380" s="508" t="s">
        <v>5</v>
      </c>
      <c r="D380" s="508">
        <v>129.97999999999999</v>
      </c>
      <c r="E380" s="461" t="s">
        <v>174</v>
      </c>
    </row>
    <row r="381" spans="1:5" ht="27" x14ac:dyDescent="0.25">
      <c r="A381" s="508">
        <v>103103</v>
      </c>
      <c r="B381" s="509" t="s">
        <v>3943</v>
      </c>
      <c r="C381" s="508" t="s">
        <v>5</v>
      </c>
      <c r="D381" s="508">
        <v>140.4</v>
      </c>
      <c r="E381" s="461" t="s">
        <v>174</v>
      </c>
    </row>
    <row r="382" spans="1:5" ht="27" x14ac:dyDescent="0.25">
      <c r="A382" s="508">
        <v>103104</v>
      </c>
      <c r="B382" s="509" t="s">
        <v>3944</v>
      </c>
      <c r="C382" s="508" t="s">
        <v>5</v>
      </c>
      <c r="D382" s="508">
        <v>167.93</v>
      </c>
      <c r="E382" s="461" t="s">
        <v>174</v>
      </c>
    </row>
    <row r="383" spans="1:5" ht="27" x14ac:dyDescent="0.25">
      <c r="A383" s="508">
        <v>103105</v>
      </c>
      <c r="B383" s="509" t="s">
        <v>3945</v>
      </c>
      <c r="C383" s="508" t="s">
        <v>107</v>
      </c>
      <c r="D383" s="508">
        <v>49.22</v>
      </c>
      <c r="E383" s="461" t="s">
        <v>174</v>
      </c>
    </row>
    <row r="384" spans="1:5" ht="27" x14ac:dyDescent="0.25">
      <c r="A384" s="508">
        <v>103106</v>
      </c>
      <c r="B384" s="509" t="s">
        <v>3946</v>
      </c>
      <c r="C384" s="508" t="s">
        <v>107</v>
      </c>
      <c r="D384" s="508">
        <v>58.92</v>
      </c>
      <c r="E384" s="461" t="s">
        <v>174</v>
      </c>
    </row>
    <row r="385" spans="1:5" ht="27" x14ac:dyDescent="0.25">
      <c r="A385" s="508">
        <v>103107</v>
      </c>
      <c r="B385" s="509" t="s">
        <v>3947</v>
      </c>
      <c r="C385" s="508" t="s">
        <v>107</v>
      </c>
      <c r="D385" s="508">
        <v>83.16</v>
      </c>
      <c r="E385" s="461" t="s">
        <v>174</v>
      </c>
    </row>
    <row r="386" spans="1:5" ht="27" x14ac:dyDescent="0.25">
      <c r="A386" s="508">
        <v>103108</v>
      </c>
      <c r="B386" s="509" t="s">
        <v>3948</v>
      </c>
      <c r="C386" s="508" t="s">
        <v>107</v>
      </c>
      <c r="D386" s="508">
        <v>107.38</v>
      </c>
      <c r="E386" s="461" t="s">
        <v>174</v>
      </c>
    </row>
    <row r="387" spans="1:5" ht="27" x14ac:dyDescent="0.25">
      <c r="A387" s="508">
        <v>103109</v>
      </c>
      <c r="B387" s="509" t="s">
        <v>3949</v>
      </c>
      <c r="C387" s="508" t="s">
        <v>107</v>
      </c>
      <c r="D387" s="508">
        <v>177.15</v>
      </c>
      <c r="E387" s="461" t="s">
        <v>174</v>
      </c>
    </row>
    <row r="388" spans="1:5" ht="27" x14ac:dyDescent="0.25">
      <c r="A388" s="508">
        <v>103110</v>
      </c>
      <c r="B388" s="509" t="s">
        <v>3950</v>
      </c>
      <c r="C388" s="508" t="s">
        <v>107</v>
      </c>
      <c r="D388" s="508">
        <v>201.38</v>
      </c>
      <c r="E388" s="461" t="s">
        <v>174</v>
      </c>
    </row>
    <row r="389" spans="1:5" ht="27" x14ac:dyDescent="0.25">
      <c r="A389" s="508">
        <v>103111</v>
      </c>
      <c r="B389" s="509" t="s">
        <v>3951</v>
      </c>
      <c r="C389" s="508" t="s">
        <v>107</v>
      </c>
      <c r="D389" s="508">
        <v>271.14</v>
      </c>
      <c r="E389" s="461" t="s">
        <v>174</v>
      </c>
    </row>
    <row r="390" spans="1:5" ht="27" x14ac:dyDescent="0.25">
      <c r="A390" s="508">
        <v>103112</v>
      </c>
      <c r="B390" s="509" t="s">
        <v>3952</v>
      </c>
      <c r="C390" s="508" t="s">
        <v>107</v>
      </c>
      <c r="D390" s="508">
        <v>295.35000000000002</v>
      </c>
      <c r="E390" s="461" t="s">
        <v>174</v>
      </c>
    </row>
    <row r="391" spans="1:5" ht="27" x14ac:dyDescent="0.25">
      <c r="A391" s="508">
        <v>103113</v>
      </c>
      <c r="B391" s="509" t="s">
        <v>3953</v>
      </c>
      <c r="C391" s="508" t="s">
        <v>107</v>
      </c>
      <c r="D391" s="508">
        <v>365.12</v>
      </c>
      <c r="E391" s="461" t="s">
        <v>174</v>
      </c>
    </row>
    <row r="392" spans="1:5" ht="27" x14ac:dyDescent="0.25">
      <c r="A392" s="508">
        <v>103114</v>
      </c>
      <c r="B392" s="509" t="s">
        <v>3954</v>
      </c>
      <c r="C392" s="508" t="s">
        <v>107</v>
      </c>
      <c r="D392" s="508">
        <v>389.34</v>
      </c>
      <c r="E392" s="461" t="s">
        <v>174</v>
      </c>
    </row>
    <row r="393" spans="1:5" ht="27" x14ac:dyDescent="0.25">
      <c r="A393" s="508">
        <v>103115</v>
      </c>
      <c r="B393" s="509" t="s">
        <v>3955</v>
      </c>
      <c r="C393" s="508" t="s">
        <v>107</v>
      </c>
      <c r="D393" s="508">
        <v>437.81</v>
      </c>
      <c r="E393" s="461" t="s">
        <v>174</v>
      </c>
    </row>
    <row r="394" spans="1:5" ht="27" x14ac:dyDescent="0.25">
      <c r="A394" s="508">
        <v>103116</v>
      </c>
      <c r="B394" s="509" t="s">
        <v>3956</v>
      </c>
      <c r="C394" s="508" t="s">
        <v>107</v>
      </c>
      <c r="D394" s="508">
        <v>531.79999999999995</v>
      </c>
      <c r="E394" s="461" t="s">
        <v>174</v>
      </c>
    </row>
    <row r="395" spans="1:5" ht="27" x14ac:dyDescent="0.25">
      <c r="A395" s="508">
        <v>103117</v>
      </c>
      <c r="B395" s="509" t="s">
        <v>3957</v>
      </c>
      <c r="C395" s="508" t="s">
        <v>107</v>
      </c>
      <c r="D395" s="508">
        <v>580.26</v>
      </c>
      <c r="E395" s="461" t="s">
        <v>174</v>
      </c>
    </row>
    <row r="396" spans="1:5" ht="27" x14ac:dyDescent="0.25">
      <c r="A396" s="508">
        <v>103118</v>
      </c>
      <c r="B396" s="509" t="s">
        <v>3958</v>
      </c>
      <c r="C396" s="508" t="s">
        <v>107</v>
      </c>
      <c r="D396" s="508">
        <v>674.25</v>
      </c>
      <c r="E396" s="461" t="s">
        <v>174</v>
      </c>
    </row>
    <row r="397" spans="1:5" ht="27" x14ac:dyDescent="0.25">
      <c r="A397" s="508">
        <v>103119</v>
      </c>
      <c r="B397" s="509" t="s">
        <v>3959</v>
      </c>
      <c r="C397" s="508" t="s">
        <v>107</v>
      </c>
      <c r="D397" s="508">
        <v>722.72</v>
      </c>
      <c r="E397" s="461" t="s">
        <v>174</v>
      </c>
    </row>
    <row r="398" spans="1:5" ht="27" x14ac:dyDescent="0.25">
      <c r="A398" s="508">
        <v>103120</v>
      </c>
      <c r="B398" s="509" t="s">
        <v>3960</v>
      </c>
      <c r="C398" s="508" t="s">
        <v>107</v>
      </c>
      <c r="D398" s="508">
        <v>865.16</v>
      </c>
      <c r="E398" s="461" t="s">
        <v>174</v>
      </c>
    </row>
    <row r="399" spans="1:5" ht="27" x14ac:dyDescent="0.25">
      <c r="A399" s="508">
        <v>103121</v>
      </c>
      <c r="B399" s="509" t="s">
        <v>3961</v>
      </c>
      <c r="C399" s="508" t="s">
        <v>107</v>
      </c>
      <c r="D399" s="508">
        <v>64.91</v>
      </c>
      <c r="E399" s="461" t="s">
        <v>174</v>
      </c>
    </row>
    <row r="400" spans="1:5" ht="27" x14ac:dyDescent="0.25">
      <c r="A400" s="508">
        <v>103122</v>
      </c>
      <c r="B400" s="509" t="s">
        <v>3962</v>
      </c>
      <c r="C400" s="508" t="s">
        <v>107</v>
      </c>
      <c r="D400" s="508">
        <v>79.45</v>
      </c>
      <c r="E400" s="461" t="s">
        <v>174</v>
      </c>
    </row>
    <row r="401" spans="1:5" ht="27" x14ac:dyDescent="0.25">
      <c r="A401" s="508">
        <v>103123</v>
      </c>
      <c r="B401" s="509" t="s">
        <v>3963</v>
      </c>
      <c r="C401" s="508" t="s">
        <v>107</v>
      </c>
      <c r="D401" s="508">
        <v>115.81</v>
      </c>
      <c r="E401" s="461" t="s">
        <v>174</v>
      </c>
    </row>
    <row r="402" spans="1:5" ht="27" x14ac:dyDescent="0.25">
      <c r="A402" s="508">
        <v>103124</v>
      </c>
      <c r="B402" s="509" t="s">
        <v>3964</v>
      </c>
      <c r="C402" s="508" t="s">
        <v>107</v>
      </c>
      <c r="D402" s="508">
        <v>152.13999999999999</v>
      </c>
      <c r="E402" s="461" t="s">
        <v>174</v>
      </c>
    </row>
    <row r="403" spans="1:5" ht="27" x14ac:dyDescent="0.25">
      <c r="A403" s="508">
        <v>103125</v>
      </c>
      <c r="B403" s="509" t="s">
        <v>3965</v>
      </c>
      <c r="C403" s="508" t="s">
        <v>107</v>
      </c>
      <c r="D403" s="508">
        <v>256.79000000000002</v>
      </c>
      <c r="E403" s="461" t="s">
        <v>174</v>
      </c>
    </row>
    <row r="404" spans="1:5" ht="27" x14ac:dyDescent="0.25">
      <c r="A404" s="508">
        <v>103126</v>
      </c>
      <c r="B404" s="509" t="s">
        <v>3966</v>
      </c>
      <c r="C404" s="508" t="s">
        <v>107</v>
      </c>
      <c r="D404" s="508">
        <v>293.12</v>
      </c>
      <c r="E404" s="461" t="s">
        <v>174</v>
      </c>
    </row>
    <row r="405" spans="1:5" ht="27" x14ac:dyDescent="0.25">
      <c r="A405" s="508">
        <v>103127</v>
      </c>
      <c r="B405" s="509" t="s">
        <v>3967</v>
      </c>
      <c r="C405" s="508" t="s">
        <v>107</v>
      </c>
      <c r="D405" s="508">
        <v>397.78</v>
      </c>
      <c r="E405" s="461" t="s">
        <v>174</v>
      </c>
    </row>
    <row r="406" spans="1:5" ht="27" x14ac:dyDescent="0.25">
      <c r="A406" s="508">
        <v>103128</v>
      </c>
      <c r="B406" s="509" t="s">
        <v>3968</v>
      </c>
      <c r="C406" s="508" t="s">
        <v>107</v>
      </c>
      <c r="D406" s="508">
        <v>434.11</v>
      </c>
      <c r="E406" s="461" t="s">
        <v>174</v>
      </c>
    </row>
    <row r="407" spans="1:5" ht="27" x14ac:dyDescent="0.25">
      <c r="A407" s="508">
        <v>103129</v>
      </c>
      <c r="B407" s="509" t="s">
        <v>3969</v>
      </c>
      <c r="C407" s="508" t="s">
        <v>107</v>
      </c>
      <c r="D407" s="508">
        <v>538.77</v>
      </c>
      <c r="E407" s="461" t="s">
        <v>174</v>
      </c>
    </row>
    <row r="408" spans="1:5" ht="27" x14ac:dyDescent="0.25">
      <c r="A408" s="508">
        <v>103130</v>
      </c>
      <c r="B408" s="509" t="s">
        <v>3970</v>
      </c>
      <c r="C408" s="508" t="s">
        <v>107</v>
      </c>
      <c r="D408" s="508">
        <v>575.09</v>
      </c>
      <c r="E408" s="461" t="s">
        <v>174</v>
      </c>
    </row>
    <row r="409" spans="1:5" ht="27" x14ac:dyDescent="0.25">
      <c r="A409" s="508">
        <v>103131</v>
      </c>
      <c r="B409" s="509" t="s">
        <v>3971</v>
      </c>
      <c r="C409" s="508" t="s">
        <v>107</v>
      </c>
      <c r="D409" s="508">
        <v>647.78</v>
      </c>
      <c r="E409" s="461" t="s">
        <v>174</v>
      </c>
    </row>
    <row r="410" spans="1:5" ht="27" x14ac:dyDescent="0.25">
      <c r="A410" s="508">
        <v>103132</v>
      </c>
      <c r="B410" s="509" t="s">
        <v>3972</v>
      </c>
      <c r="C410" s="508" t="s">
        <v>107</v>
      </c>
      <c r="D410" s="508">
        <v>788.76</v>
      </c>
      <c r="E410" s="461" t="s">
        <v>174</v>
      </c>
    </row>
    <row r="411" spans="1:5" ht="27" x14ac:dyDescent="0.25">
      <c r="A411" s="508">
        <v>103133</v>
      </c>
      <c r="B411" s="509" t="s">
        <v>3973</v>
      </c>
      <c r="C411" s="508" t="s">
        <v>107</v>
      </c>
      <c r="D411" s="508">
        <v>861.45</v>
      </c>
      <c r="E411" s="461" t="s">
        <v>174</v>
      </c>
    </row>
    <row r="412" spans="1:5" ht="27" x14ac:dyDescent="0.25">
      <c r="A412" s="508">
        <v>103134</v>
      </c>
      <c r="B412" s="509" t="s">
        <v>3974</v>
      </c>
      <c r="C412" s="508" t="s">
        <v>107</v>
      </c>
      <c r="D412" s="508">
        <v>1002.45</v>
      </c>
      <c r="E412" s="461" t="s">
        <v>174</v>
      </c>
    </row>
    <row r="413" spans="1:5" ht="27" x14ac:dyDescent="0.25">
      <c r="A413" s="508">
        <v>103135</v>
      </c>
      <c r="B413" s="509" t="s">
        <v>3975</v>
      </c>
      <c r="C413" s="508" t="s">
        <v>107</v>
      </c>
      <c r="D413" s="508">
        <v>1075.1500000000001</v>
      </c>
      <c r="E413" s="461" t="s">
        <v>174</v>
      </c>
    </row>
    <row r="414" spans="1:5" ht="27" x14ac:dyDescent="0.25">
      <c r="A414" s="508">
        <v>103136</v>
      </c>
      <c r="B414" s="509" t="s">
        <v>3976</v>
      </c>
      <c r="C414" s="508" t="s">
        <v>107</v>
      </c>
      <c r="D414" s="508">
        <v>1288.81</v>
      </c>
      <c r="E414" s="461" t="s">
        <v>174</v>
      </c>
    </row>
    <row r="415" spans="1:5" ht="27" x14ac:dyDescent="0.25">
      <c r="A415" s="508">
        <v>103137</v>
      </c>
      <c r="B415" s="509" t="s">
        <v>3977</v>
      </c>
      <c r="C415" s="508" t="s">
        <v>107</v>
      </c>
      <c r="D415" s="508">
        <v>33.549999999999997</v>
      </c>
      <c r="E415" s="461" t="s">
        <v>174</v>
      </c>
    </row>
    <row r="416" spans="1:5" ht="27" x14ac:dyDescent="0.25">
      <c r="A416" s="508">
        <v>103138</v>
      </c>
      <c r="B416" s="509" t="s">
        <v>3978</v>
      </c>
      <c r="C416" s="508" t="s">
        <v>107</v>
      </c>
      <c r="D416" s="508">
        <v>38.39</v>
      </c>
      <c r="E416" s="461" t="s">
        <v>174</v>
      </c>
    </row>
    <row r="417" spans="1:5" ht="27" x14ac:dyDescent="0.25">
      <c r="A417" s="508">
        <v>103139</v>
      </c>
      <c r="B417" s="509" t="s">
        <v>3979</v>
      </c>
      <c r="C417" s="508" t="s">
        <v>107</v>
      </c>
      <c r="D417" s="510">
        <v>50.52</v>
      </c>
      <c r="E417" s="461" t="s">
        <v>174</v>
      </c>
    </row>
    <row r="418" spans="1:5" ht="27" x14ac:dyDescent="0.25">
      <c r="A418" s="508">
        <v>103140</v>
      </c>
      <c r="B418" s="509" t="s">
        <v>3980</v>
      </c>
      <c r="C418" s="508" t="s">
        <v>107</v>
      </c>
      <c r="D418" s="510">
        <v>62.62</v>
      </c>
      <c r="E418" s="461" t="s">
        <v>174</v>
      </c>
    </row>
    <row r="419" spans="1:5" ht="27" x14ac:dyDescent="0.25">
      <c r="A419" s="508">
        <v>103141</v>
      </c>
      <c r="B419" s="509" t="s">
        <v>3981</v>
      </c>
      <c r="C419" s="508" t="s">
        <v>107</v>
      </c>
      <c r="D419" s="508">
        <v>97.51</v>
      </c>
      <c r="E419" s="461" t="s">
        <v>174</v>
      </c>
    </row>
    <row r="420" spans="1:5" ht="27" x14ac:dyDescent="0.25">
      <c r="A420" s="508">
        <v>103142</v>
      </c>
      <c r="B420" s="509" t="s">
        <v>3982</v>
      </c>
      <c r="C420" s="508" t="s">
        <v>107</v>
      </c>
      <c r="D420" s="508">
        <v>109.61</v>
      </c>
      <c r="E420" s="461" t="s">
        <v>174</v>
      </c>
    </row>
    <row r="421" spans="1:5" ht="27" x14ac:dyDescent="0.25">
      <c r="A421" s="508">
        <v>103143</v>
      </c>
      <c r="B421" s="509" t="s">
        <v>3983</v>
      </c>
      <c r="C421" s="508" t="s">
        <v>107</v>
      </c>
      <c r="D421" s="508">
        <v>144.5</v>
      </c>
      <c r="E421" s="461" t="s">
        <v>174</v>
      </c>
    </row>
    <row r="422" spans="1:5" ht="27" x14ac:dyDescent="0.25">
      <c r="A422" s="508">
        <v>103144</v>
      </c>
      <c r="B422" s="509" t="s">
        <v>3984</v>
      </c>
      <c r="C422" s="508" t="s">
        <v>107</v>
      </c>
      <c r="D422" s="508">
        <v>156.61000000000001</v>
      </c>
      <c r="E422" s="461" t="s">
        <v>174</v>
      </c>
    </row>
    <row r="423" spans="1:5" ht="27" x14ac:dyDescent="0.25">
      <c r="A423" s="508">
        <v>103145</v>
      </c>
      <c r="B423" s="509" t="s">
        <v>3985</v>
      </c>
      <c r="C423" s="508" t="s">
        <v>107</v>
      </c>
      <c r="D423" s="508">
        <v>191.51</v>
      </c>
      <c r="E423" s="461" t="s">
        <v>174</v>
      </c>
    </row>
    <row r="424" spans="1:5" ht="27" x14ac:dyDescent="0.25">
      <c r="A424" s="508">
        <v>103146</v>
      </c>
      <c r="B424" s="509" t="s">
        <v>3986</v>
      </c>
      <c r="C424" s="508" t="s">
        <v>107</v>
      </c>
      <c r="D424" s="508">
        <v>203.6</v>
      </c>
      <c r="E424" s="461" t="s">
        <v>174</v>
      </c>
    </row>
    <row r="425" spans="1:5" ht="27" x14ac:dyDescent="0.25">
      <c r="A425" s="508">
        <v>103147</v>
      </c>
      <c r="B425" s="509" t="s">
        <v>3987</v>
      </c>
      <c r="C425" s="508" t="s">
        <v>107</v>
      </c>
      <c r="D425" s="508">
        <v>227.83</v>
      </c>
      <c r="E425" s="461" t="s">
        <v>174</v>
      </c>
    </row>
    <row r="426" spans="1:5" ht="27" x14ac:dyDescent="0.25">
      <c r="A426" s="508">
        <v>103148</v>
      </c>
      <c r="B426" s="509" t="s">
        <v>3988</v>
      </c>
      <c r="C426" s="508" t="s">
        <v>107</v>
      </c>
      <c r="D426" s="508">
        <v>274.82</v>
      </c>
      <c r="E426" s="461" t="s">
        <v>174</v>
      </c>
    </row>
    <row r="427" spans="1:5" ht="27" x14ac:dyDescent="0.25">
      <c r="A427" s="508">
        <v>103149</v>
      </c>
      <c r="B427" s="509" t="s">
        <v>3989</v>
      </c>
      <c r="C427" s="508" t="s">
        <v>107</v>
      </c>
      <c r="D427" s="508">
        <v>299.06</v>
      </c>
      <c r="E427" s="461" t="s">
        <v>174</v>
      </c>
    </row>
    <row r="428" spans="1:5" ht="27" x14ac:dyDescent="0.25">
      <c r="A428" s="508">
        <v>103150</v>
      </c>
      <c r="B428" s="509" t="s">
        <v>3990</v>
      </c>
      <c r="C428" s="508" t="s">
        <v>107</v>
      </c>
      <c r="D428" s="508">
        <v>346.01</v>
      </c>
      <c r="E428" s="461" t="s">
        <v>174</v>
      </c>
    </row>
    <row r="429" spans="1:5" ht="27" x14ac:dyDescent="0.25">
      <c r="A429" s="508">
        <v>103151</v>
      </c>
      <c r="B429" s="509" t="s">
        <v>3991</v>
      </c>
      <c r="C429" s="508" t="s">
        <v>107</v>
      </c>
      <c r="D429" s="508">
        <v>370.29</v>
      </c>
      <c r="E429" s="461" t="s">
        <v>174</v>
      </c>
    </row>
    <row r="430" spans="1:5" ht="27" x14ac:dyDescent="0.25">
      <c r="A430" s="508">
        <v>103152</v>
      </c>
      <c r="B430" s="509" t="s">
        <v>3992</v>
      </c>
      <c r="C430" s="508" t="s">
        <v>107</v>
      </c>
      <c r="D430" s="508">
        <v>441.52</v>
      </c>
      <c r="E430" s="461" t="s">
        <v>174</v>
      </c>
    </row>
    <row r="431" spans="1:5" ht="27" x14ac:dyDescent="0.25">
      <c r="A431" s="508">
        <v>103372</v>
      </c>
      <c r="B431" s="509" t="s">
        <v>4296</v>
      </c>
      <c r="C431" s="508" t="s">
        <v>5</v>
      </c>
      <c r="D431" s="508">
        <v>5.34</v>
      </c>
      <c r="E431" s="461" t="s">
        <v>174</v>
      </c>
    </row>
    <row r="432" spans="1:5" ht="27" x14ac:dyDescent="0.25">
      <c r="A432" s="508">
        <v>103373</v>
      </c>
      <c r="B432" s="509" t="s">
        <v>4297</v>
      </c>
      <c r="C432" s="508" t="s">
        <v>5</v>
      </c>
      <c r="D432" s="508">
        <v>10.47</v>
      </c>
      <c r="E432" s="461" t="s">
        <v>174</v>
      </c>
    </row>
    <row r="433" spans="1:5" ht="27" x14ac:dyDescent="0.25">
      <c r="A433" s="508">
        <v>103376</v>
      </c>
      <c r="B433" s="509" t="s">
        <v>4298</v>
      </c>
      <c r="C433" s="508" t="s">
        <v>5</v>
      </c>
      <c r="D433" s="508">
        <v>124.39</v>
      </c>
      <c r="E433" s="461" t="s">
        <v>174</v>
      </c>
    </row>
    <row r="434" spans="1:5" ht="27" x14ac:dyDescent="0.25">
      <c r="A434" s="508">
        <v>103377</v>
      </c>
      <c r="B434" s="509" t="s">
        <v>4299</v>
      </c>
      <c r="C434" s="508" t="s">
        <v>5</v>
      </c>
      <c r="D434" s="508">
        <v>266.11</v>
      </c>
      <c r="E434" s="461" t="s">
        <v>174</v>
      </c>
    </row>
    <row r="435" spans="1:5" ht="27" x14ac:dyDescent="0.25">
      <c r="A435" s="508">
        <v>103379</v>
      </c>
      <c r="B435" s="509" t="s">
        <v>4300</v>
      </c>
      <c r="C435" s="508" t="s">
        <v>5</v>
      </c>
      <c r="D435" s="508">
        <v>414.22</v>
      </c>
      <c r="E435" s="461" t="s">
        <v>174</v>
      </c>
    </row>
    <row r="436" spans="1:5" ht="27" x14ac:dyDescent="0.25">
      <c r="A436" s="508">
        <v>103383</v>
      </c>
      <c r="B436" s="509" t="s">
        <v>4301</v>
      </c>
      <c r="C436" s="508" t="s">
        <v>5</v>
      </c>
      <c r="D436" s="508">
        <v>1015.12</v>
      </c>
      <c r="E436" s="461" t="s">
        <v>174</v>
      </c>
    </row>
    <row r="437" spans="1:5" ht="27" x14ac:dyDescent="0.25">
      <c r="A437" s="508">
        <v>103385</v>
      </c>
      <c r="B437" s="509" t="s">
        <v>4302</v>
      </c>
      <c r="C437" s="508" t="s">
        <v>5</v>
      </c>
      <c r="D437" s="508">
        <v>1636.85</v>
      </c>
      <c r="E437" s="461" t="s">
        <v>174</v>
      </c>
    </row>
    <row r="438" spans="1:5" ht="27" x14ac:dyDescent="0.25">
      <c r="A438" s="508">
        <v>103387</v>
      </c>
      <c r="B438" s="509" t="s">
        <v>4303</v>
      </c>
      <c r="C438" s="508" t="s">
        <v>5</v>
      </c>
      <c r="D438" s="508">
        <v>2871.45</v>
      </c>
      <c r="E438" s="461" t="s">
        <v>174</v>
      </c>
    </row>
    <row r="439" spans="1:5" ht="27" x14ac:dyDescent="0.25">
      <c r="A439" s="508">
        <v>103389</v>
      </c>
      <c r="B439" s="509" t="s">
        <v>4304</v>
      </c>
      <c r="C439" s="508" t="s">
        <v>5</v>
      </c>
      <c r="D439" s="508">
        <v>4270.29</v>
      </c>
      <c r="E439" s="461" t="s">
        <v>174</v>
      </c>
    </row>
    <row r="440" spans="1:5" ht="27" x14ac:dyDescent="0.25">
      <c r="A440" s="508">
        <v>103391</v>
      </c>
      <c r="B440" s="509" t="s">
        <v>4305</v>
      </c>
      <c r="C440" s="508" t="s">
        <v>5</v>
      </c>
      <c r="D440" s="508">
        <v>2814.3</v>
      </c>
      <c r="E440" s="461" t="s">
        <v>174</v>
      </c>
    </row>
    <row r="441" spans="1:5" ht="27" x14ac:dyDescent="0.25">
      <c r="A441" s="508">
        <v>103392</v>
      </c>
      <c r="B441" s="509" t="s">
        <v>4306</v>
      </c>
      <c r="C441" s="508" t="s">
        <v>5</v>
      </c>
      <c r="D441" s="508">
        <v>4598.91</v>
      </c>
      <c r="E441" s="461" t="s">
        <v>174</v>
      </c>
    </row>
    <row r="442" spans="1:5" ht="27" x14ac:dyDescent="0.25">
      <c r="A442" s="508">
        <v>103393</v>
      </c>
      <c r="B442" s="509" t="s">
        <v>4307</v>
      </c>
      <c r="C442" s="508" t="s">
        <v>5</v>
      </c>
      <c r="D442" s="508">
        <v>5072.5</v>
      </c>
      <c r="E442" s="461" t="s">
        <v>174</v>
      </c>
    </row>
    <row r="443" spans="1:5" ht="40.5" x14ac:dyDescent="0.25">
      <c r="A443" s="508">
        <v>103397</v>
      </c>
      <c r="B443" s="509" t="s">
        <v>4308</v>
      </c>
      <c r="C443" s="508" t="s">
        <v>107</v>
      </c>
      <c r="D443" s="508">
        <v>4.1500000000000004</v>
      </c>
      <c r="E443" s="461" t="s">
        <v>174</v>
      </c>
    </row>
    <row r="444" spans="1:5" ht="40.5" x14ac:dyDescent="0.25">
      <c r="A444" s="508">
        <v>103398</v>
      </c>
      <c r="B444" s="509" t="s">
        <v>4309</v>
      </c>
      <c r="C444" s="508" t="s">
        <v>107</v>
      </c>
      <c r="D444" s="508">
        <v>6.64</v>
      </c>
      <c r="E444" s="461" t="s">
        <v>174</v>
      </c>
    </row>
    <row r="445" spans="1:5" ht="40.5" x14ac:dyDescent="0.25">
      <c r="A445" s="508">
        <v>103399</v>
      </c>
      <c r="B445" s="509" t="s">
        <v>4310</v>
      </c>
      <c r="C445" s="508" t="s">
        <v>107</v>
      </c>
      <c r="D445" s="508">
        <v>13.09</v>
      </c>
      <c r="E445" s="461" t="s">
        <v>174</v>
      </c>
    </row>
    <row r="446" spans="1:5" ht="40.5" x14ac:dyDescent="0.25">
      <c r="A446" s="508">
        <v>103400</v>
      </c>
      <c r="B446" s="509" t="s">
        <v>4311</v>
      </c>
      <c r="C446" s="508" t="s">
        <v>107</v>
      </c>
      <c r="D446" s="508">
        <v>18.690000000000001</v>
      </c>
      <c r="E446" s="461" t="s">
        <v>174</v>
      </c>
    </row>
    <row r="447" spans="1:5" ht="40.5" x14ac:dyDescent="0.25">
      <c r="A447" s="508">
        <v>103401</v>
      </c>
      <c r="B447" s="509" t="s">
        <v>4312</v>
      </c>
      <c r="C447" s="508" t="s">
        <v>107</v>
      </c>
      <c r="D447" s="508">
        <v>22.86</v>
      </c>
      <c r="E447" s="461" t="s">
        <v>174</v>
      </c>
    </row>
    <row r="448" spans="1:5" ht="40.5" x14ac:dyDescent="0.25">
      <c r="A448" s="508">
        <v>103402</v>
      </c>
      <c r="B448" s="509" t="s">
        <v>4313</v>
      </c>
      <c r="C448" s="508" t="s">
        <v>107</v>
      </c>
      <c r="D448" s="508">
        <v>33.24</v>
      </c>
      <c r="E448" s="461" t="s">
        <v>174</v>
      </c>
    </row>
    <row r="449" spans="1:5" ht="40.5" x14ac:dyDescent="0.25">
      <c r="A449" s="508">
        <v>103403</v>
      </c>
      <c r="B449" s="509" t="s">
        <v>4314</v>
      </c>
      <c r="C449" s="508" t="s">
        <v>107</v>
      </c>
      <c r="D449" s="508">
        <v>37.39</v>
      </c>
      <c r="E449" s="461" t="s">
        <v>174</v>
      </c>
    </row>
    <row r="450" spans="1:5" ht="40.5" x14ac:dyDescent="0.25">
      <c r="A450" s="508">
        <v>103404</v>
      </c>
      <c r="B450" s="509" t="s">
        <v>4315</v>
      </c>
      <c r="C450" s="508" t="s">
        <v>107</v>
      </c>
      <c r="D450" s="508">
        <v>41.55</v>
      </c>
      <c r="E450" s="461" t="s">
        <v>174</v>
      </c>
    </row>
    <row r="451" spans="1:5" ht="40.5" x14ac:dyDescent="0.25">
      <c r="A451" s="508">
        <v>103405</v>
      </c>
      <c r="B451" s="509" t="s">
        <v>4316</v>
      </c>
      <c r="C451" s="508" t="s">
        <v>107</v>
      </c>
      <c r="D451" s="508">
        <v>46.75</v>
      </c>
      <c r="E451" s="461" t="s">
        <v>174</v>
      </c>
    </row>
    <row r="452" spans="1:5" ht="40.5" x14ac:dyDescent="0.25">
      <c r="A452" s="508">
        <v>103406</v>
      </c>
      <c r="B452" s="509" t="s">
        <v>4317</v>
      </c>
      <c r="C452" s="508" t="s">
        <v>107</v>
      </c>
      <c r="D452" s="508">
        <v>51.94</v>
      </c>
      <c r="E452" s="461" t="s">
        <v>174</v>
      </c>
    </row>
    <row r="453" spans="1:5" ht="40.5" x14ac:dyDescent="0.25">
      <c r="A453" s="508">
        <v>103407</v>
      </c>
      <c r="B453" s="509" t="s">
        <v>4318</v>
      </c>
      <c r="C453" s="508" t="s">
        <v>107</v>
      </c>
      <c r="D453" s="508">
        <v>58.18</v>
      </c>
      <c r="E453" s="461" t="s">
        <v>174</v>
      </c>
    </row>
    <row r="454" spans="1:5" ht="40.5" x14ac:dyDescent="0.25">
      <c r="A454" s="508">
        <v>103408</v>
      </c>
      <c r="B454" s="509" t="s">
        <v>4319</v>
      </c>
      <c r="C454" s="508" t="s">
        <v>107</v>
      </c>
      <c r="D454" s="508">
        <v>65.45</v>
      </c>
      <c r="E454" s="461" t="s">
        <v>174</v>
      </c>
    </row>
    <row r="455" spans="1:5" ht="40.5" x14ac:dyDescent="0.25">
      <c r="A455" s="508">
        <v>103409</v>
      </c>
      <c r="B455" s="509" t="s">
        <v>4320</v>
      </c>
      <c r="C455" s="508" t="s">
        <v>107</v>
      </c>
      <c r="D455" s="508">
        <v>73.77</v>
      </c>
      <c r="E455" s="461" t="s">
        <v>174</v>
      </c>
    </row>
    <row r="456" spans="1:5" ht="40.5" x14ac:dyDescent="0.25">
      <c r="A456" s="508">
        <v>103410</v>
      </c>
      <c r="B456" s="509" t="s">
        <v>4321</v>
      </c>
      <c r="C456" s="508" t="s">
        <v>107</v>
      </c>
      <c r="D456" s="508">
        <v>83.12</v>
      </c>
      <c r="E456" s="461" t="s">
        <v>174</v>
      </c>
    </row>
    <row r="457" spans="1:5" ht="40.5" x14ac:dyDescent="0.25">
      <c r="A457" s="508">
        <v>103411</v>
      </c>
      <c r="B457" s="509" t="s">
        <v>4322</v>
      </c>
      <c r="C457" s="508" t="s">
        <v>107</v>
      </c>
      <c r="D457" s="508">
        <v>8.3000000000000007</v>
      </c>
      <c r="E457" s="461" t="s">
        <v>174</v>
      </c>
    </row>
    <row r="458" spans="1:5" ht="40.5" x14ac:dyDescent="0.25">
      <c r="A458" s="508">
        <v>103412</v>
      </c>
      <c r="B458" s="509" t="s">
        <v>4323</v>
      </c>
      <c r="C458" s="508" t="s">
        <v>107</v>
      </c>
      <c r="D458" s="508">
        <v>13.29</v>
      </c>
      <c r="E458" s="461" t="s">
        <v>174</v>
      </c>
    </row>
    <row r="459" spans="1:5" ht="40.5" x14ac:dyDescent="0.25">
      <c r="A459" s="508">
        <v>103413</v>
      </c>
      <c r="B459" s="509" t="s">
        <v>4324</v>
      </c>
      <c r="C459" s="508" t="s">
        <v>107</v>
      </c>
      <c r="D459" s="508">
        <v>26.18</v>
      </c>
      <c r="E459" s="461" t="s">
        <v>174</v>
      </c>
    </row>
    <row r="460" spans="1:5" ht="40.5" x14ac:dyDescent="0.25">
      <c r="A460" s="508">
        <v>103414</v>
      </c>
      <c r="B460" s="509" t="s">
        <v>4325</v>
      </c>
      <c r="C460" s="508" t="s">
        <v>107</v>
      </c>
      <c r="D460" s="508">
        <v>37.39</v>
      </c>
      <c r="E460" s="461" t="s">
        <v>174</v>
      </c>
    </row>
    <row r="461" spans="1:5" ht="40.5" x14ac:dyDescent="0.25">
      <c r="A461" s="508">
        <v>103415</v>
      </c>
      <c r="B461" s="509" t="s">
        <v>4326</v>
      </c>
      <c r="C461" s="508" t="s">
        <v>107</v>
      </c>
      <c r="D461" s="508">
        <v>45.71</v>
      </c>
      <c r="E461" s="461" t="s">
        <v>174</v>
      </c>
    </row>
    <row r="462" spans="1:5" ht="40.5" x14ac:dyDescent="0.25">
      <c r="A462" s="508">
        <v>103416</v>
      </c>
      <c r="B462" s="509" t="s">
        <v>4327</v>
      </c>
      <c r="C462" s="508" t="s">
        <v>107</v>
      </c>
      <c r="D462" s="508">
        <v>66.5</v>
      </c>
      <c r="E462" s="461" t="s">
        <v>174</v>
      </c>
    </row>
    <row r="463" spans="1:5" ht="40.5" x14ac:dyDescent="0.25">
      <c r="A463" s="508">
        <v>103417</v>
      </c>
      <c r="B463" s="509" t="s">
        <v>4328</v>
      </c>
      <c r="C463" s="508" t="s">
        <v>107</v>
      </c>
      <c r="D463" s="508">
        <v>74.8</v>
      </c>
      <c r="E463" s="461" t="s">
        <v>174</v>
      </c>
    </row>
    <row r="464" spans="1:5" ht="40.5" x14ac:dyDescent="0.25">
      <c r="A464" s="508">
        <v>103418</v>
      </c>
      <c r="B464" s="509" t="s">
        <v>4329</v>
      </c>
      <c r="C464" s="508" t="s">
        <v>107</v>
      </c>
      <c r="D464" s="508">
        <v>83.12</v>
      </c>
      <c r="E464" s="461" t="s">
        <v>174</v>
      </c>
    </row>
    <row r="465" spans="1:5" ht="40.5" x14ac:dyDescent="0.25">
      <c r="A465" s="508">
        <v>103419</v>
      </c>
      <c r="B465" s="509" t="s">
        <v>4330</v>
      </c>
      <c r="C465" s="508" t="s">
        <v>107</v>
      </c>
      <c r="D465" s="508">
        <v>93.51</v>
      </c>
      <c r="E465" s="461" t="s">
        <v>174</v>
      </c>
    </row>
    <row r="466" spans="1:5" ht="40.5" x14ac:dyDescent="0.25">
      <c r="A466" s="508">
        <v>103420</v>
      </c>
      <c r="B466" s="509" t="s">
        <v>4331</v>
      </c>
      <c r="C466" s="508" t="s">
        <v>107</v>
      </c>
      <c r="D466" s="508">
        <v>103.9</v>
      </c>
      <c r="E466" s="461" t="s">
        <v>174</v>
      </c>
    </row>
    <row r="467" spans="1:5" ht="40.5" x14ac:dyDescent="0.25">
      <c r="A467" s="508">
        <v>103421</v>
      </c>
      <c r="B467" s="509" t="s">
        <v>4332</v>
      </c>
      <c r="C467" s="508" t="s">
        <v>107</v>
      </c>
      <c r="D467" s="508">
        <v>116.37</v>
      </c>
      <c r="E467" s="461" t="s">
        <v>174</v>
      </c>
    </row>
    <row r="468" spans="1:5" ht="40.5" x14ac:dyDescent="0.25">
      <c r="A468" s="508">
        <v>103422</v>
      </c>
      <c r="B468" s="509" t="s">
        <v>4333</v>
      </c>
      <c r="C468" s="508" t="s">
        <v>107</v>
      </c>
      <c r="D468" s="508">
        <v>130.91999999999999</v>
      </c>
      <c r="E468" s="461" t="s">
        <v>174</v>
      </c>
    </row>
    <row r="469" spans="1:5" ht="40.5" x14ac:dyDescent="0.25">
      <c r="A469" s="508">
        <v>103423</v>
      </c>
      <c r="B469" s="509" t="s">
        <v>4334</v>
      </c>
      <c r="C469" s="508" t="s">
        <v>107</v>
      </c>
      <c r="D469" s="508">
        <v>147.55000000000001</v>
      </c>
      <c r="E469" s="461" t="s">
        <v>174</v>
      </c>
    </row>
    <row r="470" spans="1:5" ht="40.5" x14ac:dyDescent="0.25">
      <c r="A470" s="508">
        <v>103424</v>
      </c>
      <c r="B470" s="509" t="s">
        <v>4335</v>
      </c>
      <c r="C470" s="508" t="s">
        <v>107</v>
      </c>
      <c r="D470" s="508">
        <v>166.25</v>
      </c>
      <c r="E470" s="461" t="s">
        <v>174</v>
      </c>
    </row>
    <row r="471" spans="1:5" ht="27" x14ac:dyDescent="0.25">
      <c r="A471" s="508">
        <v>103425</v>
      </c>
      <c r="B471" s="509" t="s">
        <v>4336</v>
      </c>
      <c r="C471" s="508" t="s">
        <v>107</v>
      </c>
      <c r="D471" s="510">
        <v>15.73</v>
      </c>
      <c r="E471" s="461" t="s">
        <v>174</v>
      </c>
    </row>
    <row r="472" spans="1:5" ht="27" x14ac:dyDescent="0.25">
      <c r="A472" s="508">
        <v>103426</v>
      </c>
      <c r="B472" s="509" t="s">
        <v>4337</v>
      </c>
      <c r="C472" s="508" t="s">
        <v>107</v>
      </c>
      <c r="D472" s="508">
        <v>19.12</v>
      </c>
      <c r="E472" s="461" t="s">
        <v>174</v>
      </c>
    </row>
    <row r="473" spans="1:5" ht="27" x14ac:dyDescent="0.25">
      <c r="A473" s="508">
        <v>103427</v>
      </c>
      <c r="B473" s="509" t="s">
        <v>4338</v>
      </c>
      <c r="C473" s="508" t="s">
        <v>107</v>
      </c>
      <c r="D473" s="508">
        <v>38.29</v>
      </c>
      <c r="E473" s="461" t="s">
        <v>174</v>
      </c>
    </row>
    <row r="474" spans="1:5" ht="27" x14ac:dyDescent="0.25">
      <c r="A474" s="508">
        <v>103428</v>
      </c>
      <c r="B474" s="509" t="s">
        <v>4339</v>
      </c>
      <c r="C474" s="508" t="s">
        <v>107</v>
      </c>
      <c r="D474" s="508">
        <v>248.72</v>
      </c>
      <c r="E474" s="461" t="s">
        <v>174</v>
      </c>
    </row>
    <row r="475" spans="1:5" ht="27" x14ac:dyDescent="0.25">
      <c r="A475" s="508">
        <v>103429</v>
      </c>
      <c r="B475" s="509" t="s">
        <v>4340</v>
      </c>
      <c r="C475" s="508" t="s">
        <v>107</v>
      </c>
      <c r="D475" s="508">
        <v>2702.94</v>
      </c>
      <c r="E475" s="461" t="s">
        <v>174</v>
      </c>
    </row>
    <row r="476" spans="1:5" ht="27" x14ac:dyDescent="0.25">
      <c r="A476" s="508">
        <v>103430</v>
      </c>
      <c r="B476" s="509" t="s">
        <v>4341</v>
      </c>
      <c r="C476" s="508" t="s">
        <v>107</v>
      </c>
      <c r="D476" s="508">
        <v>33.46</v>
      </c>
      <c r="E476" s="461" t="s">
        <v>174</v>
      </c>
    </row>
    <row r="477" spans="1:5" ht="27" x14ac:dyDescent="0.25">
      <c r="A477" s="508">
        <v>103431</v>
      </c>
      <c r="B477" s="509" t="s">
        <v>4342</v>
      </c>
      <c r="C477" s="508" t="s">
        <v>107</v>
      </c>
      <c r="D477" s="508">
        <v>58.87</v>
      </c>
      <c r="E477" s="461" t="s">
        <v>174</v>
      </c>
    </row>
    <row r="478" spans="1:5" ht="27" x14ac:dyDescent="0.25">
      <c r="A478" s="508">
        <v>103432</v>
      </c>
      <c r="B478" s="509" t="s">
        <v>4343</v>
      </c>
      <c r="C478" s="508" t="s">
        <v>107</v>
      </c>
      <c r="D478" s="508">
        <v>1533.6</v>
      </c>
      <c r="E478" s="461" t="s">
        <v>174</v>
      </c>
    </row>
    <row r="479" spans="1:5" ht="27" x14ac:dyDescent="0.25">
      <c r="A479" s="508">
        <v>103433</v>
      </c>
      <c r="B479" s="509" t="s">
        <v>4344</v>
      </c>
      <c r="C479" s="508" t="s">
        <v>107</v>
      </c>
      <c r="D479" s="508">
        <v>32.75</v>
      </c>
      <c r="E479" s="461" t="s">
        <v>174</v>
      </c>
    </row>
    <row r="480" spans="1:5" ht="27" x14ac:dyDescent="0.25">
      <c r="A480" s="508">
        <v>103434</v>
      </c>
      <c r="B480" s="509" t="s">
        <v>4345</v>
      </c>
      <c r="C480" s="508" t="s">
        <v>107</v>
      </c>
      <c r="D480" s="508">
        <v>45.43</v>
      </c>
      <c r="E480" s="461" t="s">
        <v>174</v>
      </c>
    </row>
    <row r="481" spans="1:5" ht="27" x14ac:dyDescent="0.25">
      <c r="A481" s="508">
        <v>103435</v>
      </c>
      <c r="B481" s="509" t="s">
        <v>4346</v>
      </c>
      <c r="C481" s="508" t="s">
        <v>107</v>
      </c>
      <c r="D481" s="508">
        <v>84.65</v>
      </c>
      <c r="E481" s="461" t="s">
        <v>174</v>
      </c>
    </row>
    <row r="482" spans="1:5" ht="40.5" x14ac:dyDescent="0.25">
      <c r="A482" s="508">
        <v>103436</v>
      </c>
      <c r="B482" s="509" t="s">
        <v>4347</v>
      </c>
      <c r="C482" s="508" t="s">
        <v>107</v>
      </c>
      <c r="D482" s="508">
        <v>2169.41</v>
      </c>
      <c r="E482" s="461" t="s">
        <v>174</v>
      </c>
    </row>
    <row r="483" spans="1:5" ht="27" x14ac:dyDescent="0.25">
      <c r="A483" s="508">
        <v>103437</v>
      </c>
      <c r="B483" s="509" t="s">
        <v>4348</v>
      </c>
      <c r="C483" s="508" t="s">
        <v>107</v>
      </c>
      <c r="D483" s="508">
        <v>175.47</v>
      </c>
      <c r="E483" s="461" t="s">
        <v>174</v>
      </c>
    </row>
    <row r="484" spans="1:5" ht="27" x14ac:dyDescent="0.25">
      <c r="A484" s="508">
        <v>103438</v>
      </c>
      <c r="B484" s="509" t="s">
        <v>4349</v>
      </c>
      <c r="C484" s="508" t="s">
        <v>107</v>
      </c>
      <c r="D484" s="508">
        <v>175.47</v>
      </c>
      <c r="E484" s="461" t="s">
        <v>174</v>
      </c>
    </row>
    <row r="485" spans="1:5" ht="27" x14ac:dyDescent="0.25">
      <c r="A485" s="508">
        <v>103439</v>
      </c>
      <c r="B485" s="509" t="s">
        <v>4350</v>
      </c>
      <c r="C485" s="508" t="s">
        <v>107</v>
      </c>
      <c r="D485" s="508">
        <v>206</v>
      </c>
      <c r="E485" s="461" t="s">
        <v>174</v>
      </c>
    </row>
    <row r="486" spans="1:5" ht="27" x14ac:dyDescent="0.25">
      <c r="A486" s="508">
        <v>103440</v>
      </c>
      <c r="B486" s="509" t="s">
        <v>4351</v>
      </c>
      <c r="C486" s="508" t="s">
        <v>107</v>
      </c>
      <c r="D486" s="508">
        <v>399.2</v>
      </c>
      <c r="E486" s="461" t="s">
        <v>174</v>
      </c>
    </row>
    <row r="487" spans="1:5" ht="27" x14ac:dyDescent="0.25">
      <c r="A487" s="508">
        <v>103441</v>
      </c>
      <c r="B487" s="509" t="s">
        <v>4352</v>
      </c>
      <c r="C487" s="508" t="s">
        <v>107</v>
      </c>
      <c r="D487" s="508">
        <v>404.14</v>
      </c>
      <c r="E487" s="461" t="s">
        <v>174</v>
      </c>
    </row>
    <row r="488" spans="1:5" ht="27" x14ac:dyDescent="0.25">
      <c r="A488" s="508">
        <v>103442</v>
      </c>
      <c r="B488" s="509" t="s">
        <v>4353</v>
      </c>
      <c r="C488" s="508" t="s">
        <v>107</v>
      </c>
      <c r="D488" s="508">
        <v>523.45000000000005</v>
      </c>
      <c r="E488" s="461" t="s">
        <v>174</v>
      </c>
    </row>
    <row r="489" spans="1:5" ht="27" x14ac:dyDescent="0.25">
      <c r="A489" s="508">
        <v>98441</v>
      </c>
      <c r="B489" s="509" t="s">
        <v>4940</v>
      </c>
      <c r="C489" s="508" t="s">
        <v>150</v>
      </c>
      <c r="D489" s="508">
        <v>90.59</v>
      </c>
      <c r="E489" s="461" t="s">
        <v>174</v>
      </c>
    </row>
    <row r="490" spans="1:5" ht="27" x14ac:dyDescent="0.25">
      <c r="A490" s="508">
        <v>98443</v>
      </c>
      <c r="B490" s="509" t="s">
        <v>4941</v>
      </c>
      <c r="C490" s="508" t="s">
        <v>150</v>
      </c>
      <c r="D490" s="508">
        <v>68.760000000000005</v>
      </c>
      <c r="E490" s="461" t="s">
        <v>174</v>
      </c>
    </row>
    <row r="491" spans="1:5" ht="27" x14ac:dyDescent="0.25">
      <c r="A491" s="508">
        <v>98445</v>
      </c>
      <c r="B491" s="509" t="s">
        <v>4942</v>
      </c>
      <c r="C491" s="508" t="s">
        <v>150</v>
      </c>
      <c r="D491" s="508">
        <v>107.07</v>
      </c>
      <c r="E491" s="461" t="s">
        <v>174</v>
      </c>
    </row>
    <row r="492" spans="1:5" ht="27" x14ac:dyDescent="0.25">
      <c r="A492" s="508">
        <v>98446</v>
      </c>
      <c r="B492" s="509" t="s">
        <v>4943</v>
      </c>
      <c r="C492" s="508" t="s">
        <v>150</v>
      </c>
      <c r="D492" s="508">
        <v>138</v>
      </c>
      <c r="E492" s="461" t="s">
        <v>174</v>
      </c>
    </row>
    <row r="493" spans="1:5" ht="27" x14ac:dyDescent="0.25">
      <c r="A493" s="508">
        <v>98447</v>
      </c>
      <c r="B493" s="509" t="s">
        <v>4944</v>
      </c>
      <c r="C493" s="508" t="s">
        <v>150</v>
      </c>
      <c r="D493" s="508">
        <v>81.5</v>
      </c>
      <c r="E493" s="461" t="s">
        <v>174</v>
      </c>
    </row>
    <row r="494" spans="1:5" ht="27" x14ac:dyDescent="0.25">
      <c r="A494" s="508">
        <v>98448</v>
      </c>
      <c r="B494" s="509" t="s">
        <v>4945</v>
      </c>
      <c r="C494" s="508" t="s">
        <v>150</v>
      </c>
      <c r="D494" s="508">
        <v>105.73</v>
      </c>
      <c r="E494" s="461" t="s">
        <v>174</v>
      </c>
    </row>
    <row r="495" spans="1:5" ht="27" x14ac:dyDescent="0.25">
      <c r="A495" s="508">
        <v>98449</v>
      </c>
      <c r="B495" s="509" t="s">
        <v>4946</v>
      </c>
      <c r="C495" s="508" t="s">
        <v>150</v>
      </c>
      <c r="D495" s="508">
        <v>125.17</v>
      </c>
      <c r="E495" s="461" t="s">
        <v>174</v>
      </c>
    </row>
    <row r="496" spans="1:5" ht="27" x14ac:dyDescent="0.25">
      <c r="A496" s="508">
        <v>98451</v>
      </c>
      <c r="B496" s="509" t="s">
        <v>4947</v>
      </c>
      <c r="C496" s="508" t="s">
        <v>150</v>
      </c>
      <c r="D496" s="508">
        <v>100.34</v>
      </c>
      <c r="E496" s="461" t="s">
        <v>174</v>
      </c>
    </row>
    <row r="497" spans="1:5" ht="27" x14ac:dyDescent="0.25">
      <c r="A497" s="508">
        <v>98453</v>
      </c>
      <c r="B497" s="509" t="s">
        <v>4948</v>
      </c>
      <c r="C497" s="508" t="s">
        <v>150</v>
      </c>
      <c r="D497" s="508">
        <v>145.94</v>
      </c>
      <c r="E497" s="461" t="s">
        <v>174</v>
      </c>
    </row>
    <row r="498" spans="1:5" ht="27" x14ac:dyDescent="0.25">
      <c r="A498" s="508">
        <v>98454</v>
      </c>
      <c r="B498" s="509" t="s">
        <v>4949</v>
      </c>
      <c r="C498" s="508" t="s">
        <v>150</v>
      </c>
      <c r="D498" s="508">
        <v>185.1</v>
      </c>
      <c r="E498" s="461" t="s">
        <v>174</v>
      </c>
    </row>
    <row r="499" spans="1:5" ht="27" x14ac:dyDescent="0.25">
      <c r="A499" s="508">
        <v>98455</v>
      </c>
      <c r="B499" s="509" t="s">
        <v>4950</v>
      </c>
      <c r="C499" s="508" t="s">
        <v>150</v>
      </c>
      <c r="D499" s="508">
        <v>116.51</v>
      </c>
      <c r="E499" s="461" t="s">
        <v>174</v>
      </c>
    </row>
    <row r="500" spans="1:5" ht="27" x14ac:dyDescent="0.25">
      <c r="A500" s="508">
        <v>98456</v>
      </c>
      <c r="B500" s="509" t="s">
        <v>4951</v>
      </c>
      <c r="C500" s="508" t="s">
        <v>150</v>
      </c>
      <c r="D500" s="510">
        <v>149.41</v>
      </c>
      <c r="E500" s="461" t="s">
        <v>174</v>
      </c>
    </row>
    <row r="501" spans="1:5" ht="15" x14ac:dyDescent="0.25">
      <c r="A501" s="508">
        <v>98458</v>
      </c>
      <c r="B501" s="509" t="s">
        <v>4952</v>
      </c>
      <c r="C501" s="508" t="s">
        <v>150</v>
      </c>
      <c r="D501" s="510">
        <v>91.34</v>
      </c>
      <c r="E501" s="461" t="s">
        <v>174</v>
      </c>
    </row>
    <row r="502" spans="1:5" ht="15" x14ac:dyDescent="0.25">
      <c r="A502" s="508">
        <v>98459</v>
      </c>
      <c r="B502" s="509" t="s">
        <v>4953</v>
      </c>
      <c r="C502" s="508" t="s">
        <v>150</v>
      </c>
      <c r="D502" s="508">
        <v>86.12</v>
      </c>
      <c r="E502" s="461" t="s">
        <v>174</v>
      </c>
    </row>
    <row r="503" spans="1:5" ht="15" x14ac:dyDescent="0.25">
      <c r="A503" s="508">
        <v>98460</v>
      </c>
      <c r="B503" s="509" t="s">
        <v>4954</v>
      </c>
      <c r="C503" s="508" t="s">
        <v>150</v>
      </c>
      <c r="D503" s="508">
        <v>62.97</v>
      </c>
      <c r="E503" s="461" t="s">
        <v>174</v>
      </c>
    </row>
    <row r="504" spans="1:5" ht="27" x14ac:dyDescent="0.25">
      <c r="A504" s="508">
        <v>98461</v>
      </c>
      <c r="B504" s="509" t="s">
        <v>4955</v>
      </c>
      <c r="C504" s="508" t="s">
        <v>107</v>
      </c>
      <c r="D504" s="508">
        <v>5674.87</v>
      </c>
      <c r="E504" s="461" t="s">
        <v>174</v>
      </c>
    </row>
    <row r="505" spans="1:5" ht="27" x14ac:dyDescent="0.25">
      <c r="A505" s="508">
        <v>98462</v>
      </c>
      <c r="B505" s="509" t="s">
        <v>4956</v>
      </c>
      <c r="C505" s="508" t="s">
        <v>107</v>
      </c>
      <c r="D505" s="508">
        <v>9673.16</v>
      </c>
      <c r="E505" s="461" t="s">
        <v>174</v>
      </c>
    </row>
    <row r="506" spans="1:5" ht="27" x14ac:dyDescent="0.25">
      <c r="A506" s="508">
        <v>105113</v>
      </c>
      <c r="B506" s="509" t="s">
        <v>4957</v>
      </c>
      <c r="C506" s="508" t="s">
        <v>107</v>
      </c>
      <c r="D506" s="508">
        <v>7492.87</v>
      </c>
      <c r="E506" s="461" t="s">
        <v>174</v>
      </c>
    </row>
    <row r="507" spans="1:5" ht="15" x14ac:dyDescent="0.25">
      <c r="A507" s="508">
        <v>105114</v>
      </c>
      <c r="B507" s="509" t="s">
        <v>4958</v>
      </c>
      <c r="C507" s="508" t="s">
        <v>163</v>
      </c>
      <c r="D507" s="508">
        <v>1903.47</v>
      </c>
      <c r="E507" s="461" t="s">
        <v>174</v>
      </c>
    </row>
    <row r="508" spans="1:5" ht="27" x14ac:dyDescent="0.25">
      <c r="A508" s="508">
        <v>105115</v>
      </c>
      <c r="B508" s="509" t="s">
        <v>4959</v>
      </c>
      <c r="C508" s="508" t="s">
        <v>107</v>
      </c>
      <c r="D508" s="508">
        <v>128.81</v>
      </c>
      <c r="E508" s="461" t="s">
        <v>174</v>
      </c>
    </row>
    <row r="509" spans="1:5" ht="27" x14ac:dyDescent="0.25">
      <c r="A509" s="508">
        <v>105116</v>
      </c>
      <c r="B509" s="509" t="s">
        <v>4960</v>
      </c>
      <c r="C509" s="508" t="s">
        <v>107</v>
      </c>
      <c r="D509" s="508">
        <v>12.6</v>
      </c>
      <c r="E509" s="461" t="s">
        <v>174</v>
      </c>
    </row>
    <row r="510" spans="1:5" ht="15" x14ac:dyDescent="0.25">
      <c r="A510" s="508">
        <v>105126</v>
      </c>
      <c r="B510" s="509" t="s">
        <v>4961</v>
      </c>
      <c r="C510" s="508" t="s">
        <v>5</v>
      </c>
      <c r="D510" s="508">
        <v>24.82</v>
      </c>
      <c r="E510" s="461" t="s">
        <v>174</v>
      </c>
    </row>
    <row r="511" spans="1:5" ht="15" x14ac:dyDescent="0.25">
      <c r="A511" s="508">
        <v>105127</v>
      </c>
      <c r="B511" s="509" t="s">
        <v>4962</v>
      </c>
      <c r="C511" s="508" t="s">
        <v>5</v>
      </c>
      <c r="D511" s="508">
        <v>23.3</v>
      </c>
      <c r="E511" s="461" t="s">
        <v>174</v>
      </c>
    </row>
    <row r="512" spans="1:5" ht="15" x14ac:dyDescent="0.25">
      <c r="A512" s="508">
        <v>105128</v>
      </c>
      <c r="B512" s="509" t="s">
        <v>4963</v>
      </c>
      <c r="C512" s="508" t="s">
        <v>5</v>
      </c>
      <c r="D512" s="508">
        <v>76.569999999999993</v>
      </c>
      <c r="E512" s="461" t="s">
        <v>174</v>
      </c>
    </row>
    <row r="513" spans="1:5" ht="15" x14ac:dyDescent="0.25">
      <c r="A513" s="508">
        <v>105130</v>
      </c>
      <c r="B513" s="509" t="s">
        <v>4964</v>
      </c>
      <c r="C513" s="508" t="s">
        <v>5</v>
      </c>
      <c r="D513" s="508">
        <v>29.05</v>
      </c>
      <c r="E513" s="461" t="s">
        <v>174</v>
      </c>
    </row>
    <row r="514" spans="1:5" ht="27" x14ac:dyDescent="0.25">
      <c r="A514" s="508">
        <v>5631</v>
      </c>
      <c r="B514" s="509" t="s">
        <v>195</v>
      </c>
      <c r="C514" s="508" t="s">
        <v>166</v>
      </c>
      <c r="D514" s="508">
        <v>206.27</v>
      </c>
      <c r="E514" s="461" t="s">
        <v>1497</v>
      </c>
    </row>
    <row r="515" spans="1:5" ht="40.5" x14ac:dyDescent="0.25">
      <c r="A515" s="508">
        <v>5678</v>
      </c>
      <c r="B515" s="509" t="s">
        <v>196</v>
      </c>
      <c r="C515" s="508" t="s">
        <v>166</v>
      </c>
      <c r="D515" s="508">
        <v>140.13</v>
      </c>
      <c r="E515" s="461" t="s">
        <v>1497</v>
      </c>
    </row>
    <row r="516" spans="1:5" ht="40.5" x14ac:dyDescent="0.25">
      <c r="A516" s="508">
        <v>5680</v>
      </c>
      <c r="B516" s="509" t="s">
        <v>197</v>
      </c>
      <c r="C516" s="508" t="s">
        <v>166</v>
      </c>
      <c r="D516" s="508">
        <v>128.34</v>
      </c>
      <c r="E516" s="461" t="s">
        <v>1497</v>
      </c>
    </row>
    <row r="517" spans="1:5" ht="40.5" x14ac:dyDescent="0.25">
      <c r="A517" s="508">
        <v>5684</v>
      </c>
      <c r="B517" s="509" t="s">
        <v>198</v>
      </c>
      <c r="C517" s="508" t="s">
        <v>166</v>
      </c>
      <c r="D517" s="508">
        <v>159.56</v>
      </c>
      <c r="E517" s="461" t="s">
        <v>1497</v>
      </c>
    </row>
    <row r="518" spans="1:5" ht="27" x14ac:dyDescent="0.25">
      <c r="A518" s="508">
        <v>5689</v>
      </c>
      <c r="B518" s="509" t="s">
        <v>199</v>
      </c>
      <c r="C518" s="508" t="s">
        <v>166</v>
      </c>
      <c r="D518" s="508">
        <v>6.32</v>
      </c>
      <c r="E518" s="461" t="s">
        <v>1497</v>
      </c>
    </row>
    <row r="519" spans="1:5" ht="27" x14ac:dyDescent="0.25">
      <c r="A519" s="508">
        <v>5795</v>
      </c>
      <c r="B519" s="509" t="s">
        <v>200</v>
      </c>
      <c r="C519" s="508" t="s">
        <v>166</v>
      </c>
      <c r="D519" s="508">
        <v>29.73</v>
      </c>
      <c r="E519" s="461" t="s">
        <v>1497</v>
      </c>
    </row>
    <row r="520" spans="1:5" ht="40.5" x14ac:dyDescent="0.25">
      <c r="A520" s="508">
        <v>5811</v>
      </c>
      <c r="B520" s="509" t="s">
        <v>201</v>
      </c>
      <c r="C520" s="508" t="s">
        <v>166</v>
      </c>
      <c r="D520" s="508">
        <v>201.13</v>
      </c>
      <c r="E520" s="461" t="s">
        <v>1497</v>
      </c>
    </row>
    <row r="521" spans="1:5" ht="27" x14ac:dyDescent="0.25">
      <c r="A521" s="508">
        <v>5823</v>
      </c>
      <c r="B521" s="509" t="s">
        <v>202</v>
      </c>
      <c r="C521" s="508" t="s">
        <v>166</v>
      </c>
      <c r="D521" s="508">
        <v>229.33</v>
      </c>
      <c r="E521" s="461" t="s">
        <v>1497</v>
      </c>
    </row>
    <row r="522" spans="1:5" ht="40.5" x14ac:dyDescent="0.25">
      <c r="A522" s="508">
        <v>5824</v>
      </c>
      <c r="B522" s="509" t="s">
        <v>203</v>
      </c>
      <c r="C522" s="508" t="s">
        <v>166</v>
      </c>
      <c r="D522" s="508">
        <v>212.78</v>
      </c>
      <c r="E522" s="461" t="s">
        <v>1497</v>
      </c>
    </row>
    <row r="523" spans="1:5" ht="27" x14ac:dyDescent="0.25">
      <c r="A523" s="508">
        <v>5835</v>
      </c>
      <c r="B523" s="509" t="s">
        <v>204</v>
      </c>
      <c r="C523" s="508" t="s">
        <v>166</v>
      </c>
      <c r="D523" s="508">
        <v>346.27</v>
      </c>
      <c r="E523" s="461" t="s">
        <v>1497</v>
      </c>
    </row>
    <row r="524" spans="1:5" ht="27" x14ac:dyDescent="0.25">
      <c r="A524" s="508">
        <v>5839</v>
      </c>
      <c r="B524" s="509" t="s">
        <v>205</v>
      </c>
      <c r="C524" s="508" t="s">
        <v>166</v>
      </c>
      <c r="D524" s="508">
        <v>9.31</v>
      </c>
      <c r="E524" s="461" t="s">
        <v>1497</v>
      </c>
    </row>
    <row r="525" spans="1:5" ht="27" x14ac:dyDescent="0.25">
      <c r="A525" s="508">
        <v>5843</v>
      </c>
      <c r="B525" s="509" t="s">
        <v>206</v>
      </c>
      <c r="C525" s="508" t="s">
        <v>166</v>
      </c>
      <c r="D525" s="508">
        <v>162.32</v>
      </c>
      <c r="E525" s="461" t="s">
        <v>1497</v>
      </c>
    </row>
    <row r="526" spans="1:5" ht="27" x14ac:dyDescent="0.25">
      <c r="A526" s="508">
        <v>5847</v>
      </c>
      <c r="B526" s="509" t="s">
        <v>207</v>
      </c>
      <c r="C526" s="508" t="s">
        <v>166</v>
      </c>
      <c r="D526" s="508">
        <v>259.67</v>
      </c>
      <c r="E526" s="461" t="s">
        <v>1497</v>
      </c>
    </row>
    <row r="527" spans="1:5" ht="27" x14ac:dyDescent="0.25">
      <c r="A527" s="508">
        <v>5851</v>
      </c>
      <c r="B527" s="509" t="s">
        <v>208</v>
      </c>
      <c r="C527" s="508" t="s">
        <v>166</v>
      </c>
      <c r="D527" s="508">
        <v>248.33</v>
      </c>
      <c r="E527" s="461" t="s">
        <v>1497</v>
      </c>
    </row>
    <row r="528" spans="1:5" ht="27" x14ac:dyDescent="0.25">
      <c r="A528" s="508">
        <v>5855</v>
      </c>
      <c r="B528" s="509" t="s">
        <v>209</v>
      </c>
      <c r="C528" s="508" t="s">
        <v>166</v>
      </c>
      <c r="D528" s="508">
        <v>667.12</v>
      </c>
      <c r="E528" s="461" t="s">
        <v>1497</v>
      </c>
    </row>
    <row r="529" spans="1:5" ht="40.5" x14ac:dyDescent="0.25">
      <c r="A529" s="508">
        <v>5863</v>
      </c>
      <c r="B529" s="509" t="s">
        <v>210</v>
      </c>
      <c r="C529" s="508" t="s">
        <v>166</v>
      </c>
      <c r="D529" s="508">
        <v>23.63</v>
      </c>
      <c r="E529" s="461" t="s">
        <v>1497</v>
      </c>
    </row>
    <row r="530" spans="1:5" ht="27" x14ac:dyDescent="0.25">
      <c r="A530" s="508">
        <v>5867</v>
      </c>
      <c r="B530" s="509" t="s">
        <v>211</v>
      </c>
      <c r="C530" s="508" t="s">
        <v>166</v>
      </c>
      <c r="D530" s="508">
        <v>161.62</v>
      </c>
      <c r="E530" s="461" t="s">
        <v>1497</v>
      </c>
    </row>
    <row r="531" spans="1:5" ht="40.5" x14ac:dyDescent="0.25">
      <c r="A531" s="508">
        <v>5875</v>
      </c>
      <c r="B531" s="509" t="s">
        <v>212</v>
      </c>
      <c r="C531" s="508" t="s">
        <v>166</v>
      </c>
      <c r="D531" s="508">
        <v>128.97999999999999</v>
      </c>
      <c r="E531" s="461" t="s">
        <v>1497</v>
      </c>
    </row>
    <row r="532" spans="1:5" ht="40.5" x14ac:dyDescent="0.25">
      <c r="A532" s="508">
        <v>5879</v>
      </c>
      <c r="B532" s="509" t="s">
        <v>213</v>
      </c>
      <c r="C532" s="508" t="s">
        <v>166</v>
      </c>
      <c r="D532" s="508">
        <v>144.41</v>
      </c>
      <c r="E532" s="461" t="s">
        <v>1497</v>
      </c>
    </row>
    <row r="533" spans="1:5" ht="40.5" x14ac:dyDescent="0.25">
      <c r="A533" s="508">
        <v>5882</v>
      </c>
      <c r="B533" s="509" t="s">
        <v>214</v>
      </c>
      <c r="C533" s="508" t="s">
        <v>166</v>
      </c>
      <c r="D533" s="508">
        <v>125.16</v>
      </c>
      <c r="E533" s="461" t="s">
        <v>1497</v>
      </c>
    </row>
    <row r="534" spans="1:5" ht="27" x14ac:dyDescent="0.25">
      <c r="A534" s="508">
        <v>5890</v>
      </c>
      <c r="B534" s="509" t="s">
        <v>215</v>
      </c>
      <c r="C534" s="508" t="s">
        <v>166</v>
      </c>
      <c r="D534" s="508">
        <v>200.2</v>
      </c>
      <c r="E534" s="461" t="s">
        <v>1497</v>
      </c>
    </row>
    <row r="535" spans="1:5" ht="27" x14ac:dyDescent="0.25">
      <c r="A535" s="508">
        <v>5894</v>
      </c>
      <c r="B535" s="509" t="s">
        <v>216</v>
      </c>
      <c r="C535" s="508" t="s">
        <v>166</v>
      </c>
      <c r="D535" s="508">
        <v>208.56</v>
      </c>
      <c r="E535" s="461" t="s">
        <v>1497</v>
      </c>
    </row>
    <row r="536" spans="1:5" ht="40.5" x14ac:dyDescent="0.25">
      <c r="A536" s="508">
        <v>5901</v>
      </c>
      <c r="B536" s="509" t="s">
        <v>217</v>
      </c>
      <c r="C536" s="508" t="s">
        <v>166</v>
      </c>
      <c r="D536" s="508">
        <v>311.68</v>
      </c>
      <c r="E536" s="461" t="s">
        <v>1497</v>
      </c>
    </row>
    <row r="537" spans="1:5" ht="27" x14ac:dyDescent="0.25">
      <c r="A537" s="508">
        <v>5909</v>
      </c>
      <c r="B537" s="509" t="s">
        <v>218</v>
      </c>
      <c r="C537" s="508" t="s">
        <v>166</v>
      </c>
      <c r="D537" s="508">
        <v>36.08</v>
      </c>
      <c r="E537" s="461" t="s">
        <v>1497</v>
      </c>
    </row>
    <row r="538" spans="1:5" ht="27" x14ac:dyDescent="0.25">
      <c r="A538" s="508">
        <v>5921</v>
      </c>
      <c r="B538" s="509" t="s">
        <v>219</v>
      </c>
      <c r="C538" s="508" t="s">
        <v>166</v>
      </c>
      <c r="D538" s="508">
        <v>4.9400000000000004</v>
      </c>
      <c r="E538" s="461" t="s">
        <v>1497</v>
      </c>
    </row>
    <row r="539" spans="1:5" ht="40.5" x14ac:dyDescent="0.25">
      <c r="A539" s="508">
        <v>5928</v>
      </c>
      <c r="B539" s="509" t="s">
        <v>190</v>
      </c>
      <c r="C539" s="508" t="s">
        <v>166</v>
      </c>
      <c r="D539" s="508">
        <v>270.60000000000002</v>
      </c>
      <c r="E539" s="461" t="s">
        <v>1497</v>
      </c>
    </row>
    <row r="540" spans="1:5" ht="27" x14ac:dyDescent="0.25">
      <c r="A540" s="508">
        <v>5932</v>
      </c>
      <c r="B540" s="509" t="s">
        <v>220</v>
      </c>
      <c r="C540" s="508" t="s">
        <v>166</v>
      </c>
      <c r="D540" s="508">
        <v>254.38</v>
      </c>
      <c r="E540" s="461" t="s">
        <v>1497</v>
      </c>
    </row>
    <row r="541" spans="1:5" ht="27" x14ac:dyDescent="0.25">
      <c r="A541" s="508">
        <v>5940</v>
      </c>
      <c r="B541" s="509" t="s">
        <v>221</v>
      </c>
      <c r="C541" s="508" t="s">
        <v>166</v>
      </c>
      <c r="D541" s="508">
        <v>174.71</v>
      </c>
      <c r="E541" s="461" t="s">
        <v>1497</v>
      </c>
    </row>
    <row r="542" spans="1:5" ht="27" x14ac:dyDescent="0.25">
      <c r="A542" s="508">
        <v>5944</v>
      </c>
      <c r="B542" s="509" t="s">
        <v>222</v>
      </c>
      <c r="C542" s="508" t="s">
        <v>166</v>
      </c>
      <c r="D542" s="508">
        <v>213.62</v>
      </c>
      <c r="E542" s="461" t="s">
        <v>1497</v>
      </c>
    </row>
    <row r="543" spans="1:5" ht="27" x14ac:dyDescent="0.25">
      <c r="A543" s="508">
        <v>5953</v>
      </c>
      <c r="B543" s="509" t="s">
        <v>223</v>
      </c>
      <c r="C543" s="508" t="s">
        <v>166</v>
      </c>
      <c r="D543" s="508">
        <v>58.41</v>
      </c>
      <c r="E543" s="461" t="s">
        <v>1497</v>
      </c>
    </row>
    <row r="544" spans="1:5" ht="40.5" x14ac:dyDescent="0.25">
      <c r="A544" s="508">
        <v>6259</v>
      </c>
      <c r="B544" s="509" t="s">
        <v>224</v>
      </c>
      <c r="C544" s="508" t="s">
        <v>166</v>
      </c>
      <c r="D544" s="508">
        <v>251.06</v>
      </c>
      <c r="E544" s="461" t="s">
        <v>1497</v>
      </c>
    </row>
    <row r="545" spans="1:5" ht="27" x14ac:dyDescent="0.25">
      <c r="A545" s="508">
        <v>6879</v>
      </c>
      <c r="B545" s="509" t="s">
        <v>225</v>
      </c>
      <c r="C545" s="508" t="s">
        <v>166</v>
      </c>
      <c r="D545" s="508">
        <v>210.76</v>
      </c>
      <c r="E545" s="461" t="s">
        <v>1497</v>
      </c>
    </row>
    <row r="546" spans="1:5" ht="27" x14ac:dyDescent="0.25">
      <c r="A546" s="508">
        <v>7030</v>
      </c>
      <c r="B546" s="509" t="s">
        <v>4965</v>
      </c>
      <c r="C546" s="508" t="s">
        <v>166</v>
      </c>
      <c r="D546" s="508">
        <v>260.58999999999997</v>
      </c>
      <c r="E546" s="461" t="s">
        <v>1497</v>
      </c>
    </row>
    <row r="547" spans="1:5" ht="40.5" x14ac:dyDescent="0.25">
      <c r="A547" s="508">
        <v>7042</v>
      </c>
      <c r="B547" s="509" t="s">
        <v>226</v>
      </c>
      <c r="C547" s="508" t="s">
        <v>166</v>
      </c>
      <c r="D547" s="508">
        <v>24.57</v>
      </c>
      <c r="E547" s="461" t="s">
        <v>1497</v>
      </c>
    </row>
    <row r="548" spans="1:5" ht="40.5" x14ac:dyDescent="0.25">
      <c r="A548" s="508">
        <v>7049</v>
      </c>
      <c r="B548" s="509" t="s">
        <v>227</v>
      </c>
      <c r="C548" s="508" t="s">
        <v>166</v>
      </c>
      <c r="D548" s="508">
        <v>221.1</v>
      </c>
      <c r="E548" s="461" t="s">
        <v>1497</v>
      </c>
    </row>
    <row r="549" spans="1:5" ht="40.5" x14ac:dyDescent="0.25">
      <c r="A549" s="508">
        <v>67826</v>
      </c>
      <c r="B549" s="509" t="s">
        <v>228</v>
      </c>
      <c r="C549" s="508" t="s">
        <v>166</v>
      </c>
      <c r="D549" s="508">
        <v>184.49</v>
      </c>
      <c r="E549" s="461" t="s">
        <v>1497</v>
      </c>
    </row>
    <row r="550" spans="1:5" ht="15" x14ac:dyDescent="0.25">
      <c r="A550" s="508">
        <v>73417</v>
      </c>
      <c r="B550" s="509" t="s">
        <v>229</v>
      </c>
      <c r="C550" s="508" t="s">
        <v>166</v>
      </c>
      <c r="D550" s="508">
        <v>186.49</v>
      </c>
      <c r="E550" s="461" t="s">
        <v>1497</v>
      </c>
    </row>
    <row r="551" spans="1:5" ht="40.5" x14ac:dyDescent="0.25">
      <c r="A551" s="508">
        <v>73436</v>
      </c>
      <c r="B551" s="509" t="s">
        <v>230</v>
      </c>
      <c r="C551" s="508" t="s">
        <v>166</v>
      </c>
      <c r="D551" s="508">
        <v>162.72</v>
      </c>
      <c r="E551" s="461" t="s">
        <v>1497</v>
      </c>
    </row>
    <row r="552" spans="1:5" ht="40.5" x14ac:dyDescent="0.25">
      <c r="A552" s="508">
        <v>73467</v>
      </c>
      <c r="B552" s="509" t="s">
        <v>231</v>
      </c>
      <c r="C552" s="508" t="s">
        <v>166</v>
      </c>
      <c r="D552" s="508">
        <v>243.69</v>
      </c>
      <c r="E552" s="461" t="s">
        <v>1497</v>
      </c>
    </row>
    <row r="553" spans="1:5" ht="40.5" x14ac:dyDescent="0.25">
      <c r="A553" s="508">
        <v>73536</v>
      </c>
      <c r="B553" s="509" t="s">
        <v>232</v>
      </c>
      <c r="C553" s="508" t="s">
        <v>166</v>
      </c>
      <c r="D553" s="508">
        <v>20.78</v>
      </c>
      <c r="E553" s="461" t="s">
        <v>1497</v>
      </c>
    </row>
    <row r="554" spans="1:5" ht="40.5" x14ac:dyDescent="0.25">
      <c r="A554" s="508">
        <v>83362</v>
      </c>
      <c r="B554" s="509" t="s">
        <v>4966</v>
      </c>
      <c r="C554" s="508" t="s">
        <v>166</v>
      </c>
      <c r="D554" s="508">
        <v>270.27999999999997</v>
      </c>
      <c r="E554" s="461" t="s">
        <v>1497</v>
      </c>
    </row>
    <row r="555" spans="1:5" ht="27" x14ac:dyDescent="0.25">
      <c r="A555" s="508">
        <v>83765</v>
      </c>
      <c r="B555" s="509" t="s">
        <v>233</v>
      </c>
      <c r="C555" s="508" t="s">
        <v>166</v>
      </c>
      <c r="D555" s="508">
        <v>101.92</v>
      </c>
      <c r="E555" s="461" t="s">
        <v>1497</v>
      </c>
    </row>
    <row r="556" spans="1:5" ht="27" x14ac:dyDescent="0.25">
      <c r="A556" s="508">
        <v>87445</v>
      </c>
      <c r="B556" s="509" t="s">
        <v>4967</v>
      </c>
      <c r="C556" s="508" t="s">
        <v>166</v>
      </c>
      <c r="D556" s="508">
        <v>5.24</v>
      </c>
      <c r="E556" s="461" t="s">
        <v>1497</v>
      </c>
    </row>
    <row r="557" spans="1:5" ht="27" x14ac:dyDescent="0.25">
      <c r="A557" s="508">
        <v>88386</v>
      </c>
      <c r="B557" s="509" t="s">
        <v>4968</v>
      </c>
      <c r="C557" s="508" t="s">
        <v>166</v>
      </c>
      <c r="D557" s="508">
        <v>4.38</v>
      </c>
      <c r="E557" s="461" t="s">
        <v>1497</v>
      </c>
    </row>
    <row r="558" spans="1:5" ht="27" x14ac:dyDescent="0.25">
      <c r="A558" s="508">
        <v>88393</v>
      </c>
      <c r="B558" s="509" t="s">
        <v>4969</v>
      </c>
      <c r="C558" s="508" t="s">
        <v>166</v>
      </c>
      <c r="D558" s="508">
        <v>5.93</v>
      </c>
      <c r="E558" s="461" t="s">
        <v>1497</v>
      </c>
    </row>
    <row r="559" spans="1:5" ht="27" x14ac:dyDescent="0.25">
      <c r="A559" s="508">
        <v>88399</v>
      </c>
      <c r="B559" s="509" t="s">
        <v>4970</v>
      </c>
      <c r="C559" s="508" t="s">
        <v>166</v>
      </c>
      <c r="D559" s="508">
        <v>3.33</v>
      </c>
      <c r="E559" s="461" t="s">
        <v>1497</v>
      </c>
    </row>
    <row r="560" spans="1:5" ht="27" x14ac:dyDescent="0.25">
      <c r="A560" s="508">
        <v>88418</v>
      </c>
      <c r="B560" s="509" t="s">
        <v>234</v>
      </c>
      <c r="C560" s="508" t="s">
        <v>166</v>
      </c>
      <c r="D560" s="508">
        <v>14.77</v>
      </c>
      <c r="E560" s="461" t="s">
        <v>1497</v>
      </c>
    </row>
    <row r="561" spans="1:5" ht="27" x14ac:dyDescent="0.25">
      <c r="A561" s="508">
        <v>88433</v>
      </c>
      <c r="B561" s="509" t="s">
        <v>235</v>
      </c>
      <c r="C561" s="508" t="s">
        <v>166</v>
      </c>
      <c r="D561" s="508">
        <v>19.34</v>
      </c>
      <c r="E561" s="461" t="s">
        <v>1497</v>
      </c>
    </row>
    <row r="562" spans="1:5" ht="27" x14ac:dyDescent="0.25">
      <c r="A562" s="508">
        <v>88830</v>
      </c>
      <c r="B562" s="509" t="s">
        <v>4971</v>
      </c>
      <c r="C562" s="508" t="s">
        <v>166</v>
      </c>
      <c r="D562" s="508">
        <v>1.69</v>
      </c>
      <c r="E562" s="461" t="s">
        <v>1497</v>
      </c>
    </row>
    <row r="563" spans="1:5" ht="27" x14ac:dyDescent="0.25">
      <c r="A563" s="508">
        <v>88843</v>
      </c>
      <c r="B563" s="509" t="s">
        <v>236</v>
      </c>
      <c r="C563" s="508" t="s">
        <v>166</v>
      </c>
      <c r="D563" s="508">
        <v>207.82</v>
      </c>
      <c r="E563" s="461" t="s">
        <v>1497</v>
      </c>
    </row>
    <row r="564" spans="1:5" ht="27" x14ac:dyDescent="0.25">
      <c r="A564" s="508">
        <v>88907</v>
      </c>
      <c r="B564" s="509" t="s">
        <v>237</v>
      </c>
      <c r="C564" s="508" t="s">
        <v>166</v>
      </c>
      <c r="D564" s="508">
        <v>243.84</v>
      </c>
      <c r="E564" s="461" t="s">
        <v>1497</v>
      </c>
    </row>
    <row r="565" spans="1:5" ht="40.5" x14ac:dyDescent="0.25">
      <c r="A565" s="508">
        <v>89021</v>
      </c>
      <c r="B565" s="509" t="s">
        <v>4972</v>
      </c>
      <c r="C565" s="508" t="s">
        <v>166</v>
      </c>
      <c r="D565" s="508">
        <v>2.35</v>
      </c>
      <c r="E565" s="461" t="s">
        <v>1497</v>
      </c>
    </row>
    <row r="566" spans="1:5" ht="27" x14ac:dyDescent="0.25">
      <c r="A566" s="508">
        <v>89028</v>
      </c>
      <c r="B566" s="509" t="s">
        <v>4973</v>
      </c>
      <c r="C566" s="508" t="s">
        <v>166</v>
      </c>
      <c r="D566" s="508">
        <v>175.41</v>
      </c>
      <c r="E566" s="461" t="s">
        <v>1497</v>
      </c>
    </row>
    <row r="567" spans="1:5" ht="27" x14ac:dyDescent="0.25">
      <c r="A567" s="508">
        <v>89032</v>
      </c>
      <c r="B567" s="509" t="s">
        <v>238</v>
      </c>
      <c r="C567" s="508" t="s">
        <v>166</v>
      </c>
      <c r="D567" s="508">
        <v>187.87</v>
      </c>
      <c r="E567" s="461" t="s">
        <v>1497</v>
      </c>
    </row>
    <row r="568" spans="1:5" ht="27" x14ac:dyDescent="0.25">
      <c r="A568" s="508">
        <v>89035</v>
      </c>
      <c r="B568" s="509" t="s">
        <v>239</v>
      </c>
      <c r="C568" s="508" t="s">
        <v>166</v>
      </c>
      <c r="D568" s="508">
        <v>122.42</v>
      </c>
      <c r="E568" s="461" t="s">
        <v>1497</v>
      </c>
    </row>
    <row r="569" spans="1:5" ht="27" x14ac:dyDescent="0.25">
      <c r="A569" s="508">
        <v>89225</v>
      </c>
      <c r="B569" s="509" t="s">
        <v>4974</v>
      </c>
      <c r="C569" s="508" t="s">
        <v>166</v>
      </c>
      <c r="D569" s="508">
        <v>5.03</v>
      </c>
      <c r="E569" s="461" t="s">
        <v>1497</v>
      </c>
    </row>
    <row r="570" spans="1:5" ht="27" x14ac:dyDescent="0.25">
      <c r="A570" s="508">
        <v>89234</v>
      </c>
      <c r="B570" s="509" t="s">
        <v>240</v>
      </c>
      <c r="C570" s="508" t="s">
        <v>166</v>
      </c>
      <c r="D570" s="508">
        <v>528.88</v>
      </c>
      <c r="E570" s="461" t="s">
        <v>1497</v>
      </c>
    </row>
    <row r="571" spans="1:5" ht="27" x14ac:dyDescent="0.25">
      <c r="A571" s="508">
        <v>89242</v>
      </c>
      <c r="B571" s="509" t="s">
        <v>241</v>
      </c>
      <c r="C571" s="508" t="s">
        <v>166</v>
      </c>
      <c r="D571" s="508">
        <v>1251.1500000000001</v>
      </c>
      <c r="E571" s="461" t="s">
        <v>1497</v>
      </c>
    </row>
    <row r="572" spans="1:5" ht="27" x14ac:dyDescent="0.25">
      <c r="A572" s="508">
        <v>89250</v>
      </c>
      <c r="B572" s="509" t="s">
        <v>242</v>
      </c>
      <c r="C572" s="508" t="s">
        <v>166</v>
      </c>
      <c r="D572" s="508">
        <v>1083.46</v>
      </c>
      <c r="E572" s="461" t="s">
        <v>1497</v>
      </c>
    </row>
    <row r="573" spans="1:5" ht="27" x14ac:dyDescent="0.25">
      <c r="A573" s="508">
        <v>89257</v>
      </c>
      <c r="B573" s="509" t="s">
        <v>243</v>
      </c>
      <c r="C573" s="508" t="s">
        <v>166</v>
      </c>
      <c r="D573" s="508">
        <v>299.87</v>
      </c>
      <c r="E573" s="461" t="s">
        <v>1497</v>
      </c>
    </row>
    <row r="574" spans="1:5" ht="27" x14ac:dyDescent="0.25">
      <c r="A574" s="508">
        <v>89272</v>
      </c>
      <c r="B574" s="509" t="s">
        <v>186</v>
      </c>
      <c r="C574" s="508" t="s">
        <v>166</v>
      </c>
      <c r="D574" s="508">
        <v>210.18</v>
      </c>
      <c r="E574" s="461" t="s">
        <v>1497</v>
      </c>
    </row>
    <row r="575" spans="1:5" ht="27" x14ac:dyDescent="0.25">
      <c r="A575" s="508">
        <v>89278</v>
      </c>
      <c r="B575" s="509" t="s">
        <v>4975</v>
      </c>
      <c r="C575" s="508" t="s">
        <v>166</v>
      </c>
      <c r="D575" s="508">
        <v>12.35</v>
      </c>
      <c r="E575" s="461" t="s">
        <v>1497</v>
      </c>
    </row>
    <row r="576" spans="1:5" ht="27" x14ac:dyDescent="0.25">
      <c r="A576" s="508">
        <v>89843</v>
      </c>
      <c r="B576" s="509" t="s">
        <v>244</v>
      </c>
      <c r="C576" s="508" t="s">
        <v>166</v>
      </c>
      <c r="D576" s="508">
        <v>209.6</v>
      </c>
      <c r="E576" s="461" t="s">
        <v>1497</v>
      </c>
    </row>
    <row r="577" spans="1:5" ht="40.5" x14ac:dyDescent="0.25">
      <c r="A577" s="508">
        <v>89876</v>
      </c>
      <c r="B577" s="509" t="s">
        <v>245</v>
      </c>
      <c r="C577" s="508" t="s">
        <v>166</v>
      </c>
      <c r="D577" s="508">
        <v>323.36</v>
      </c>
      <c r="E577" s="461" t="s">
        <v>1497</v>
      </c>
    </row>
    <row r="578" spans="1:5" ht="40.5" x14ac:dyDescent="0.25">
      <c r="A578" s="508">
        <v>89883</v>
      </c>
      <c r="B578" s="509" t="s">
        <v>246</v>
      </c>
      <c r="C578" s="508" t="s">
        <v>166</v>
      </c>
      <c r="D578" s="508">
        <v>357.06</v>
      </c>
      <c r="E578" s="461" t="s">
        <v>1497</v>
      </c>
    </row>
    <row r="579" spans="1:5" ht="27" x14ac:dyDescent="0.25">
      <c r="A579" s="508">
        <v>90586</v>
      </c>
      <c r="B579" s="509" t="s">
        <v>247</v>
      </c>
      <c r="C579" s="508" t="s">
        <v>166</v>
      </c>
      <c r="D579" s="508">
        <v>1.22</v>
      </c>
      <c r="E579" s="461" t="s">
        <v>1497</v>
      </c>
    </row>
    <row r="580" spans="1:5" ht="27" x14ac:dyDescent="0.25">
      <c r="A580" s="508">
        <v>90625</v>
      </c>
      <c r="B580" s="509" t="s">
        <v>248</v>
      </c>
      <c r="C580" s="508" t="s">
        <v>166</v>
      </c>
      <c r="D580" s="508">
        <v>7.66</v>
      </c>
      <c r="E580" s="461" t="s">
        <v>1497</v>
      </c>
    </row>
    <row r="581" spans="1:5" ht="27" x14ac:dyDescent="0.25">
      <c r="A581" s="508">
        <v>90631</v>
      </c>
      <c r="B581" s="509" t="s">
        <v>249</v>
      </c>
      <c r="C581" s="508" t="s">
        <v>166</v>
      </c>
      <c r="D581" s="508">
        <v>143.19999999999999</v>
      </c>
      <c r="E581" s="461" t="s">
        <v>1497</v>
      </c>
    </row>
    <row r="582" spans="1:5" ht="40.5" x14ac:dyDescent="0.25">
      <c r="A582" s="508">
        <v>90637</v>
      </c>
      <c r="B582" s="509" t="s">
        <v>250</v>
      </c>
      <c r="C582" s="508" t="s">
        <v>166</v>
      </c>
      <c r="D582" s="508">
        <v>14.72</v>
      </c>
      <c r="E582" s="461" t="s">
        <v>1497</v>
      </c>
    </row>
    <row r="583" spans="1:5" ht="27" x14ac:dyDescent="0.25">
      <c r="A583" s="508">
        <v>90643</v>
      </c>
      <c r="B583" s="509" t="s">
        <v>251</v>
      </c>
      <c r="C583" s="508" t="s">
        <v>166</v>
      </c>
      <c r="D583" s="508">
        <v>27.26</v>
      </c>
      <c r="E583" s="461" t="s">
        <v>1497</v>
      </c>
    </row>
    <row r="584" spans="1:5" ht="27" x14ac:dyDescent="0.25">
      <c r="A584" s="508">
        <v>90650</v>
      </c>
      <c r="B584" s="509" t="s">
        <v>252</v>
      </c>
      <c r="C584" s="508" t="s">
        <v>166</v>
      </c>
      <c r="D584" s="508">
        <v>9.6999999999999993</v>
      </c>
      <c r="E584" s="461" t="s">
        <v>1497</v>
      </c>
    </row>
    <row r="585" spans="1:5" ht="27" x14ac:dyDescent="0.25">
      <c r="A585" s="508">
        <v>90656</v>
      </c>
      <c r="B585" s="509" t="s">
        <v>253</v>
      </c>
      <c r="C585" s="508" t="s">
        <v>166</v>
      </c>
      <c r="D585" s="508">
        <v>14.55</v>
      </c>
      <c r="E585" s="461" t="s">
        <v>1497</v>
      </c>
    </row>
    <row r="586" spans="1:5" ht="27" x14ac:dyDescent="0.25">
      <c r="A586" s="508">
        <v>90662</v>
      </c>
      <c r="B586" s="509" t="s">
        <v>254</v>
      </c>
      <c r="C586" s="508" t="s">
        <v>166</v>
      </c>
      <c r="D586" s="508">
        <v>15.25</v>
      </c>
      <c r="E586" s="461" t="s">
        <v>1497</v>
      </c>
    </row>
    <row r="587" spans="1:5" ht="40.5" x14ac:dyDescent="0.25">
      <c r="A587" s="508">
        <v>90668</v>
      </c>
      <c r="B587" s="509" t="s">
        <v>4976</v>
      </c>
      <c r="C587" s="508" t="s">
        <v>166</v>
      </c>
      <c r="D587" s="508">
        <v>31.91</v>
      </c>
      <c r="E587" s="461" t="s">
        <v>1497</v>
      </c>
    </row>
    <row r="588" spans="1:5" ht="40.5" x14ac:dyDescent="0.25">
      <c r="A588" s="508">
        <v>90674</v>
      </c>
      <c r="B588" s="509" t="s">
        <v>255</v>
      </c>
      <c r="C588" s="508" t="s">
        <v>166</v>
      </c>
      <c r="D588" s="508">
        <v>675.79</v>
      </c>
      <c r="E588" s="461" t="s">
        <v>1497</v>
      </c>
    </row>
    <row r="589" spans="1:5" ht="40.5" x14ac:dyDescent="0.25">
      <c r="A589" s="508">
        <v>90680</v>
      </c>
      <c r="B589" s="509" t="s">
        <v>256</v>
      </c>
      <c r="C589" s="508" t="s">
        <v>166</v>
      </c>
      <c r="D589" s="508">
        <v>406.51</v>
      </c>
      <c r="E589" s="461" t="s">
        <v>1497</v>
      </c>
    </row>
    <row r="590" spans="1:5" ht="27" x14ac:dyDescent="0.25">
      <c r="A590" s="508">
        <v>90686</v>
      </c>
      <c r="B590" s="509" t="s">
        <v>4977</v>
      </c>
      <c r="C590" s="508" t="s">
        <v>166</v>
      </c>
      <c r="D590" s="508">
        <v>155.55000000000001</v>
      </c>
      <c r="E590" s="461" t="s">
        <v>1497</v>
      </c>
    </row>
    <row r="591" spans="1:5" ht="27" x14ac:dyDescent="0.25">
      <c r="A591" s="508">
        <v>90692</v>
      </c>
      <c r="B591" s="509" t="s">
        <v>257</v>
      </c>
      <c r="C591" s="508" t="s">
        <v>166</v>
      </c>
      <c r="D591" s="508">
        <v>129.41</v>
      </c>
      <c r="E591" s="461" t="s">
        <v>1497</v>
      </c>
    </row>
    <row r="592" spans="1:5" ht="27" x14ac:dyDescent="0.25">
      <c r="A592" s="508">
        <v>90964</v>
      </c>
      <c r="B592" s="509" t="s">
        <v>258</v>
      </c>
      <c r="C592" s="508" t="s">
        <v>166</v>
      </c>
      <c r="D592" s="508">
        <v>31.39</v>
      </c>
      <c r="E592" s="461" t="s">
        <v>1497</v>
      </c>
    </row>
    <row r="593" spans="1:5" ht="27" x14ac:dyDescent="0.25">
      <c r="A593" s="508">
        <v>90972</v>
      </c>
      <c r="B593" s="509" t="s">
        <v>259</v>
      </c>
      <c r="C593" s="508" t="s">
        <v>166</v>
      </c>
      <c r="D593" s="508">
        <v>75.78</v>
      </c>
      <c r="E593" s="461" t="s">
        <v>1497</v>
      </c>
    </row>
    <row r="594" spans="1:5" ht="27" x14ac:dyDescent="0.25">
      <c r="A594" s="508">
        <v>90979</v>
      </c>
      <c r="B594" s="509" t="s">
        <v>260</v>
      </c>
      <c r="C594" s="508" t="s">
        <v>166</v>
      </c>
      <c r="D594" s="508">
        <v>195.66</v>
      </c>
      <c r="E594" s="461" t="s">
        <v>1497</v>
      </c>
    </row>
    <row r="595" spans="1:5" ht="27" x14ac:dyDescent="0.25">
      <c r="A595" s="508">
        <v>90991</v>
      </c>
      <c r="B595" s="509" t="s">
        <v>261</v>
      </c>
      <c r="C595" s="508" t="s">
        <v>166</v>
      </c>
      <c r="D595" s="508">
        <v>200.44</v>
      </c>
      <c r="E595" s="461" t="s">
        <v>1497</v>
      </c>
    </row>
    <row r="596" spans="1:5" ht="27" x14ac:dyDescent="0.25">
      <c r="A596" s="508">
        <v>90999</v>
      </c>
      <c r="B596" s="509" t="s">
        <v>262</v>
      </c>
      <c r="C596" s="508" t="s">
        <v>166</v>
      </c>
      <c r="D596" s="508">
        <v>100.01</v>
      </c>
      <c r="E596" s="461" t="s">
        <v>1497</v>
      </c>
    </row>
    <row r="597" spans="1:5" ht="40.5" x14ac:dyDescent="0.25">
      <c r="A597" s="508">
        <v>91031</v>
      </c>
      <c r="B597" s="509" t="s">
        <v>263</v>
      </c>
      <c r="C597" s="508" t="s">
        <v>166</v>
      </c>
      <c r="D597" s="508">
        <v>254.86</v>
      </c>
      <c r="E597" s="461" t="s">
        <v>1497</v>
      </c>
    </row>
    <row r="598" spans="1:5" ht="27" x14ac:dyDescent="0.25">
      <c r="A598" s="508">
        <v>91277</v>
      </c>
      <c r="B598" s="509" t="s">
        <v>176</v>
      </c>
      <c r="C598" s="508" t="s">
        <v>166</v>
      </c>
      <c r="D598" s="508">
        <v>9.75</v>
      </c>
      <c r="E598" s="461" t="s">
        <v>1497</v>
      </c>
    </row>
    <row r="599" spans="1:5" ht="40.5" x14ac:dyDescent="0.25">
      <c r="A599" s="508">
        <v>91283</v>
      </c>
      <c r="B599" s="509" t="s">
        <v>264</v>
      </c>
      <c r="C599" s="508" t="s">
        <v>166</v>
      </c>
      <c r="D599" s="508">
        <v>10.73</v>
      </c>
      <c r="E599" s="461" t="s">
        <v>1497</v>
      </c>
    </row>
    <row r="600" spans="1:5" ht="40.5" x14ac:dyDescent="0.25">
      <c r="A600" s="508">
        <v>91386</v>
      </c>
      <c r="B600" s="509" t="s">
        <v>265</v>
      </c>
      <c r="C600" s="508" t="s">
        <v>166</v>
      </c>
      <c r="D600" s="508">
        <v>263.49</v>
      </c>
      <c r="E600" s="461" t="s">
        <v>1497</v>
      </c>
    </row>
    <row r="601" spans="1:5" ht="27" x14ac:dyDescent="0.25">
      <c r="A601" s="508">
        <v>91533</v>
      </c>
      <c r="B601" s="509" t="s">
        <v>266</v>
      </c>
      <c r="C601" s="508" t="s">
        <v>166</v>
      </c>
      <c r="D601" s="508">
        <v>33.799999999999997</v>
      </c>
      <c r="E601" s="461" t="s">
        <v>1497</v>
      </c>
    </row>
    <row r="602" spans="1:5" ht="40.5" x14ac:dyDescent="0.25">
      <c r="A602" s="508">
        <v>91634</v>
      </c>
      <c r="B602" s="509" t="s">
        <v>267</v>
      </c>
      <c r="C602" s="508" t="s">
        <v>166</v>
      </c>
      <c r="D602" s="508">
        <v>229.51</v>
      </c>
      <c r="E602" s="461" t="s">
        <v>1497</v>
      </c>
    </row>
    <row r="603" spans="1:5" ht="40.5" x14ac:dyDescent="0.25">
      <c r="A603" s="508">
        <v>91645</v>
      </c>
      <c r="B603" s="509" t="s">
        <v>268</v>
      </c>
      <c r="C603" s="508" t="s">
        <v>166</v>
      </c>
      <c r="D603" s="508">
        <v>461.45</v>
      </c>
      <c r="E603" s="461" t="s">
        <v>1497</v>
      </c>
    </row>
    <row r="604" spans="1:5" ht="27" x14ac:dyDescent="0.25">
      <c r="A604" s="508">
        <v>91692</v>
      </c>
      <c r="B604" s="509" t="s">
        <v>269</v>
      </c>
      <c r="C604" s="508" t="s">
        <v>166</v>
      </c>
      <c r="D604" s="508">
        <v>26.98</v>
      </c>
      <c r="E604" s="461" t="s">
        <v>1497</v>
      </c>
    </row>
    <row r="605" spans="1:5" ht="27" x14ac:dyDescent="0.25">
      <c r="A605" s="508">
        <v>92043</v>
      </c>
      <c r="B605" s="509" t="s">
        <v>270</v>
      </c>
      <c r="C605" s="508" t="s">
        <v>166</v>
      </c>
      <c r="D605" s="508">
        <v>13.19</v>
      </c>
      <c r="E605" s="461" t="s">
        <v>1497</v>
      </c>
    </row>
    <row r="606" spans="1:5" ht="40.5" x14ac:dyDescent="0.25">
      <c r="A606" s="508">
        <v>92106</v>
      </c>
      <c r="B606" s="509" t="s">
        <v>4978</v>
      </c>
      <c r="C606" s="508" t="s">
        <v>166</v>
      </c>
      <c r="D606" s="508">
        <v>332.83</v>
      </c>
      <c r="E606" s="461" t="s">
        <v>1497</v>
      </c>
    </row>
    <row r="607" spans="1:5" ht="27" x14ac:dyDescent="0.25">
      <c r="A607" s="508">
        <v>92112</v>
      </c>
      <c r="B607" s="509" t="s">
        <v>4979</v>
      </c>
      <c r="C607" s="508" t="s">
        <v>166</v>
      </c>
      <c r="D607" s="508">
        <v>3.37</v>
      </c>
      <c r="E607" s="461" t="s">
        <v>1497</v>
      </c>
    </row>
    <row r="608" spans="1:5" ht="15" x14ac:dyDescent="0.25">
      <c r="A608" s="508">
        <v>92118</v>
      </c>
      <c r="B608" s="509" t="s">
        <v>4980</v>
      </c>
      <c r="C608" s="508" t="s">
        <v>166</v>
      </c>
      <c r="D608" s="508">
        <v>0.47</v>
      </c>
      <c r="E608" s="461" t="s">
        <v>1497</v>
      </c>
    </row>
    <row r="609" spans="1:5" ht="27" x14ac:dyDescent="0.25">
      <c r="A609" s="508">
        <v>92138</v>
      </c>
      <c r="B609" s="509" t="s">
        <v>271</v>
      </c>
      <c r="C609" s="508" t="s">
        <v>166</v>
      </c>
      <c r="D609" s="508">
        <v>95.47</v>
      </c>
      <c r="E609" s="461" t="s">
        <v>1497</v>
      </c>
    </row>
    <row r="610" spans="1:5" ht="27" x14ac:dyDescent="0.25">
      <c r="A610" s="508">
        <v>92145</v>
      </c>
      <c r="B610" s="509" t="s">
        <v>272</v>
      </c>
      <c r="C610" s="508" t="s">
        <v>166</v>
      </c>
      <c r="D610" s="508">
        <v>78.260000000000005</v>
      </c>
      <c r="E610" s="461" t="s">
        <v>1497</v>
      </c>
    </row>
    <row r="611" spans="1:5" ht="40.5" x14ac:dyDescent="0.25">
      <c r="A611" s="508">
        <v>92242</v>
      </c>
      <c r="B611" s="509" t="s">
        <v>273</v>
      </c>
      <c r="C611" s="508" t="s">
        <v>166</v>
      </c>
      <c r="D611" s="508">
        <v>400.09</v>
      </c>
      <c r="E611" s="461" t="s">
        <v>1497</v>
      </c>
    </row>
    <row r="612" spans="1:5" ht="27" x14ac:dyDescent="0.25">
      <c r="A612" s="508">
        <v>92716</v>
      </c>
      <c r="B612" s="509" t="s">
        <v>4981</v>
      </c>
      <c r="C612" s="508" t="s">
        <v>166</v>
      </c>
      <c r="D612" s="508">
        <v>93.69</v>
      </c>
      <c r="E612" s="461" t="s">
        <v>1497</v>
      </c>
    </row>
    <row r="613" spans="1:5" ht="27" x14ac:dyDescent="0.25">
      <c r="A613" s="508">
        <v>92960</v>
      </c>
      <c r="B613" s="509" t="s">
        <v>274</v>
      </c>
      <c r="C613" s="508" t="s">
        <v>166</v>
      </c>
      <c r="D613" s="508">
        <v>18.989999999999998</v>
      </c>
      <c r="E613" s="461" t="s">
        <v>1497</v>
      </c>
    </row>
    <row r="614" spans="1:5" ht="27" x14ac:dyDescent="0.25">
      <c r="A614" s="508">
        <v>92966</v>
      </c>
      <c r="B614" s="509" t="s">
        <v>275</v>
      </c>
      <c r="C614" s="508" t="s">
        <v>166</v>
      </c>
      <c r="D614" s="508">
        <v>29.84</v>
      </c>
      <c r="E614" s="461" t="s">
        <v>1497</v>
      </c>
    </row>
    <row r="615" spans="1:5" ht="40.5" x14ac:dyDescent="0.25">
      <c r="A615" s="508">
        <v>93224</v>
      </c>
      <c r="B615" s="509" t="s">
        <v>276</v>
      </c>
      <c r="C615" s="508" t="s">
        <v>166</v>
      </c>
      <c r="D615" s="508">
        <v>1007.64</v>
      </c>
      <c r="E615" s="461" t="s">
        <v>1497</v>
      </c>
    </row>
    <row r="616" spans="1:5" ht="27" x14ac:dyDescent="0.25">
      <c r="A616" s="508">
        <v>93233</v>
      </c>
      <c r="B616" s="509" t="s">
        <v>277</v>
      </c>
      <c r="C616" s="508" t="s">
        <v>166</v>
      </c>
      <c r="D616" s="508">
        <v>5.56</v>
      </c>
      <c r="E616" s="461" t="s">
        <v>1497</v>
      </c>
    </row>
    <row r="617" spans="1:5" ht="27" x14ac:dyDescent="0.25">
      <c r="A617" s="508">
        <v>93272</v>
      </c>
      <c r="B617" s="509" t="s">
        <v>4982</v>
      </c>
      <c r="C617" s="508" t="s">
        <v>166</v>
      </c>
      <c r="D617" s="508">
        <v>100.06</v>
      </c>
      <c r="E617" s="461" t="s">
        <v>1497</v>
      </c>
    </row>
    <row r="618" spans="1:5" ht="27" x14ac:dyDescent="0.25">
      <c r="A618" s="508">
        <v>93281</v>
      </c>
      <c r="B618" s="509" t="s">
        <v>170</v>
      </c>
      <c r="C618" s="508" t="s">
        <v>166</v>
      </c>
      <c r="D618" s="508">
        <v>27.07</v>
      </c>
      <c r="E618" s="461" t="s">
        <v>1497</v>
      </c>
    </row>
    <row r="619" spans="1:5" ht="27" x14ac:dyDescent="0.25">
      <c r="A619" s="508">
        <v>93287</v>
      </c>
      <c r="B619" s="509" t="s">
        <v>167</v>
      </c>
      <c r="C619" s="508" t="s">
        <v>166</v>
      </c>
      <c r="D619" s="508">
        <v>335.75</v>
      </c>
      <c r="E619" s="461" t="s">
        <v>1497</v>
      </c>
    </row>
    <row r="620" spans="1:5" ht="40.5" x14ac:dyDescent="0.25">
      <c r="A620" s="508">
        <v>93402</v>
      </c>
      <c r="B620" s="509" t="s">
        <v>278</v>
      </c>
      <c r="C620" s="508" t="s">
        <v>166</v>
      </c>
      <c r="D620" s="508">
        <v>264.76</v>
      </c>
      <c r="E620" s="461" t="s">
        <v>1497</v>
      </c>
    </row>
    <row r="621" spans="1:5" ht="40.5" x14ac:dyDescent="0.25">
      <c r="A621" s="508">
        <v>93408</v>
      </c>
      <c r="B621" s="509" t="s">
        <v>4983</v>
      </c>
      <c r="C621" s="508" t="s">
        <v>166</v>
      </c>
      <c r="D621" s="508">
        <v>87.46</v>
      </c>
      <c r="E621" s="461" t="s">
        <v>1497</v>
      </c>
    </row>
    <row r="622" spans="1:5" ht="27" x14ac:dyDescent="0.25">
      <c r="A622" s="508">
        <v>93415</v>
      </c>
      <c r="B622" s="509" t="s">
        <v>279</v>
      </c>
      <c r="C622" s="508" t="s">
        <v>166</v>
      </c>
      <c r="D622" s="508">
        <v>15.3</v>
      </c>
      <c r="E622" s="461" t="s">
        <v>1497</v>
      </c>
    </row>
    <row r="623" spans="1:5" ht="15" x14ac:dyDescent="0.25">
      <c r="A623" s="508">
        <v>93421</v>
      </c>
      <c r="B623" s="509" t="s">
        <v>280</v>
      </c>
      <c r="C623" s="508" t="s">
        <v>166</v>
      </c>
      <c r="D623" s="508">
        <v>75.209999999999994</v>
      </c>
      <c r="E623" s="461" t="s">
        <v>1497</v>
      </c>
    </row>
    <row r="624" spans="1:5" ht="15" x14ac:dyDescent="0.25">
      <c r="A624" s="508">
        <v>93427</v>
      </c>
      <c r="B624" s="509" t="s">
        <v>281</v>
      </c>
      <c r="C624" s="508" t="s">
        <v>166</v>
      </c>
      <c r="D624" s="508">
        <v>169.92</v>
      </c>
      <c r="E624" s="461" t="s">
        <v>1497</v>
      </c>
    </row>
    <row r="625" spans="1:5" ht="27" x14ac:dyDescent="0.25">
      <c r="A625" s="508">
        <v>93433</v>
      </c>
      <c r="B625" s="509" t="s">
        <v>4984</v>
      </c>
      <c r="C625" s="508" t="s">
        <v>166</v>
      </c>
      <c r="D625" s="508">
        <v>2652.83</v>
      </c>
      <c r="E625" s="461" t="s">
        <v>1497</v>
      </c>
    </row>
    <row r="626" spans="1:5" ht="27" x14ac:dyDescent="0.25">
      <c r="A626" s="508">
        <v>93439</v>
      </c>
      <c r="B626" s="509" t="s">
        <v>4985</v>
      </c>
      <c r="C626" s="508" t="s">
        <v>166</v>
      </c>
      <c r="D626" s="508">
        <v>267.04000000000002</v>
      </c>
      <c r="E626" s="461" t="s">
        <v>1497</v>
      </c>
    </row>
    <row r="627" spans="1:5" ht="27" x14ac:dyDescent="0.25">
      <c r="A627" s="508">
        <v>95121</v>
      </c>
      <c r="B627" s="509" t="s">
        <v>282</v>
      </c>
      <c r="C627" s="508" t="s">
        <v>166</v>
      </c>
      <c r="D627" s="508">
        <v>373.24</v>
      </c>
      <c r="E627" s="461" t="s">
        <v>1497</v>
      </c>
    </row>
    <row r="628" spans="1:5" ht="27" x14ac:dyDescent="0.25">
      <c r="A628" s="508">
        <v>95127</v>
      </c>
      <c r="B628" s="509" t="s">
        <v>283</v>
      </c>
      <c r="C628" s="508" t="s">
        <v>166</v>
      </c>
      <c r="D628" s="508">
        <v>211.7</v>
      </c>
      <c r="E628" s="461" t="s">
        <v>1497</v>
      </c>
    </row>
    <row r="629" spans="1:5" ht="27" x14ac:dyDescent="0.25">
      <c r="A629" s="508">
        <v>95133</v>
      </c>
      <c r="B629" s="509" t="s">
        <v>284</v>
      </c>
      <c r="C629" s="508" t="s">
        <v>166</v>
      </c>
      <c r="D629" s="508">
        <v>178.67</v>
      </c>
      <c r="E629" s="461" t="s">
        <v>1497</v>
      </c>
    </row>
    <row r="630" spans="1:5" ht="27" x14ac:dyDescent="0.25">
      <c r="A630" s="508">
        <v>95139</v>
      </c>
      <c r="B630" s="509" t="s">
        <v>285</v>
      </c>
      <c r="C630" s="508" t="s">
        <v>166</v>
      </c>
      <c r="D630" s="508">
        <v>0.06</v>
      </c>
      <c r="E630" s="461" t="s">
        <v>1497</v>
      </c>
    </row>
    <row r="631" spans="1:5" ht="27" x14ac:dyDescent="0.25">
      <c r="A631" s="508">
        <v>95212</v>
      </c>
      <c r="B631" s="509" t="s">
        <v>4986</v>
      </c>
      <c r="C631" s="508" t="s">
        <v>166</v>
      </c>
      <c r="D631" s="508">
        <v>110.05</v>
      </c>
      <c r="E631" s="461" t="s">
        <v>1497</v>
      </c>
    </row>
    <row r="632" spans="1:5" ht="15" x14ac:dyDescent="0.25">
      <c r="A632" s="508">
        <v>95258</v>
      </c>
      <c r="B632" s="509" t="s">
        <v>286</v>
      </c>
      <c r="C632" s="508" t="s">
        <v>166</v>
      </c>
      <c r="D632" s="508">
        <v>29.29</v>
      </c>
      <c r="E632" s="461" t="s">
        <v>1497</v>
      </c>
    </row>
    <row r="633" spans="1:5" ht="27" x14ac:dyDescent="0.25">
      <c r="A633" s="508">
        <v>95264</v>
      </c>
      <c r="B633" s="509" t="s">
        <v>287</v>
      </c>
      <c r="C633" s="508" t="s">
        <v>166</v>
      </c>
      <c r="D633" s="508">
        <v>6.16</v>
      </c>
      <c r="E633" s="461" t="s">
        <v>1497</v>
      </c>
    </row>
    <row r="634" spans="1:5" ht="27" x14ac:dyDescent="0.25">
      <c r="A634" s="508">
        <v>95270</v>
      </c>
      <c r="B634" s="509" t="s">
        <v>288</v>
      </c>
      <c r="C634" s="508" t="s">
        <v>166</v>
      </c>
      <c r="D634" s="508">
        <v>9.36</v>
      </c>
      <c r="E634" s="461" t="s">
        <v>1497</v>
      </c>
    </row>
    <row r="635" spans="1:5" ht="27" x14ac:dyDescent="0.25">
      <c r="A635" s="508">
        <v>95276</v>
      </c>
      <c r="B635" s="509" t="s">
        <v>4987</v>
      </c>
      <c r="C635" s="508" t="s">
        <v>166</v>
      </c>
      <c r="D635" s="508">
        <v>2.7</v>
      </c>
      <c r="E635" s="461" t="s">
        <v>1497</v>
      </c>
    </row>
    <row r="636" spans="1:5" ht="27" x14ac:dyDescent="0.25">
      <c r="A636" s="508">
        <v>95282</v>
      </c>
      <c r="B636" s="509" t="s">
        <v>4988</v>
      </c>
      <c r="C636" s="508" t="s">
        <v>166</v>
      </c>
      <c r="D636" s="508">
        <v>9.5</v>
      </c>
      <c r="E636" s="461" t="s">
        <v>1497</v>
      </c>
    </row>
    <row r="637" spans="1:5" ht="27" x14ac:dyDescent="0.25">
      <c r="A637" s="508">
        <v>95620</v>
      </c>
      <c r="B637" s="509" t="s">
        <v>289</v>
      </c>
      <c r="C637" s="508" t="s">
        <v>166</v>
      </c>
      <c r="D637" s="508">
        <v>28.64</v>
      </c>
      <c r="E637" s="461" t="s">
        <v>1497</v>
      </c>
    </row>
    <row r="638" spans="1:5" ht="27" x14ac:dyDescent="0.25">
      <c r="A638" s="508">
        <v>95631</v>
      </c>
      <c r="B638" s="509" t="s">
        <v>290</v>
      </c>
      <c r="C638" s="508" t="s">
        <v>166</v>
      </c>
      <c r="D638" s="508">
        <v>229.62</v>
      </c>
      <c r="E638" s="461" t="s">
        <v>1497</v>
      </c>
    </row>
    <row r="639" spans="1:5" ht="27" x14ac:dyDescent="0.25">
      <c r="A639" s="508">
        <v>95702</v>
      </c>
      <c r="B639" s="509" t="s">
        <v>291</v>
      </c>
      <c r="C639" s="508" t="s">
        <v>166</v>
      </c>
      <c r="D639" s="508">
        <v>39.950000000000003</v>
      </c>
      <c r="E639" s="461" t="s">
        <v>1497</v>
      </c>
    </row>
    <row r="640" spans="1:5" ht="27" x14ac:dyDescent="0.25">
      <c r="A640" s="508">
        <v>95708</v>
      </c>
      <c r="B640" s="509" t="s">
        <v>4989</v>
      </c>
      <c r="C640" s="508" t="s">
        <v>166</v>
      </c>
      <c r="D640" s="508">
        <v>140.30000000000001</v>
      </c>
      <c r="E640" s="461" t="s">
        <v>1497</v>
      </c>
    </row>
    <row r="641" spans="1:5" ht="40.5" x14ac:dyDescent="0.25">
      <c r="A641" s="508">
        <v>95714</v>
      </c>
      <c r="B641" s="509" t="s">
        <v>292</v>
      </c>
      <c r="C641" s="508" t="s">
        <v>166</v>
      </c>
      <c r="D641" s="508">
        <v>250.69</v>
      </c>
      <c r="E641" s="461" t="s">
        <v>1497</v>
      </c>
    </row>
    <row r="642" spans="1:5" ht="40.5" x14ac:dyDescent="0.25">
      <c r="A642" s="508">
        <v>95720</v>
      </c>
      <c r="B642" s="509" t="s">
        <v>293</v>
      </c>
      <c r="C642" s="508" t="s">
        <v>166</v>
      </c>
      <c r="D642" s="508">
        <v>245.71</v>
      </c>
      <c r="E642" s="461" t="s">
        <v>1497</v>
      </c>
    </row>
    <row r="643" spans="1:5" ht="27" x14ac:dyDescent="0.25">
      <c r="A643" s="508">
        <v>95872</v>
      </c>
      <c r="B643" s="509" t="s">
        <v>294</v>
      </c>
      <c r="C643" s="508" t="s">
        <v>166</v>
      </c>
      <c r="D643" s="508">
        <v>287.99</v>
      </c>
      <c r="E643" s="461" t="s">
        <v>1497</v>
      </c>
    </row>
    <row r="644" spans="1:5" ht="27" x14ac:dyDescent="0.25">
      <c r="A644" s="508">
        <v>96013</v>
      </c>
      <c r="B644" s="509" t="s">
        <v>295</v>
      </c>
      <c r="C644" s="508" t="s">
        <v>166</v>
      </c>
      <c r="D644" s="508">
        <v>170.62</v>
      </c>
      <c r="E644" s="461" t="s">
        <v>1497</v>
      </c>
    </row>
    <row r="645" spans="1:5" ht="27" x14ac:dyDescent="0.25">
      <c r="A645" s="508">
        <v>96020</v>
      </c>
      <c r="B645" s="509" t="s">
        <v>296</v>
      </c>
      <c r="C645" s="508" t="s">
        <v>166</v>
      </c>
      <c r="D645" s="508">
        <v>170.15</v>
      </c>
      <c r="E645" s="461" t="s">
        <v>1497</v>
      </c>
    </row>
    <row r="646" spans="1:5" ht="27" x14ac:dyDescent="0.25">
      <c r="A646" s="508">
        <v>96028</v>
      </c>
      <c r="B646" s="509" t="s">
        <v>297</v>
      </c>
      <c r="C646" s="508" t="s">
        <v>166</v>
      </c>
      <c r="D646" s="508">
        <v>130.28</v>
      </c>
      <c r="E646" s="461" t="s">
        <v>1497</v>
      </c>
    </row>
    <row r="647" spans="1:5" ht="27" x14ac:dyDescent="0.25">
      <c r="A647" s="508">
        <v>96035</v>
      </c>
      <c r="B647" s="509" t="s">
        <v>298</v>
      </c>
      <c r="C647" s="508" t="s">
        <v>166</v>
      </c>
      <c r="D647" s="508">
        <v>273.93</v>
      </c>
      <c r="E647" s="461" t="s">
        <v>1497</v>
      </c>
    </row>
    <row r="648" spans="1:5" ht="27" x14ac:dyDescent="0.25">
      <c r="A648" s="508">
        <v>96157</v>
      </c>
      <c r="B648" s="509" t="s">
        <v>299</v>
      </c>
      <c r="C648" s="508" t="s">
        <v>166</v>
      </c>
      <c r="D648" s="508">
        <v>130.75</v>
      </c>
      <c r="E648" s="461" t="s">
        <v>1497</v>
      </c>
    </row>
    <row r="649" spans="1:5" ht="27" x14ac:dyDescent="0.25">
      <c r="A649" s="508">
        <v>96158</v>
      </c>
      <c r="B649" s="509" t="s">
        <v>300</v>
      </c>
      <c r="C649" s="508" t="s">
        <v>166</v>
      </c>
      <c r="D649" s="508">
        <v>142.30000000000001</v>
      </c>
      <c r="E649" s="461" t="s">
        <v>1497</v>
      </c>
    </row>
    <row r="650" spans="1:5" ht="27" x14ac:dyDescent="0.25">
      <c r="A650" s="508">
        <v>96245</v>
      </c>
      <c r="B650" s="509" t="s">
        <v>301</v>
      </c>
      <c r="C650" s="508" t="s">
        <v>166</v>
      </c>
      <c r="D650" s="508">
        <v>117.5</v>
      </c>
      <c r="E650" s="461" t="s">
        <v>1497</v>
      </c>
    </row>
    <row r="651" spans="1:5" ht="27" x14ac:dyDescent="0.25">
      <c r="A651" s="508">
        <v>96463</v>
      </c>
      <c r="B651" s="509" t="s">
        <v>302</v>
      </c>
      <c r="C651" s="508" t="s">
        <v>166</v>
      </c>
      <c r="D651" s="508">
        <v>217.71</v>
      </c>
      <c r="E651" s="461" t="s">
        <v>1497</v>
      </c>
    </row>
    <row r="652" spans="1:5" ht="27" x14ac:dyDescent="0.25">
      <c r="A652" s="508">
        <v>98764</v>
      </c>
      <c r="B652" s="509" t="s">
        <v>1181</v>
      </c>
      <c r="C652" s="508" t="s">
        <v>166</v>
      </c>
      <c r="D652" s="508">
        <v>3.52</v>
      </c>
      <c r="E652" s="461" t="s">
        <v>1497</v>
      </c>
    </row>
    <row r="653" spans="1:5" ht="27" x14ac:dyDescent="0.25">
      <c r="A653" s="508">
        <v>99833</v>
      </c>
      <c r="B653" s="509" t="s">
        <v>4990</v>
      </c>
      <c r="C653" s="508" t="s">
        <v>166</v>
      </c>
      <c r="D653" s="508">
        <v>1.78</v>
      </c>
      <c r="E653" s="461" t="s">
        <v>1497</v>
      </c>
    </row>
    <row r="654" spans="1:5" ht="27" x14ac:dyDescent="0.25">
      <c r="A654" s="508">
        <v>100641</v>
      </c>
      <c r="B654" s="509" t="s">
        <v>1515</v>
      </c>
      <c r="C654" s="508" t="s">
        <v>166</v>
      </c>
      <c r="D654" s="508">
        <v>4772.28</v>
      </c>
      <c r="E654" s="461" t="s">
        <v>1497</v>
      </c>
    </row>
    <row r="655" spans="1:5" ht="15" x14ac:dyDescent="0.25">
      <c r="A655" s="508">
        <v>100647</v>
      </c>
      <c r="B655" s="509" t="s">
        <v>1516</v>
      </c>
      <c r="C655" s="508" t="s">
        <v>166</v>
      </c>
      <c r="D655" s="508">
        <v>6570.84</v>
      </c>
      <c r="E655" s="461" t="s">
        <v>1497</v>
      </c>
    </row>
    <row r="656" spans="1:5" ht="27" x14ac:dyDescent="0.25">
      <c r="A656" s="508">
        <v>102275</v>
      </c>
      <c r="B656" s="509" t="s">
        <v>2209</v>
      </c>
      <c r="C656" s="508" t="s">
        <v>166</v>
      </c>
      <c r="D656" s="508">
        <v>28.72</v>
      </c>
      <c r="E656" s="461" t="s">
        <v>1497</v>
      </c>
    </row>
    <row r="657" spans="1:5" ht="27" x14ac:dyDescent="0.25">
      <c r="A657" s="508">
        <v>104091</v>
      </c>
      <c r="B657" s="509" t="s">
        <v>4991</v>
      </c>
      <c r="C657" s="508" t="s">
        <v>166</v>
      </c>
      <c r="D657" s="508">
        <v>0.67</v>
      </c>
      <c r="E657" s="461" t="s">
        <v>1497</v>
      </c>
    </row>
    <row r="658" spans="1:5" ht="27" x14ac:dyDescent="0.25">
      <c r="A658" s="508">
        <v>104097</v>
      </c>
      <c r="B658" s="509" t="s">
        <v>4992</v>
      </c>
      <c r="C658" s="508" t="s">
        <v>166</v>
      </c>
      <c r="D658" s="508">
        <v>0.93</v>
      </c>
      <c r="E658" s="461" t="s">
        <v>1497</v>
      </c>
    </row>
    <row r="659" spans="1:5" ht="27" x14ac:dyDescent="0.25">
      <c r="A659" s="508">
        <v>5632</v>
      </c>
      <c r="B659" s="509" t="s">
        <v>303</v>
      </c>
      <c r="C659" s="508" t="s">
        <v>169</v>
      </c>
      <c r="D659" s="508">
        <v>87</v>
      </c>
      <c r="E659" s="461" t="s">
        <v>1497</v>
      </c>
    </row>
    <row r="660" spans="1:5" ht="40.5" x14ac:dyDescent="0.25">
      <c r="A660" s="508">
        <v>5679</v>
      </c>
      <c r="B660" s="509" t="s">
        <v>304</v>
      </c>
      <c r="C660" s="508" t="s">
        <v>169</v>
      </c>
      <c r="D660" s="508">
        <v>60.29</v>
      </c>
      <c r="E660" s="461" t="s">
        <v>1497</v>
      </c>
    </row>
    <row r="661" spans="1:5" ht="40.5" x14ac:dyDescent="0.25">
      <c r="A661" s="508">
        <v>5681</v>
      </c>
      <c r="B661" s="509" t="s">
        <v>305</v>
      </c>
      <c r="C661" s="508" t="s">
        <v>169</v>
      </c>
      <c r="D661" s="508">
        <v>56.9</v>
      </c>
      <c r="E661" s="461" t="s">
        <v>1497</v>
      </c>
    </row>
    <row r="662" spans="1:5" ht="40.5" x14ac:dyDescent="0.25">
      <c r="A662" s="508">
        <v>5685</v>
      </c>
      <c r="B662" s="509" t="s">
        <v>306</v>
      </c>
      <c r="C662" s="508" t="s">
        <v>169</v>
      </c>
      <c r="D662" s="508">
        <v>65.16</v>
      </c>
      <c r="E662" s="461" t="s">
        <v>1497</v>
      </c>
    </row>
    <row r="663" spans="1:5" ht="27" x14ac:dyDescent="0.25">
      <c r="A663" s="508">
        <v>5690</v>
      </c>
      <c r="B663" s="509" t="s">
        <v>4993</v>
      </c>
      <c r="C663" s="508" t="s">
        <v>169</v>
      </c>
      <c r="D663" s="508">
        <v>4.09</v>
      </c>
      <c r="E663" s="461" t="s">
        <v>1497</v>
      </c>
    </row>
    <row r="664" spans="1:5" ht="40.5" x14ac:dyDescent="0.25">
      <c r="A664" s="508">
        <v>5806</v>
      </c>
      <c r="B664" s="509" t="s">
        <v>307</v>
      </c>
      <c r="C664" s="508" t="s">
        <v>169</v>
      </c>
      <c r="D664" s="508">
        <v>0.37</v>
      </c>
      <c r="E664" s="461" t="s">
        <v>1497</v>
      </c>
    </row>
    <row r="665" spans="1:5" ht="40.5" x14ac:dyDescent="0.25">
      <c r="A665" s="508">
        <v>5826</v>
      </c>
      <c r="B665" s="509" t="s">
        <v>308</v>
      </c>
      <c r="C665" s="508" t="s">
        <v>169</v>
      </c>
      <c r="D665" s="508">
        <v>61.38</v>
      </c>
      <c r="E665" s="461" t="s">
        <v>1497</v>
      </c>
    </row>
    <row r="666" spans="1:5" ht="27" x14ac:dyDescent="0.25">
      <c r="A666" s="508">
        <v>5829</v>
      </c>
      <c r="B666" s="509" t="s">
        <v>309</v>
      </c>
      <c r="C666" s="508" t="s">
        <v>169</v>
      </c>
      <c r="D666" s="508">
        <v>176.1</v>
      </c>
      <c r="E666" s="461" t="s">
        <v>1497</v>
      </c>
    </row>
    <row r="667" spans="1:5" ht="27" x14ac:dyDescent="0.25">
      <c r="A667" s="508">
        <v>5837</v>
      </c>
      <c r="B667" s="509" t="s">
        <v>310</v>
      </c>
      <c r="C667" s="508" t="s">
        <v>169</v>
      </c>
      <c r="D667" s="508">
        <v>132.68</v>
      </c>
      <c r="E667" s="461" t="s">
        <v>1497</v>
      </c>
    </row>
    <row r="668" spans="1:5" ht="27" x14ac:dyDescent="0.25">
      <c r="A668" s="508">
        <v>5841</v>
      </c>
      <c r="B668" s="509" t="s">
        <v>311</v>
      </c>
      <c r="C668" s="508" t="s">
        <v>169</v>
      </c>
      <c r="D668" s="508">
        <v>4.68</v>
      </c>
      <c r="E668" s="461" t="s">
        <v>1497</v>
      </c>
    </row>
    <row r="669" spans="1:5" ht="27" x14ac:dyDescent="0.25">
      <c r="A669" s="508">
        <v>5845</v>
      </c>
      <c r="B669" s="509" t="s">
        <v>312</v>
      </c>
      <c r="C669" s="508" t="s">
        <v>169</v>
      </c>
      <c r="D669" s="508">
        <v>48.7</v>
      </c>
      <c r="E669" s="461" t="s">
        <v>1497</v>
      </c>
    </row>
    <row r="670" spans="1:5" ht="27" x14ac:dyDescent="0.25">
      <c r="A670" s="508">
        <v>5849</v>
      </c>
      <c r="B670" s="509" t="s">
        <v>313</v>
      </c>
      <c r="C670" s="508" t="s">
        <v>169</v>
      </c>
      <c r="D670" s="508">
        <v>84.1</v>
      </c>
      <c r="E670" s="461" t="s">
        <v>1497</v>
      </c>
    </row>
    <row r="671" spans="1:5" ht="27" x14ac:dyDescent="0.25">
      <c r="A671" s="508">
        <v>5853</v>
      </c>
      <c r="B671" s="509" t="s">
        <v>314</v>
      </c>
      <c r="C671" s="508" t="s">
        <v>169</v>
      </c>
      <c r="D671" s="508">
        <v>84.46</v>
      </c>
      <c r="E671" s="461" t="s">
        <v>1497</v>
      </c>
    </row>
    <row r="672" spans="1:5" ht="27" x14ac:dyDescent="0.25">
      <c r="A672" s="508">
        <v>5857</v>
      </c>
      <c r="B672" s="509" t="s">
        <v>315</v>
      </c>
      <c r="C672" s="508" t="s">
        <v>169</v>
      </c>
      <c r="D672" s="508">
        <v>218</v>
      </c>
      <c r="E672" s="461" t="s">
        <v>1497</v>
      </c>
    </row>
    <row r="673" spans="1:5" ht="40.5" x14ac:dyDescent="0.25">
      <c r="A673" s="508">
        <v>5865</v>
      </c>
      <c r="B673" s="509" t="s">
        <v>316</v>
      </c>
      <c r="C673" s="508" t="s">
        <v>169</v>
      </c>
      <c r="D673" s="508">
        <v>11.89</v>
      </c>
      <c r="E673" s="461" t="s">
        <v>1497</v>
      </c>
    </row>
    <row r="674" spans="1:5" ht="27" x14ac:dyDescent="0.25">
      <c r="A674" s="508">
        <v>5869</v>
      </c>
      <c r="B674" s="509" t="s">
        <v>317</v>
      </c>
      <c r="C674" s="508" t="s">
        <v>169</v>
      </c>
      <c r="D674" s="508">
        <v>74.150000000000006</v>
      </c>
      <c r="E674" s="461" t="s">
        <v>1497</v>
      </c>
    </row>
    <row r="675" spans="1:5" ht="40.5" x14ac:dyDescent="0.25">
      <c r="A675" s="508">
        <v>5877</v>
      </c>
      <c r="B675" s="509" t="s">
        <v>318</v>
      </c>
      <c r="C675" s="508" t="s">
        <v>169</v>
      </c>
      <c r="D675" s="508">
        <v>59.21</v>
      </c>
      <c r="E675" s="461" t="s">
        <v>1497</v>
      </c>
    </row>
    <row r="676" spans="1:5" ht="40.5" x14ac:dyDescent="0.25">
      <c r="A676" s="508">
        <v>5881</v>
      </c>
      <c r="B676" s="509" t="s">
        <v>319</v>
      </c>
      <c r="C676" s="508" t="s">
        <v>169</v>
      </c>
      <c r="D676" s="508">
        <v>79.61</v>
      </c>
      <c r="E676" s="461" t="s">
        <v>1497</v>
      </c>
    </row>
    <row r="677" spans="1:5" ht="40.5" x14ac:dyDescent="0.25">
      <c r="A677" s="508">
        <v>5884</v>
      </c>
      <c r="B677" s="509" t="s">
        <v>320</v>
      </c>
      <c r="C677" s="508" t="s">
        <v>169</v>
      </c>
      <c r="D677" s="508">
        <v>55.6</v>
      </c>
      <c r="E677" s="461" t="s">
        <v>1497</v>
      </c>
    </row>
    <row r="678" spans="1:5" ht="27" x14ac:dyDescent="0.25">
      <c r="A678" s="508">
        <v>5892</v>
      </c>
      <c r="B678" s="509" t="s">
        <v>321</v>
      </c>
      <c r="C678" s="508" t="s">
        <v>169</v>
      </c>
      <c r="D678" s="508">
        <v>56.45</v>
      </c>
      <c r="E678" s="461" t="s">
        <v>1497</v>
      </c>
    </row>
    <row r="679" spans="1:5" ht="27" x14ac:dyDescent="0.25">
      <c r="A679" s="508">
        <v>5896</v>
      </c>
      <c r="B679" s="509" t="s">
        <v>322</v>
      </c>
      <c r="C679" s="508" t="s">
        <v>169</v>
      </c>
      <c r="D679" s="508">
        <v>59.18</v>
      </c>
      <c r="E679" s="461" t="s">
        <v>1497</v>
      </c>
    </row>
    <row r="680" spans="1:5" ht="40.5" x14ac:dyDescent="0.25">
      <c r="A680" s="508">
        <v>5903</v>
      </c>
      <c r="B680" s="509" t="s">
        <v>323</v>
      </c>
      <c r="C680" s="508" t="s">
        <v>169</v>
      </c>
      <c r="D680" s="508">
        <v>73.400000000000006</v>
      </c>
      <c r="E680" s="461" t="s">
        <v>1497</v>
      </c>
    </row>
    <row r="681" spans="1:5" ht="27" x14ac:dyDescent="0.25">
      <c r="A681" s="508">
        <v>5911</v>
      </c>
      <c r="B681" s="509" t="s">
        <v>324</v>
      </c>
      <c r="C681" s="508" t="s">
        <v>169</v>
      </c>
      <c r="D681" s="508">
        <v>28.64</v>
      </c>
      <c r="E681" s="461" t="s">
        <v>1497</v>
      </c>
    </row>
    <row r="682" spans="1:5" ht="27" x14ac:dyDescent="0.25">
      <c r="A682" s="508">
        <v>5923</v>
      </c>
      <c r="B682" s="509" t="s">
        <v>325</v>
      </c>
      <c r="C682" s="508" t="s">
        <v>169</v>
      </c>
      <c r="D682" s="508">
        <v>3.2</v>
      </c>
      <c r="E682" s="461" t="s">
        <v>1497</v>
      </c>
    </row>
    <row r="683" spans="1:5" ht="40.5" x14ac:dyDescent="0.25">
      <c r="A683" s="508">
        <v>5930</v>
      </c>
      <c r="B683" s="509" t="s">
        <v>326</v>
      </c>
      <c r="C683" s="508" t="s">
        <v>169</v>
      </c>
      <c r="D683" s="508">
        <v>71.17</v>
      </c>
      <c r="E683" s="461" t="s">
        <v>1497</v>
      </c>
    </row>
    <row r="684" spans="1:5" ht="27" x14ac:dyDescent="0.25">
      <c r="A684" s="508">
        <v>5934</v>
      </c>
      <c r="B684" s="509" t="s">
        <v>327</v>
      </c>
      <c r="C684" s="508" t="s">
        <v>169</v>
      </c>
      <c r="D684" s="508">
        <v>100.77</v>
      </c>
      <c r="E684" s="461" t="s">
        <v>1497</v>
      </c>
    </row>
    <row r="685" spans="1:5" ht="27" x14ac:dyDescent="0.25">
      <c r="A685" s="508">
        <v>5942</v>
      </c>
      <c r="B685" s="509" t="s">
        <v>328</v>
      </c>
      <c r="C685" s="508" t="s">
        <v>169</v>
      </c>
      <c r="D685" s="508">
        <v>69.08</v>
      </c>
      <c r="E685" s="461" t="s">
        <v>1497</v>
      </c>
    </row>
    <row r="686" spans="1:5" ht="27" x14ac:dyDescent="0.25">
      <c r="A686" s="508">
        <v>5946</v>
      </c>
      <c r="B686" s="509" t="s">
        <v>329</v>
      </c>
      <c r="C686" s="508" t="s">
        <v>169</v>
      </c>
      <c r="D686" s="508">
        <v>85.85</v>
      </c>
      <c r="E686" s="461" t="s">
        <v>1497</v>
      </c>
    </row>
    <row r="687" spans="1:5" ht="27" x14ac:dyDescent="0.25">
      <c r="A687" s="508">
        <v>5952</v>
      </c>
      <c r="B687" s="509" t="s">
        <v>330</v>
      </c>
      <c r="C687" s="508" t="s">
        <v>169</v>
      </c>
      <c r="D687" s="508">
        <v>27.71</v>
      </c>
      <c r="E687" s="461" t="s">
        <v>1497</v>
      </c>
    </row>
    <row r="688" spans="1:5" ht="27" x14ac:dyDescent="0.25">
      <c r="A688" s="508">
        <v>5954</v>
      </c>
      <c r="B688" s="509" t="s">
        <v>331</v>
      </c>
      <c r="C688" s="508" t="s">
        <v>169</v>
      </c>
      <c r="D688" s="508">
        <v>6.35</v>
      </c>
      <c r="E688" s="461" t="s">
        <v>1497</v>
      </c>
    </row>
    <row r="689" spans="1:5" ht="40.5" x14ac:dyDescent="0.25">
      <c r="A689" s="508">
        <v>5961</v>
      </c>
      <c r="B689" s="509" t="s">
        <v>332</v>
      </c>
      <c r="C689" s="508" t="s">
        <v>169</v>
      </c>
      <c r="D689" s="508">
        <v>63.22</v>
      </c>
      <c r="E689" s="461" t="s">
        <v>1497</v>
      </c>
    </row>
    <row r="690" spans="1:5" ht="40.5" x14ac:dyDescent="0.25">
      <c r="A690" s="508">
        <v>6260</v>
      </c>
      <c r="B690" s="509" t="s">
        <v>333</v>
      </c>
      <c r="C690" s="508" t="s">
        <v>169</v>
      </c>
      <c r="D690" s="508">
        <v>60.78</v>
      </c>
      <c r="E690" s="461" t="s">
        <v>1497</v>
      </c>
    </row>
    <row r="691" spans="1:5" ht="27" x14ac:dyDescent="0.25">
      <c r="A691" s="508">
        <v>6880</v>
      </c>
      <c r="B691" s="509" t="s">
        <v>334</v>
      </c>
      <c r="C691" s="508" t="s">
        <v>169</v>
      </c>
      <c r="D691" s="508">
        <v>87.36</v>
      </c>
      <c r="E691" s="461" t="s">
        <v>1497</v>
      </c>
    </row>
    <row r="692" spans="1:5" ht="27" x14ac:dyDescent="0.25">
      <c r="A692" s="508">
        <v>7031</v>
      </c>
      <c r="B692" s="509" t="s">
        <v>4994</v>
      </c>
      <c r="C692" s="508" t="s">
        <v>169</v>
      </c>
      <c r="D692" s="508">
        <v>5.86</v>
      </c>
      <c r="E692" s="461" t="s">
        <v>1497</v>
      </c>
    </row>
    <row r="693" spans="1:5" ht="40.5" x14ac:dyDescent="0.25">
      <c r="A693" s="508">
        <v>7043</v>
      </c>
      <c r="B693" s="509" t="s">
        <v>335</v>
      </c>
      <c r="C693" s="508" t="s">
        <v>169</v>
      </c>
      <c r="D693" s="508">
        <v>0.45</v>
      </c>
      <c r="E693" s="461" t="s">
        <v>1497</v>
      </c>
    </row>
    <row r="694" spans="1:5" ht="40.5" x14ac:dyDescent="0.25">
      <c r="A694" s="508">
        <v>7050</v>
      </c>
      <c r="B694" s="509" t="s">
        <v>336</v>
      </c>
      <c r="C694" s="508" t="s">
        <v>169</v>
      </c>
      <c r="D694" s="508">
        <v>80.47</v>
      </c>
      <c r="E694" s="461" t="s">
        <v>1497</v>
      </c>
    </row>
    <row r="695" spans="1:5" ht="40.5" x14ac:dyDescent="0.25">
      <c r="A695" s="508">
        <v>67827</v>
      </c>
      <c r="B695" s="509" t="s">
        <v>337</v>
      </c>
      <c r="C695" s="508" t="s">
        <v>169</v>
      </c>
      <c r="D695" s="508">
        <v>64.430000000000007</v>
      </c>
      <c r="E695" s="461" t="s">
        <v>1497</v>
      </c>
    </row>
    <row r="696" spans="1:5" ht="15" x14ac:dyDescent="0.25">
      <c r="A696" s="508">
        <v>73395</v>
      </c>
      <c r="B696" s="509" t="s">
        <v>338</v>
      </c>
      <c r="C696" s="508" t="s">
        <v>169</v>
      </c>
      <c r="D696" s="508">
        <v>9.67</v>
      </c>
      <c r="E696" s="461" t="s">
        <v>1497</v>
      </c>
    </row>
    <row r="697" spans="1:5" ht="27" x14ac:dyDescent="0.25">
      <c r="A697" s="508">
        <v>83766</v>
      </c>
      <c r="B697" s="509" t="s">
        <v>339</v>
      </c>
      <c r="C697" s="508" t="s">
        <v>169</v>
      </c>
      <c r="D697" s="508">
        <v>44.68</v>
      </c>
      <c r="E697" s="461" t="s">
        <v>1497</v>
      </c>
    </row>
    <row r="698" spans="1:5" ht="27" x14ac:dyDescent="0.25">
      <c r="A698" s="508">
        <v>84013</v>
      </c>
      <c r="B698" s="509" t="s">
        <v>340</v>
      </c>
      <c r="C698" s="508" t="s">
        <v>169</v>
      </c>
      <c r="D698" s="508">
        <v>84.36</v>
      </c>
      <c r="E698" s="461" t="s">
        <v>1497</v>
      </c>
    </row>
    <row r="699" spans="1:5" ht="27" x14ac:dyDescent="0.25">
      <c r="A699" s="508">
        <v>87446</v>
      </c>
      <c r="B699" s="509" t="s">
        <v>4995</v>
      </c>
      <c r="C699" s="508" t="s">
        <v>169</v>
      </c>
      <c r="D699" s="508">
        <v>0.54</v>
      </c>
      <c r="E699" s="461" t="s">
        <v>1497</v>
      </c>
    </row>
    <row r="700" spans="1:5" ht="27" x14ac:dyDescent="0.25">
      <c r="A700" s="508">
        <v>88392</v>
      </c>
      <c r="B700" s="509" t="s">
        <v>4996</v>
      </c>
      <c r="C700" s="508" t="s">
        <v>169</v>
      </c>
      <c r="D700" s="508">
        <v>1.07</v>
      </c>
      <c r="E700" s="461" t="s">
        <v>1497</v>
      </c>
    </row>
    <row r="701" spans="1:5" ht="27" x14ac:dyDescent="0.25">
      <c r="A701" s="508">
        <v>88398</v>
      </c>
      <c r="B701" s="509" t="s">
        <v>4997</v>
      </c>
      <c r="C701" s="508" t="s">
        <v>169</v>
      </c>
      <c r="D701" s="508">
        <v>1.27</v>
      </c>
      <c r="E701" s="461" t="s">
        <v>1497</v>
      </c>
    </row>
    <row r="702" spans="1:5" ht="27" x14ac:dyDescent="0.25">
      <c r="A702" s="508">
        <v>88404</v>
      </c>
      <c r="B702" s="509" t="s">
        <v>4998</v>
      </c>
      <c r="C702" s="508" t="s">
        <v>169</v>
      </c>
      <c r="D702" s="508">
        <v>1.01</v>
      </c>
      <c r="E702" s="461" t="s">
        <v>1497</v>
      </c>
    </row>
    <row r="703" spans="1:5" ht="27" x14ac:dyDescent="0.25">
      <c r="A703" s="508">
        <v>88430</v>
      </c>
      <c r="B703" s="509" t="s">
        <v>341</v>
      </c>
      <c r="C703" s="508" t="s">
        <v>169</v>
      </c>
      <c r="D703" s="508">
        <v>6.94</v>
      </c>
      <c r="E703" s="461" t="s">
        <v>1497</v>
      </c>
    </row>
    <row r="704" spans="1:5" ht="27" x14ac:dyDescent="0.25">
      <c r="A704" s="508">
        <v>88438</v>
      </c>
      <c r="B704" s="509" t="s">
        <v>342</v>
      </c>
      <c r="C704" s="508" t="s">
        <v>169</v>
      </c>
      <c r="D704" s="508">
        <v>9.2100000000000009</v>
      </c>
      <c r="E704" s="461" t="s">
        <v>1497</v>
      </c>
    </row>
    <row r="705" spans="1:5" ht="27" x14ac:dyDescent="0.25">
      <c r="A705" s="508">
        <v>88831</v>
      </c>
      <c r="B705" s="509" t="s">
        <v>4999</v>
      </c>
      <c r="C705" s="508" t="s">
        <v>169</v>
      </c>
      <c r="D705" s="508">
        <v>0.4</v>
      </c>
      <c r="E705" s="461" t="s">
        <v>1497</v>
      </c>
    </row>
    <row r="706" spans="1:5" ht="27" x14ac:dyDescent="0.25">
      <c r="A706" s="508">
        <v>88844</v>
      </c>
      <c r="B706" s="509" t="s">
        <v>343</v>
      </c>
      <c r="C706" s="508" t="s">
        <v>169</v>
      </c>
      <c r="D706" s="508">
        <v>73.150000000000006</v>
      </c>
      <c r="E706" s="461" t="s">
        <v>1497</v>
      </c>
    </row>
    <row r="707" spans="1:5" ht="27" x14ac:dyDescent="0.25">
      <c r="A707" s="508">
        <v>88908</v>
      </c>
      <c r="B707" s="509" t="s">
        <v>344</v>
      </c>
      <c r="C707" s="508" t="s">
        <v>169</v>
      </c>
      <c r="D707" s="508">
        <v>93.45</v>
      </c>
      <c r="E707" s="461" t="s">
        <v>1497</v>
      </c>
    </row>
    <row r="708" spans="1:5" ht="40.5" x14ac:dyDescent="0.25">
      <c r="A708" s="508">
        <v>89022</v>
      </c>
      <c r="B708" s="509" t="s">
        <v>5000</v>
      </c>
      <c r="C708" s="508" t="s">
        <v>169</v>
      </c>
      <c r="D708" s="508">
        <v>0.49</v>
      </c>
      <c r="E708" s="461" t="s">
        <v>1497</v>
      </c>
    </row>
    <row r="709" spans="1:5" ht="27" x14ac:dyDescent="0.25">
      <c r="A709" s="508">
        <v>89027</v>
      </c>
      <c r="B709" s="509" t="s">
        <v>5001</v>
      </c>
      <c r="C709" s="508" t="s">
        <v>169</v>
      </c>
      <c r="D709" s="508">
        <v>4.76</v>
      </c>
      <c r="E709" s="461" t="s">
        <v>1497</v>
      </c>
    </row>
    <row r="710" spans="1:5" ht="27" x14ac:dyDescent="0.25">
      <c r="A710" s="508">
        <v>89031</v>
      </c>
      <c r="B710" s="509" t="s">
        <v>345</v>
      </c>
      <c r="C710" s="508" t="s">
        <v>169</v>
      </c>
      <c r="D710" s="508">
        <v>71.040000000000006</v>
      </c>
      <c r="E710" s="461" t="s">
        <v>1497</v>
      </c>
    </row>
    <row r="711" spans="1:5" ht="27" x14ac:dyDescent="0.25">
      <c r="A711" s="508">
        <v>89036</v>
      </c>
      <c r="B711" s="509" t="s">
        <v>346</v>
      </c>
      <c r="C711" s="508" t="s">
        <v>169</v>
      </c>
      <c r="D711" s="508">
        <v>42.54</v>
      </c>
      <c r="E711" s="461" t="s">
        <v>1497</v>
      </c>
    </row>
    <row r="712" spans="1:5" ht="27" x14ac:dyDescent="0.25">
      <c r="A712" s="508">
        <v>89218</v>
      </c>
      <c r="B712" s="509" t="s">
        <v>347</v>
      </c>
      <c r="C712" s="508" t="s">
        <v>169</v>
      </c>
      <c r="D712" s="508">
        <v>92.29</v>
      </c>
      <c r="E712" s="461" t="s">
        <v>1497</v>
      </c>
    </row>
    <row r="713" spans="1:5" ht="27" x14ac:dyDescent="0.25">
      <c r="A713" s="508">
        <v>89226</v>
      </c>
      <c r="B713" s="509" t="s">
        <v>5002</v>
      </c>
      <c r="C713" s="508" t="s">
        <v>169</v>
      </c>
      <c r="D713" s="508">
        <v>1.64</v>
      </c>
      <c r="E713" s="461" t="s">
        <v>1497</v>
      </c>
    </row>
    <row r="714" spans="1:5" ht="27" x14ac:dyDescent="0.25">
      <c r="A714" s="508">
        <v>89235</v>
      </c>
      <c r="B714" s="509" t="s">
        <v>348</v>
      </c>
      <c r="C714" s="508" t="s">
        <v>169</v>
      </c>
      <c r="D714" s="508">
        <v>169.82</v>
      </c>
      <c r="E714" s="461" t="s">
        <v>1497</v>
      </c>
    </row>
    <row r="715" spans="1:5" ht="27" x14ac:dyDescent="0.25">
      <c r="A715" s="508">
        <v>89243</v>
      </c>
      <c r="B715" s="509" t="s">
        <v>349</v>
      </c>
      <c r="C715" s="508" t="s">
        <v>169</v>
      </c>
      <c r="D715" s="508">
        <v>362.34</v>
      </c>
      <c r="E715" s="461" t="s">
        <v>1497</v>
      </c>
    </row>
    <row r="716" spans="1:5" ht="27" x14ac:dyDescent="0.25">
      <c r="A716" s="508">
        <v>89251</v>
      </c>
      <c r="B716" s="509" t="s">
        <v>350</v>
      </c>
      <c r="C716" s="508" t="s">
        <v>169</v>
      </c>
      <c r="D716" s="508">
        <v>318.23</v>
      </c>
      <c r="E716" s="461" t="s">
        <v>1497</v>
      </c>
    </row>
    <row r="717" spans="1:5" ht="27" x14ac:dyDescent="0.25">
      <c r="A717" s="508">
        <v>89258</v>
      </c>
      <c r="B717" s="509" t="s">
        <v>351</v>
      </c>
      <c r="C717" s="508" t="s">
        <v>169</v>
      </c>
      <c r="D717" s="508">
        <v>113.37</v>
      </c>
      <c r="E717" s="461" t="s">
        <v>1497</v>
      </c>
    </row>
    <row r="718" spans="1:5" ht="27" x14ac:dyDescent="0.25">
      <c r="A718" s="508">
        <v>89273</v>
      </c>
      <c r="B718" s="509" t="s">
        <v>352</v>
      </c>
      <c r="C718" s="508" t="s">
        <v>169</v>
      </c>
      <c r="D718" s="508">
        <v>101.11</v>
      </c>
      <c r="E718" s="461" t="s">
        <v>1497</v>
      </c>
    </row>
    <row r="719" spans="1:5" ht="27" x14ac:dyDescent="0.25">
      <c r="A719" s="508">
        <v>89279</v>
      </c>
      <c r="B719" s="509" t="s">
        <v>5003</v>
      </c>
      <c r="C719" s="508" t="s">
        <v>169</v>
      </c>
      <c r="D719" s="508">
        <v>1.99</v>
      </c>
      <c r="E719" s="461" t="s">
        <v>1497</v>
      </c>
    </row>
    <row r="720" spans="1:5" ht="40.5" x14ac:dyDescent="0.25">
      <c r="A720" s="508">
        <v>89877</v>
      </c>
      <c r="B720" s="509" t="s">
        <v>353</v>
      </c>
      <c r="C720" s="508" t="s">
        <v>169</v>
      </c>
      <c r="D720" s="508">
        <v>86.62</v>
      </c>
      <c r="E720" s="461" t="s">
        <v>1497</v>
      </c>
    </row>
    <row r="721" spans="1:5" ht="40.5" x14ac:dyDescent="0.25">
      <c r="A721" s="508">
        <v>89884</v>
      </c>
      <c r="B721" s="509" t="s">
        <v>354</v>
      </c>
      <c r="C721" s="508" t="s">
        <v>169</v>
      </c>
      <c r="D721" s="508">
        <v>90.19</v>
      </c>
      <c r="E721" s="461" t="s">
        <v>1497</v>
      </c>
    </row>
    <row r="722" spans="1:5" ht="27" x14ac:dyDescent="0.25">
      <c r="A722" s="508">
        <v>90587</v>
      </c>
      <c r="B722" s="509" t="s">
        <v>355</v>
      </c>
      <c r="C722" s="508" t="s">
        <v>169</v>
      </c>
      <c r="D722" s="508">
        <v>0.51</v>
      </c>
      <c r="E722" s="461" t="s">
        <v>1497</v>
      </c>
    </row>
    <row r="723" spans="1:5" ht="27" x14ac:dyDescent="0.25">
      <c r="A723" s="508">
        <v>90626</v>
      </c>
      <c r="B723" s="509" t="s">
        <v>356</v>
      </c>
      <c r="C723" s="508" t="s">
        <v>169</v>
      </c>
      <c r="D723" s="508">
        <v>2.65</v>
      </c>
      <c r="E723" s="461" t="s">
        <v>1497</v>
      </c>
    </row>
    <row r="724" spans="1:5" ht="27" x14ac:dyDescent="0.25">
      <c r="A724" s="508">
        <v>90632</v>
      </c>
      <c r="B724" s="509" t="s">
        <v>357</v>
      </c>
      <c r="C724" s="508" t="s">
        <v>169</v>
      </c>
      <c r="D724" s="508">
        <v>84.33</v>
      </c>
      <c r="E724" s="461" t="s">
        <v>1497</v>
      </c>
    </row>
    <row r="725" spans="1:5" ht="40.5" x14ac:dyDescent="0.25">
      <c r="A725" s="508">
        <v>90638</v>
      </c>
      <c r="B725" s="509" t="s">
        <v>358</v>
      </c>
      <c r="C725" s="508" t="s">
        <v>169</v>
      </c>
      <c r="D725" s="508">
        <v>5.34</v>
      </c>
      <c r="E725" s="461" t="s">
        <v>1497</v>
      </c>
    </row>
    <row r="726" spans="1:5" ht="27" x14ac:dyDescent="0.25">
      <c r="A726" s="508">
        <v>90644</v>
      </c>
      <c r="B726" s="509" t="s">
        <v>359</v>
      </c>
      <c r="C726" s="508" t="s">
        <v>169</v>
      </c>
      <c r="D726" s="508">
        <v>7.97</v>
      </c>
      <c r="E726" s="461" t="s">
        <v>1497</v>
      </c>
    </row>
    <row r="727" spans="1:5" ht="27" x14ac:dyDescent="0.25">
      <c r="A727" s="508">
        <v>90651</v>
      </c>
      <c r="B727" s="509" t="s">
        <v>360</v>
      </c>
      <c r="C727" s="508" t="s">
        <v>169</v>
      </c>
      <c r="D727" s="508">
        <v>1.31</v>
      </c>
      <c r="E727" s="461" t="s">
        <v>1497</v>
      </c>
    </row>
    <row r="728" spans="1:5" ht="27" x14ac:dyDescent="0.25">
      <c r="A728" s="508">
        <v>90657</v>
      </c>
      <c r="B728" s="509" t="s">
        <v>361</v>
      </c>
      <c r="C728" s="508" t="s">
        <v>169</v>
      </c>
      <c r="D728" s="508">
        <v>5.19</v>
      </c>
      <c r="E728" s="461" t="s">
        <v>1497</v>
      </c>
    </row>
    <row r="729" spans="1:5" ht="27" x14ac:dyDescent="0.25">
      <c r="A729" s="508">
        <v>90663</v>
      </c>
      <c r="B729" s="509" t="s">
        <v>362</v>
      </c>
      <c r="C729" s="508" t="s">
        <v>169</v>
      </c>
      <c r="D729" s="508">
        <v>5.56</v>
      </c>
      <c r="E729" s="461" t="s">
        <v>1497</v>
      </c>
    </row>
    <row r="730" spans="1:5" ht="40.5" x14ac:dyDescent="0.25">
      <c r="A730" s="508">
        <v>90669</v>
      </c>
      <c r="B730" s="509" t="s">
        <v>5004</v>
      </c>
      <c r="C730" s="508" t="s">
        <v>169</v>
      </c>
      <c r="D730" s="508">
        <v>8.5299999999999994</v>
      </c>
      <c r="E730" s="461" t="s">
        <v>1497</v>
      </c>
    </row>
    <row r="731" spans="1:5" ht="40.5" x14ac:dyDescent="0.25">
      <c r="A731" s="508">
        <v>90675</v>
      </c>
      <c r="B731" s="509" t="s">
        <v>363</v>
      </c>
      <c r="C731" s="508" t="s">
        <v>169</v>
      </c>
      <c r="D731" s="508">
        <v>294.5</v>
      </c>
      <c r="E731" s="461" t="s">
        <v>1497</v>
      </c>
    </row>
    <row r="732" spans="1:5" ht="40.5" x14ac:dyDescent="0.25">
      <c r="A732" s="508">
        <v>90681</v>
      </c>
      <c r="B732" s="509" t="s">
        <v>364</v>
      </c>
      <c r="C732" s="508" t="s">
        <v>169</v>
      </c>
      <c r="D732" s="508">
        <v>173.24</v>
      </c>
      <c r="E732" s="461" t="s">
        <v>1497</v>
      </c>
    </row>
    <row r="733" spans="1:5" ht="27" x14ac:dyDescent="0.25">
      <c r="A733" s="508">
        <v>90687</v>
      </c>
      <c r="B733" s="509" t="s">
        <v>5005</v>
      </c>
      <c r="C733" s="508" t="s">
        <v>169</v>
      </c>
      <c r="D733" s="508">
        <v>64.239999999999995</v>
      </c>
      <c r="E733" s="461" t="s">
        <v>1497</v>
      </c>
    </row>
    <row r="734" spans="1:5" ht="27" x14ac:dyDescent="0.25">
      <c r="A734" s="508">
        <v>90693</v>
      </c>
      <c r="B734" s="509" t="s">
        <v>365</v>
      </c>
      <c r="C734" s="508" t="s">
        <v>169</v>
      </c>
      <c r="D734" s="508">
        <v>57.52</v>
      </c>
      <c r="E734" s="461" t="s">
        <v>1497</v>
      </c>
    </row>
    <row r="735" spans="1:5" ht="27" x14ac:dyDescent="0.25">
      <c r="A735" s="508">
        <v>90965</v>
      </c>
      <c r="B735" s="509" t="s">
        <v>366</v>
      </c>
      <c r="C735" s="508" t="s">
        <v>169</v>
      </c>
      <c r="D735" s="508">
        <v>8.49</v>
      </c>
      <c r="E735" s="461" t="s">
        <v>1497</v>
      </c>
    </row>
    <row r="736" spans="1:5" ht="27" x14ac:dyDescent="0.25">
      <c r="A736" s="508">
        <v>90973</v>
      </c>
      <c r="B736" s="509" t="s">
        <v>367</v>
      </c>
      <c r="C736" s="508" t="s">
        <v>169</v>
      </c>
      <c r="D736" s="508">
        <v>8.52</v>
      </c>
      <c r="E736" s="461" t="s">
        <v>1497</v>
      </c>
    </row>
    <row r="737" spans="1:5" ht="27" x14ac:dyDescent="0.25">
      <c r="A737" s="508">
        <v>90982</v>
      </c>
      <c r="B737" s="509" t="s">
        <v>368</v>
      </c>
      <c r="C737" s="508" t="s">
        <v>169</v>
      </c>
      <c r="D737" s="508">
        <v>21.63</v>
      </c>
      <c r="E737" s="461" t="s">
        <v>1497</v>
      </c>
    </row>
    <row r="738" spans="1:5" ht="27" x14ac:dyDescent="0.25">
      <c r="A738" s="508">
        <v>91001</v>
      </c>
      <c r="B738" s="509" t="s">
        <v>369</v>
      </c>
      <c r="C738" s="508" t="s">
        <v>169</v>
      </c>
      <c r="D738" s="508">
        <v>10.1</v>
      </c>
      <c r="E738" s="461" t="s">
        <v>1497</v>
      </c>
    </row>
    <row r="739" spans="1:5" ht="40.5" x14ac:dyDescent="0.25">
      <c r="A739" s="508">
        <v>91032</v>
      </c>
      <c r="B739" s="509" t="s">
        <v>370</v>
      </c>
      <c r="C739" s="508" t="s">
        <v>169</v>
      </c>
      <c r="D739" s="508">
        <v>67.180000000000007</v>
      </c>
      <c r="E739" s="461" t="s">
        <v>1497</v>
      </c>
    </row>
    <row r="740" spans="1:5" ht="27" x14ac:dyDescent="0.25">
      <c r="A740" s="508">
        <v>91278</v>
      </c>
      <c r="B740" s="509" t="s">
        <v>177</v>
      </c>
      <c r="C740" s="508" t="s">
        <v>169</v>
      </c>
      <c r="D740" s="508">
        <v>0.68</v>
      </c>
      <c r="E740" s="461" t="s">
        <v>1497</v>
      </c>
    </row>
    <row r="741" spans="1:5" ht="40.5" x14ac:dyDescent="0.25">
      <c r="A741" s="508">
        <v>91285</v>
      </c>
      <c r="B741" s="509" t="s">
        <v>371</v>
      </c>
      <c r="C741" s="508" t="s">
        <v>169</v>
      </c>
      <c r="D741" s="508">
        <v>1.1200000000000001</v>
      </c>
      <c r="E741" s="461" t="s">
        <v>1497</v>
      </c>
    </row>
    <row r="742" spans="1:5" ht="40.5" x14ac:dyDescent="0.25">
      <c r="A742" s="508">
        <v>91387</v>
      </c>
      <c r="B742" s="509" t="s">
        <v>372</v>
      </c>
      <c r="C742" s="508" t="s">
        <v>169</v>
      </c>
      <c r="D742" s="508">
        <v>73.86</v>
      </c>
      <c r="E742" s="461" t="s">
        <v>1497</v>
      </c>
    </row>
    <row r="743" spans="1:5" ht="40.5" x14ac:dyDescent="0.25">
      <c r="A743" s="508">
        <v>91395</v>
      </c>
      <c r="B743" s="509" t="s">
        <v>373</v>
      </c>
      <c r="C743" s="508" t="s">
        <v>169</v>
      </c>
      <c r="D743" s="508">
        <v>58.49</v>
      </c>
      <c r="E743" s="461" t="s">
        <v>1497</v>
      </c>
    </row>
    <row r="744" spans="1:5" ht="40.5" x14ac:dyDescent="0.25">
      <c r="A744" s="508">
        <v>91486</v>
      </c>
      <c r="B744" s="509" t="s">
        <v>5006</v>
      </c>
      <c r="C744" s="508" t="s">
        <v>169</v>
      </c>
      <c r="D744" s="508">
        <v>69.03</v>
      </c>
      <c r="E744" s="461" t="s">
        <v>1497</v>
      </c>
    </row>
    <row r="745" spans="1:5" ht="27" x14ac:dyDescent="0.25">
      <c r="A745" s="508">
        <v>91534</v>
      </c>
      <c r="B745" s="509" t="s">
        <v>374</v>
      </c>
      <c r="C745" s="508" t="s">
        <v>169</v>
      </c>
      <c r="D745" s="508">
        <v>26.79</v>
      </c>
      <c r="E745" s="461" t="s">
        <v>1497</v>
      </c>
    </row>
    <row r="746" spans="1:5" ht="40.5" x14ac:dyDescent="0.25">
      <c r="A746" s="508">
        <v>91635</v>
      </c>
      <c r="B746" s="509" t="s">
        <v>375</v>
      </c>
      <c r="C746" s="508" t="s">
        <v>169</v>
      </c>
      <c r="D746" s="508">
        <v>62.79</v>
      </c>
      <c r="E746" s="461" t="s">
        <v>1497</v>
      </c>
    </row>
    <row r="747" spans="1:5" ht="40.5" x14ac:dyDescent="0.25">
      <c r="A747" s="508">
        <v>91646</v>
      </c>
      <c r="B747" s="509" t="s">
        <v>376</v>
      </c>
      <c r="C747" s="508" t="s">
        <v>169</v>
      </c>
      <c r="D747" s="508">
        <v>96.65</v>
      </c>
      <c r="E747" s="461" t="s">
        <v>1497</v>
      </c>
    </row>
    <row r="748" spans="1:5" ht="27" x14ac:dyDescent="0.25">
      <c r="A748" s="508">
        <v>91693</v>
      </c>
      <c r="B748" s="509" t="s">
        <v>377</v>
      </c>
      <c r="C748" s="508" t="s">
        <v>169</v>
      </c>
      <c r="D748" s="508">
        <v>25.91</v>
      </c>
      <c r="E748" s="461" t="s">
        <v>1497</v>
      </c>
    </row>
    <row r="749" spans="1:5" ht="27" x14ac:dyDescent="0.25">
      <c r="A749" s="508">
        <v>92044</v>
      </c>
      <c r="B749" s="509" t="s">
        <v>378</v>
      </c>
      <c r="C749" s="508" t="s">
        <v>169</v>
      </c>
      <c r="D749" s="508">
        <v>7.8</v>
      </c>
      <c r="E749" s="461" t="s">
        <v>1497</v>
      </c>
    </row>
    <row r="750" spans="1:5" ht="40.5" x14ac:dyDescent="0.25">
      <c r="A750" s="508">
        <v>92107</v>
      </c>
      <c r="B750" s="509" t="s">
        <v>5007</v>
      </c>
      <c r="C750" s="508" t="s">
        <v>169</v>
      </c>
      <c r="D750" s="508">
        <v>93.82</v>
      </c>
      <c r="E750" s="461" t="s">
        <v>1497</v>
      </c>
    </row>
    <row r="751" spans="1:5" ht="27" x14ac:dyDescent="0.25">
      <c r="A751" s="508">
        <v>92113</v>
      </c>
      <c r="B751" s="509" t="s">
        <v>5008</v>
      </c>
      <c r="C751" s="508" t="s">
        <v>169</v>
      </c>
      <c r="D751" s="508">
        <v>1.18</v>
      </c>
      <c r="E751" s="461" t="s">
        <v>1497</v>
      </c>
    </row>
    <row r="752" spans="1:5" ht="15" x14ac:dyDescent="0.25">
      <c r="A752" s="508">
        <v>92119</v>
      </c>
      <c r="B752" s="509" t="s">
        <v>5009</v>
      </c>
      <c r="C752" s="508" t="s">
        <v>169</v>
      </c>
      <c r="D752" s="508">
        <v>0.3</v>
      </c>
      <c r="E752" s="461" t="s">
        <v>1497</v>
      </c>
    </row>
    <row r="753" spans="1:5" ht="27" x14ac:dyDescent="0.25">
      <c r="A753" s="508">
        <v>92139</v>
      </c>
      <c r="B753" s="509" t="s">
        <v>379</v>
      </c>
      <c r="C753" s="508" t="s">
        <v>169</v>
      </c>
      <c r="D753" s="508">
        <v>45.04</v>
      </c>
      <c r="E753" s="461" t="s">
        <v>1497</v>
      </c>
    </row>
    <row r="754" spans="1:5" ht="27" x14ac:dyDescent="0.25">
      <c r="A754" s="508">
        <v>92146</v>
      </c>
      <c r="B754" s="509" t="s">
        <v>380</v>
      </c>
      <c r="C754" s="508" t="s">
        <v>169</v>
      </c>
      <c r="D754" s="508">
        <v>33.26</v>
      </c>
      <c r="E754" s="461" t="s">
        <v>1497</v>
      </c>
    </row>
    <row r="755" spans="1:5" ht="40.5" x14ac:dyDescent="0.25">
      <c r="A755" s="508">
        <v>92243</v>
      </c>
      <c r="B755" s="509" t="s">
        <v>381</v>
      </c>
      <c r="C755" s="508" t="s">
        <v>169</v>
      </c>
      <c r="D755" s="508">
        <v>79.53</v>
      </c>
      <c r="E755" s="461" t="s">
        <v>1497</v>
      </c>
    </row>
    <row r="756" spans="1:5" ht="27" x14ac:dyDescent="0.25">
      <c r="A756" s="508">
        <v>92717</v>
      </c>
      <c r="B756" s="509" t="s">
        <v>5010</v>
      </c>
      <c r="C756" s="508" t="s">
        <v>169</v>
      </c>
      <c r="D756" s="508">
        <v>0.17</v>
      </c>
      <c r="E756" s="461" t="s">
        <v>1497</v>
      </c>
    </row>
    <row r="757" spans="1:5" ht="27" x14ac:dyDescent="0.25">
      <c r="A757" s="508">
        <v>92961</v>
      </c>
      <c r="B757" s="509" t="s">
        <v>382</v>
      </c>
      <c r="C757" s="508" t="s">
        <v>169</v>
      </c>
      <c r="D757" s="508">
        <v>5.29</v>
      </c>
      <c r="E757" s="461" t="s">
        <v>1497</v>
      </c>
    </row>
    <row r="758" spans="1:5" ht="27" x14ac:dyDescent="0.25">
      <c r="A758" s="508">
        <v>92967</v>
      </c>
      <c r="B758" s="509" t="s">
        <v>383</v>
      </c>
      <c r="C758" s="508" t="s">
        <v>169</v>
      </c>
      <c r="D758" s="508">
        <v>27.76</v>
      </c>
      <c r="E758" s="461" t="s">
        <v>1497</v>
      </c>
    </row>
    <row r="759" spans="1:5" ht="40.5" x14ac:dyDescent="0.25">
      <c r="A759" s="508">
        <v>93225</v>
      </c>
      <c r="B759" s="509" t="s">
        <v>384</v>
      </c>
      <c r="C759" s="508" t="s">
        <v>169</v>
      </c>
      <c r="D759" s="508">
        <v>443.64</v>
      </c>
      <c r="E759" s="461" t="s">
        <v>1497</v>
      </c>
    </row>
    <row r="760" spans="1:5" ht="27" x14ac:dyDescent="0.25">
      <c r="A760" s="508">
        <v>93234</v>
      </c>
      <c r="B760" s="509" t="s">
        <v>385</v>
      </c>
      <c r="C760" s="508" t="s">
        <v>169</v>
      </c>
      <c r="D760" s="508">
        <v>0.53</v>
      </c>
      <c r="E760" s="461" t="s">
        <v>1497</v>
      </c>
    </row>
    <row r="761" spans="1:5" ht="40.5" x14ac:dyDescent="0.25">
      <c r="A761" s="508">
        <v>93244</v>
      </c>
      <c r="B761" s="509" t="s">
        <v>386</v>
      </c>
      <c r="C761" s="508" t="s">
        <v>169</v>
      </c>
      <c r="D761" s="508">
        <v>66.78</v>
      </c>
      <c r="E761" s="461" t="s">
        <v>1497</v>
      </c>
    </row>
    <row r="762" spans="1:5" ht="27" x14ac:dyDescent="0.25">
      <c r="A762" s="508">
        <v>93274</v>
      </c>
      <c r="B762" s="509" t="s">
        <v>5011</v>
      </c>
      <c r="C762" s="508" t="s">
        <v>169</v>
      </c>
      <c r="D762" s="508">
        <v>64.37</v>
      </c>
      <c r="E762" s="461" t="s">
        <v>1497</v>
      </c>
    </row>
    <row r="763" spans="1:5" ht="27" x14ac:dyDescent="0.25">
      <c r="A763" s="508">
        <v>93282</v>
      </c>
      <c r="B763" s="509" t="s">
        <v>171</v>
      </c>
      <c r="C763" s="508" t="s">
        <v>169</v>
      </c>
      <c r="D763" s="508">
        <v>26.23</v>
      </c>
      <c r="E763" s="461" t="s">
        <v>1497</v>
      </c>
    </row>
    <row r="764" spans="1:5" ht="27" x14ac:dyDescent="0.25">
      <c r="A764" s="508">
        <v>93288</v>
      </c>
      <c r="B764" s="509" t="s">
        <v>168</v>
      </c>
      <c r="C764" s="508" t="s">
        <v>169</v>
      </c>
      <c r="D764" s="508">
        <v>170.56</v>
      </c>
      <c r="E764" s="461" t="s">
        <v>1497</v>
      </c>
    </row>
    <row r="765" spans="1:5" ht="40.5" x14ac:dyDescent="0.25">
      <c r="A765" s="508">
        <v>93403</v>
      </c>
      <c r="B765" s="509" t="s">
        <v>387</v>
      </c>
      <c r="C765" s="508" t="s">
        <v>169</v>
      </c>
      <c r="D765" s="508">
        <v>68.12</v>
      </c>
      <c r="E765" s="461" t="s">
        <v>1497</v>
      </c>
    </row>
    <row r="766" spans="1:5" ht="40.5" x14ac:dyDescent="0.25">
      <c r="A766" s="508">
        <v>93409</v>
      </c>
      <c r="B766" s="509" t="s">
        <v>5012</v>
      </c>
      <c r="C766" s="508" t="s">
        <v>169</v>
      </c>
      <c r="D766" s="508">
        <v>32.479999999999997</v>
      </c>
      <c r="E766" s="461" t="s">
        <v>1497</v>
      </c>
    </row>
    <row r="767" spans="1:5" ht="27" x14ac:dyDescent="0.25">
      <c r="A767" s="508">
        <v>93416</v>
      </c>
      <c r="B767" s="509" t="s">
        <v>388</v>
      </c>
      <c r="C767" s="508" t="s">
        <v>169</v>
      </c>
      <c r="D767" s="508">
        <v>0.46</v>
      </c>
      <c r="E767" s="461" t="s">
        <v>1497</v>
      </c>
    </row>
    <row r="768" spans="1:5" ht="15" x14ac:dyDescent="0.25">
      <c r="A768" s="508">
        <v>93422</v>
      </c>
      <c r="B768" s="509" t="s">
        <v>389</v>
      </c>
      <c r="C768" s="508" t="s">
        <v>169</v>
      </c>
      <c r="D768" s="508">
        <v>6.07</v>
      </c>
      <c r="E768" s="461" t="s">
        <v>1497</v>
      </c>
    </row>
    <row r="769" spans="1:5" ht="15" x14ac:dyDescent="0.25">
      <c r="A769" s="508">
        <v>93428</v>
      </c>
      <c r="B769" s="509" t="s">
        <v>390</v>
      </c>
      <c r="C769" s="508" t="s">
        <v>169</v>
      </c>
      <c r="D769" s="508">
        <v>8.6</v>
      </c>
      <c r="E769" s="461" t="s">
        <v>1497</v>
      </c>
    </row>
    <row r="770" spans="1:5" ht="27" x14ac:dyDescent="0.25">
      <c r="A770" s="508">
        <v>93434</v>
      </c>
      <c r="B770" s="509" t="s">
        <v>5013</v>
      </c>
      <c r="C770" s="508" t="s">
        <v>169</v>
      </c>
      <c r="D770" s="508">
        <v>357.23</v>
      </c>
      <c r="E770" s="461" t="s">
        <v>1497</v>
      </c>
    </row>
    <row r="771" spans="1:5" ht="27" x14ac:dyDescent="0.25">
      <c r="A771" s="508">
        <v>93440</v>
      </c>
      <c r="B771" s="509" t="s">
        <v>5014</v>
      </c>
      <c r="C771" s="508" t="s">
        <v>169</v>
      </c>
      <c r="D771" s="508">
        <v>147.26</v>
      </c>
      <c r="E771" s="461" t="s">
        <v>1497</v>
      </c>
    </row>
    <row r="772" spans="1:5" ht="27" x14ac:dyDescent="0.25">
      <c r="A772" s="508">
        <v>95122</v>
      </c>
      <c r="B772" s="509" t="s">
        <v>391</v>
      </c>
      <c r="C772" s="508" t="s">
        <v>169</v>
      </c>
      <c r="D772" s="508">
        <v>238.38</v>
      </c>
      <c r="E772" s="461" t="s">
        <v>1497</v>
      </c>
    </row>
    <row r="773" spans="1:5" ht="27" x14ac:dyDescent="0.25">
      <c r="A773" s="508">
        <v>95128</v>
      </c>
      <c r="B773" s="509" t="s">
        <v>392</v>
      </c>
      <c r="C773" s="508" t="s">
        <v>169</v>
      </c>
      <c r="D773" s="508">
        <v>49.16</v>
      </c>
      <c r="E773" s="461" t="s">
        <v>1497</v>
      </c>
    </row>
    <row r="774" spans="1:5" ht="27" x14ac:dyDescent="0.25">
      <c r="A774" s="508">
        <v>95140</v>
      </c>
      <c r="B774" s="509" t="s">
        <v>393</v>
      </c>
      <c r="C774" s="508" t="s">
        <v>169</v>
      </c>
      <c r="D774" s="508">
        <v>0.04</v>
      </c>
      <c r="E774" s="461" t="s">
        <v>1497</v>
      </c>
    </row>
    <row r="775" spans="1:5" ht="27" x14ac:dyDescent="0.25">
      <c r="A775" s="508">
        <v>95213</v>
      </c>
      <c r="B775" s="509" t="s">
        <v>5015</v>
      </c>
      <c r="C775" s="508" t="s">
        <v>169</v>
      </c>
      <c r="D775" s="508">
        <v>70.540000000000006</v>
      </c>
      <c r="E775" s="461" t="s">
        <v>1497</v>
      </c>
    </row>
    <row r="776" spans="1:5" ht="15" x14ac:dyDescent="0.25">
      <c r="A776" s="508">
        <v>95259</v>
      </c>
      <c r="B776" s="509" t="s">
        <v>394</v>
      </c>
      <c r="C776" s="508" t="s">
        <v>169</v>
      </c>
      <c r="D776" s="508">
        <v>27.49</v>
      </c>
      <c r="E776" s="461" t="s">
        <v>1497</v>
      </c>
    </row>
    <row r="777" spans="1:5" ht="27" x14ac:dyDescent="0.25">
      <c r="A777" s="508">
        <v>95265</v>
      </c>
      <c r="B777" s="509" t="s">
        <v>395</v>
      </c>
      <c r="C777" s="508" t="s">
        <v>169</v>
      </c>
      <c r="D777" s="508">
        <v>0.81</v>
      </c>
      <c r="E777" s="461" t="s">
        <v>1497</v>
      </c>
    </row>
    <row r="778" spans="1:5" ht="27" x14ac:dyDescent="0.25">
      <c r="A778" s="508">
        <v>95271</v>
      </c>
      <c r="B778" s="509" t="s">
        <v>396</v>
      </c>
      <c r="C778" s="508" t="s">
        <v>169</v>
      </c>
      <c r="D778" s="508">
        <v>0.53</v>
      </c>
      <c r="E778" s="461" t="s">
        <v>1497</v>
      </c>
    </row>
    <row r="779" spans="1:5" ht="27" x14ac:dyDescent="0.25">
      <c r="A779" s="508">
        <v>95277</v>
      </c>
      <c r="B779" s="509" t="s">
        <v>5016</v>
      </c>
      <c r="C779" s="508" t="s">
        <v>169</v>
      </c>
      <c r="D779" s="508">
        <v>0.5</v>
      </c>
      <c r="E779" s="461" t="s">
        <v>1497</v>
      </c>
    </row>
    <row r="780" spans="1:5" ht="27" x14ac:dyDescent="0.25">
      <c r="A780" s="508">
        <v>95283</v>
      </c>
      <c r="B780" s="509" t="s">
        <v>5017</v>
      </c>
      <c r="C780" s="508" t="s">
        <v>169</v>
      </c>
      <c r="D780" s="508">
        <v>0.61</v>
      </c>
      <c r="E780" s="461" t="s">
        <v>1497</v>
      </c>
    </row>
    <row r="781" spans="1:5" ht="27" x14ac:dyDescent="0.25">
      <c r="A781" s="508">
        <v>95621</v>
      </c>
      <c r="B781" s="509" t="s">
        <v>397</v>
      </c>
      <c r="C781" s="508" t="s">
        <v>169</v>
      </c>
      <c r="D781" s="508">
        <v>27.17</v>
      </c>
      <c r="E781" s="461" t="s">
        <v>1497</v>
      </c>
    </row>
    <row r="782" spans="1:5" ht="27" x14ac:dyDescent="0.25">
      <c r="A782" s="508">
        <v>95632</v>
      </c>
      <c r="B782" s="509" t="s">
        <v>398</v>
      </c>
      <c r="C782" s="508" t="s">
        <v>169</v>
      </c>
      <c r="D782" s="508">
        <v>84.72</v>
      </c>
      <c r="E782" s="461" t="s">
        <v>1497</v>
      </c>
    </row>
    <row r="783" spans="1:5" ht="27" x14ac:dyDescent="0.25">
      <c r="A783" s="508">
        <v>95703</v>
      </c>
      <c r="B783" s="509" t="s">
        <v>399</v>
      </c>
      <c r="C783" s="508" t="s">
        <v>169</v>
      </c>
      <c r="D783" s="508">
        <v>31.66</v>
      </c>
      <c r="E783" s="461" t="s">
        <v>1497</v>
      </c>
    </row>
    <row r="784" spans="1:5" ht="27" x14ac:dyDescent="0.25">
      <c r="A784" s="508">
        <v>95709</v>
      </c>
      <c r="B784" s="509" t="s">
        <v>5018</v>
      </c>
      <c r="C784" s="508" t="s">
        <v>169</v>
      </c>
      <c r="D784" s="508">
        <v>81.900000000000006</v>
      </c>
      <c r="E784" s="461" t="s">
        <v>1497</v>
      </c>
    </row>
    <row r="785" spans="1:5" ht="40.5" x14ac:dyDescent="0.25">
      <c r="A785" s="508">
        <v>95715</v>
      </c>
      <c r="B785" s="509" t="s">
        <v>400</v>
      </c>
      <c r="C785" s="508" t="s">
        <v>169</v>
      </c>
      <c r="D785" s="508">
        <v>96.89</v>
      </c>
      <c r="E785" s="461" t="s">
        <v>1497</v>
      </c>
    </row>
    <row r="786" spans="1:5" ht="40.5" x14ac:dyDescent="0.25">
      <c r="A786" s="508">
        <v>95721</v>
      </c>
      <c r="B786" s="509" t="s">
        <v>401</v>
      </c>
      <c r="C786" s="508" t="s">
        <v>169</v>
      </c>
      <c r="D786" s="508">
        <v>94.39</v>
      </c>
      <c r="E786" s="461" t="s">
        <v>1497</v>
      </c>
    </row>
    <row r="787" spans="1:5" ht="27" x14ac:dyDescent="0.25">
      <c r="A787" s="508">
        <v>95873</v>
      </c>
      <c r="B787" s="509" t="s">
        <v>402</v>
      </c>
      <c r="C787" s="508" t="s">
        <v>169</v>
      </c>
      <c r="D787" s="508">
        <v>13.75</v>
      </c>
      <c r="E787" s="461" t="s">
        <v>1497</v>
      </c>
    </row>
    <row r="788" spans="1:5" ht="27" x14ac:dyDescent="0.25">
      <c r="A788" s="508">
        <v>96014</v>
      </c>
      <c r="B788" s="509" t="s">
        <v>403</v>
      </c>
      <c r="C788" s="508" t="s">
        <v>169</v>
      </c>
      <c r="D788" s="508">
        <v>53.14</v>
      </c>
      <c r="E788" s="461" t="s">
        <v>1497</v>
      </c>
    </row>
    <row r="789" spans="1:5" ht="27" x14ac:dyDescent="0.25">
      <c r="A789" s="508">
        <v>96021</v>
      </c>
      <c r="B789" s="509" t="s">
        <v>404</v>
      </c>
      <c r="C789" s="508" t="s">
        <v>169</v>
      </c>
      <c r="D789" s="508">
        <v>52.89</v>
      </c>
      <c r="E789" s="461" t="s">
        <v>1497</v>
      </c>
    </row>
    <row r="790" spans="1:5" ht="27" x14ac:dyDescent="0.25">
      <c r="A790" s="508">
        <v>96029</v>
      </c>
      <c r="B790" s="509" t="s">
        <v>405</v>
      </c>
      <c r="C790" s="508" t="s">
        <v>169</v>
      </c>
      <c r="D790" s="508">
        <v>46.76</v>
      </c>
      <c r="E790" s="461" t="s">
        <v>1497</v>
      </c>
    </row>
    <row r="791" spans="1:5" ht="27" x14ac:dyDescent="0.25">
      <c r="A791" s="508">
        <v>96036</v>
      </c>
      <c r="B791" s="509" t="s">
        <v>406</v>
      </c>
      <c r="C791" s="508" t="s">
        <v>169</v>
      </c>
      <c r="D791" s="508">
        <v>79.81</v>
      </c>
      <c r="E791" s="461" t="s">
        <v>1497</v>
      </c>
    </row>
    <row r="792" spans="1:5" ht="27" x14ac:dyDescent="0.25">
      <c r="A792" s="508">
        <v>96155</v>
      </c>
      <c r="B792" s="509" t="s">
        <v>407</v>
      </c>
      <c r="C792" s="508" t="s">
        <v>169</v>
      </c>
      <c r="D792" s="508">
        <v>47.01</v>
      </c>
      <c r="E792" s="461" t="s">
        <v>1497</v>
      </c>
    </row>
    <row r="793" spans="1:5" ht="27" x14ac:dyDescent="0.25">
      <c r="A793" s="508">
        <v>96156</v>
      </c>
      <c r="B793" s="509" t="s">
        <v>408</v>
      </c>
      <c r="C793" s="508" t="s">
        <v>169</v>
      </c>
      <c r="D793" s="508">
        <v>63.79</v>
      </c>
      <c r="E793" s="461" t="s">
        <v>1497</v>
      </c>
    </row>
    <row r="794" spans="1:5" ht="27" x14ac:dyDescent="0.25">
      <c r="A794" s="508">
        <v>96159</v>
      </c>
      <c r="B794" s="509" t="s">
        <v>409</v>
      </c>
      <c r="C794" s="508" t="s">
        <v>169</v>
      </c>
      <c r="D794" s="508">
        <v>90.98</v>
      </c>
      <c r="E794" s="461" t="s">
        <v>1497</v>
      </c>
    </row>
    <row r="795" spans="1:5" ht="27" x14ac:dyDescent="0.25">
      <c r="A795" s="508">
        <v>96246</v>
      </c>
      <c r="B795" s="509" t="s">
        <v>410</v>
      </c>
      <c r="C795" s="508" t="s">
        <v>169</v>
      </c>
      <c r="D795" s="508">
        <v>65.33</v>
      </c>
      <c r="E795" s="461" t="s">
        <v>1497</v>
      </c>
    </row>
    <row r="796" spans="1:5" ht="27" x14ac:dyDescent="0.25">
      <c r="A796" s="508">
        <v>96464</v>
      </c>
      <c r="B796" s="509" t="s">
        <v>411</v>
      </c>
      <c r="C796" s="508" t="s">
        <v>169</v>
      </c>
      <c r="D796" s="508">
        <v>91.15</v>
      </c>
      <c r="E796" s="461" t="s">
        <v>1497</v>
      </c>
    </row>
    <row r="797" spans="1:5" ht="27" x14ac:dyDescent="0.25">
      <c r="A797" s="508">
        <v>98765</v>
      </c>
      <c r="B797" s="509" t="s">
        <v>1182</v>
      </c>
      <c r="C797" s="508" t="s">
        <v>169</v>
      </c>
      <c r="D797" s="508">
        <v>0.06</v>
      </c>
      <c r="E797" s="461" t="s">
        <v>1497</v>
      </c>
    </row>
    <row r="798" spans="1:5" ht="27" x14ac:dyDescent="0.25">
      <c r="A798" s="508">
        <v>99834</v>
      </c>
      <c r="B798" s="509" t="s">
        <v>5019</v>
      </c>
      <c r="C798" s="508" t="s">
        <v>169</v>
      </c>
      <c r="D798" s="508">
        <v>0.25</v>
      </c>
      <c r="E798" s="461" t="s">
        <v>1497</v>
      </c>
    </row>
    <row r="799" spans="1:5" ht="27" x14ac:dyDescent="0.25">
      <c r="A799" s="508">
        <v>100642</v>
      </c>
      <c r="B799" s="509" t="s">
        <v>1517</v>
      </c>
      <c r="C799" s="508" t="s">
        <v>169</v>
      </c>
      <c r="D799" s="508">
        <v>320.55</v>
      </c>
      <c r="E799" s="461" t="s">
        <v>1497</v>
      </c>
    </row>
    <row r="800" spans="1:5" ht="15" x14ac:dyDescent="0.25">
      <c r="A800" s="508">
        <v>100648</v>
      </c>
      <c r="B800" s="509" t="s">
        <v>1518</v>
      </c>
      <c r="C800" s="508" t="s">
        <v>169</v>
      </c>
      <c r="D800" s="508">
        <v>634.79</v>
      </c>
      <c r="E800" s="461" t="s">
        <v>1497</v>
      </c>
    </row>
    <row r="801" spans="1:5" ht="27" x14ac:dyDescent="0.25">
      <c r="A801" s="508">
        <v>102274</v>
      </c>
      <c r="B801" s="509" t="s">
        <v>2210</v>
      </c>
      <c r="C801" s="508" t="s">
        <v>169</v>
      </c>
      <c r="D801" s="508">
        <v>26.59</v>
      </c>
      <c r="E801" s="461" t="s">
        <v>1497</v>
      </c>
    </row>
    <row r="802" spans="1:5" ht="27" x14ac:dyDescent="0.25">
      <c r="A802" s="508">
        <v>104092</v>
      </c>
      <c r="B802" s="509" t="s">
        <v>5020</v>
      </c>
      <c r="C802" s="508" t="s">
        <v>169</v>
      </c>
      <c r="D802" s="508">
        <v>0.08</v>
      </c>
      <c r="E802" s="461" t="s">
        <v>1497</v>
      </c>
    </row>
    <row r="803" spans="1:5" ht="27" x14ac:dyDescent="0.25">
      <c r="A803" s="508">
        <v>104098</v>
      </c>
      <c r="B803" s="509" t="s">
        <v>5021</v>
      </c>
      <c r="C803" s="508" t="s">
        <v>169</v>
      </c>
      <c r="D803" s="508">
        <v>0.12</v>
      </c>
      <c r="E803" s="461" t="s">
        <v>1497</v>
      </c>
    </row>
    <row r="804" spans="1:5" ht="40.5" x14ac:dyDescent="0.25">
      <c r="A804" s="508">
        <v>5089</v>
      </c>
      <c r="B804" s="509" t="s">
        <v>412</v>
      </c>
      <c r="C804" s="508" t="s">
        <v>160</v>
      </c>
      <c r="D804" s="508">
        <v>40.46</v>
      </c>
      <c r="E804" s="461" t="s">
        <v>1497</v>
      </c>
    </row>
    <row r="805" spans="1:5" ht="27" x14ac:dyDescent="0.25">
      <c r="A805" s="508">
        <v>5627</v>
      </c>
      <c r="B805" s="509" t="s">
        <v>413</v>
      </c>
      <c r="C805" s="508" t="s">
        <v>160</v>
      </c>
      <c r="D805" s="508">
        <v>45.36</v>
      </c>
      <c r="E805" s="461" t="s">
        <v>1497</v>
      </c>
    </row>
    <row r="806" spans="1:5" ht="27" x14ac:dyDescent="0.25">
      <c r="A806" s="508">
        <v>5628</v>
      </c>
      <c r="B806" s="509" t="s">
        <v>414</v>
      </c>
      <c r="C806" s="508" t="s">
        <v>160</v>
      </c>
      <c r="D806" s="508">
        <v>11.98</v>
      </c>
      <c r="E806" s="461" t="s">
        <v>1497</v>
      </c>
    </row>
    <row r="807" spans="1:5" ht="27" x14ac:dyDescent="0.25">
      <c r="A807" s="508">
        <v>5629</v>
      </c>
      <c r="B807" s="509" t="s">
        <v>415</v>
      </c>
      <c r="C807" s="508" t="s">
        <v>160</v>
      </c>
      <c r="D807" s="508">
        <v>56.7</v>
      </c>
      <c r="E807" s="461" t="s">
        <v>1497</v>
      </c>
    </row>
    <row r="808" spans="1:5" ht="27" x14ac:dyDescent="0.25">
      <c r="A808" s="508">
        <v>5630</v>
      </c>
      <c r="B808" s="509" t="s">
        <v>416</v>
      </c>
      <c r="C808" s="508" t="s">
        <v>160</v>
      </c>
      <c r="D808" s="508">
        <v>62.57</v>
      </c>
      <c r="E808" s="461" t="s">
        <v>1497</v>
      </c>
    </row>
    <row r="809" spans="1:5" ht="27" x14ac:dyDescent="0.25">
      <c r="A809" s="508">
        <v>5658</v>
      </c>
      <c r="B809" s="509" t="s">
        <v>5022</v>
      </c>
      <c r="C809" s="508" t="s">
        <v>160</v>
      </c>
      <c r="D809" s="508">
        <v>2.23</v>
      </c>
      <c r="E809" s="461" t="s">
        <v>1497</v>
      </c>
    </row>
    <row r="810" spans="1:5" ht="40.5" x14ac:dyDescent="0.25">
      <c r="A810" s="508">
        <v>5664</v>
      </c>
      <c r="B810" s="509" t="s">
        <v>417</v>
      </c>
      <c r="C810" s="508" t="s">
        <v>160</v>
      </c>
      <c r="D810" s="508">
        <v>30.29</v>
      </c>
      <c r="E810" s="461" t="s">
        <v>1497</v>
      </c>
    </row>
    <row r="811" spans="1:5" ht="40.5" x14ac:dyDescent="0.25">
      <c r="A811" s="508">
        <v>5667</v>
      </c>
      <c r="B811" s="509" t="s">
        <v>418</v>
      </c>
      <c r="C811" s="508" t="s">
        <v>160</v>
      </c>
      <c r="D811" s="508">
        <v>26.94</v>
      </c>
      <c r="E811" s="461" t="s">
        <v>1497</v>
      </c>
    </row>
    <row r="812" spans="1:5" ht="40.5" x14ac:dyDescent="0.25">
      <c r="A812" s="508">
        <v>5668</v>
      </c>
      <c r="B812" s="509" t="s">
        <v>419</v>
      </c>
      <c r="C812" s="508" t="s">
        <v>160</v>
      </c>
      <c r="D812" s="508">
        <v>44.5</v>
      </c>
      <c r="E812" s="461" t="s">
        <v>1497</v>
      </c>
    </row>
    <row r="813" spans="1:5" ht="40.5" x14ac:dyDescent="0.25">
      <c r="A813" s="508">
        <v>5674</v>
      </c>
      <c r="B813" s="509" t="s">
        <v>420</v>
      </c>
      <c r="C813" s="508" t="s">
        <v>160</v>
      </c>
      <c r="D813" s="508">
        <v>38.92</v>
      </c>
      <c r="E813" s="461" t="s">
        <v>1497</v>
      </c>
    </row>
    <row r="814" spans="1:5" ht="40.5" x14ac:dyDescent="0.25">
      <c r="A814" s="508">
        <v>5692</v>
      </c>
      <c r="B814" s="509" t="s">
        <v>421</v>
      </c>
      <c r="C814" s="508" t="s">
        <v>160</v>
      </c>
      <c r="D814" s="508">
        <v>0.33</v>
      </c>
      <c r="E814" s="461" t="s">
        <v>1497</v>
      </c>
    </row>
    <row r="815" spans="1:5" ht="40.5" x14ac:dyDescent="0.25">
      <c r="A815" s="508">
        <v>5693</v>
      </c>
      <c r="B815" s="509" t="s">
        <v>422</v>
      </c>
      <c r="C815" s="508" t="s">
        <v>160</v>
      </c>
      <c r="D815" s="508">
        <v>20.079999999999998</v>
      </c>
      <c r="E815" s="461" t="s">
        <v>1497</v>
      </c>
    </row>
    <row r="816" spans="1:5" ht="40.5" x14ac:dyDescent="0.25">
      <c r="A816" s="508">
        <v>5695</v>
      </c>
      <c r="B816" s="509" t="s">
        <v>423</v>
      </c>
      <c r="C816" s="508" t="s">
        <v>160</v>
      </c>
      <c r="D816" s="508">
        <v>39.549999999999997</v>
      </c>
      <c r="E816" s="461" t="s">
        <v>1497</v>
      </c>
    </row>
    <row r="817" spans="1:5" ht="27" x14ac:dyDescent="0.25">
      <c r="A817" s="508">
        <v>5703</v>
      </c>
      <c r="B817" s="509" t="s">
        <v>424</v>
      </c>
      <c r="C817" s="508" t="s">
        <v>160</v>
      </c>
      <c r="D817" s="508">
        <v>17.61</v>
      </c>
      <c r="E817" s="461" t="s">
        <v>1497</v>
      </c>
    </row>
    <row r="818" spans="1:5" ht="40.5" x14ac:dyDescent="0.25">
      <c r="A818" s="508">
        <v>5705</v>
      </c>
      <c r="B818" s="509" t="s">
        <v>425</v>
      </c>
      <c r="C818" s="508" t="s">
        <v>160</v>
      </c>
      <c r="D818" s="508">
        <v>38.28</v>
      </c>
      <c r="E818" s="461" t="s">
        <v>1497</v>
      </c>
    </row>
    <row r="819" spans="1:5" ht="27" x14ac:dyDescent="0.25">
      <c r="A819" s="508">
        <v>5707</v>
      </c>
      <c r="B819" s="509" t="s">
        <v>426</v>
      </c>
      <c r="C819" s="508" t="s">
        <v>160</v>
      </c>
      <c r="D819" s="508">
        <v>87.69</v>
      </c>
      <c r="E819" s="461" t="s">
        <v>1497</v>
      </c>
    </row>
    <row r="820" spans="1:5" ht="27" x14ac:dyDescent="0.25">
      <c r="A820" s="508">
        <v>5710</v>
      </c>
      <c r="B820" s="509" t="s">
        <v>427</v>
      </c>
      <c r="C820" s="508" t="s">
        <v>160</v>
      </c>
      <c r="D820" s="508">
        <v>127.14</v>
      </c>
      <c r="E820" s="461" t="s">
        <v>1497</v>
      </c>
    </row>
    <row r="821" spans="1:5" ht="27" x14ac:dyDescent="0.25">
      <c r="A821" s="508">
        <v>5711</v>
      </c>
      <c r="B821" s="509" t="s">
        <v>428</v>
      </c>
      <c r="C821" s="508" t="s">
        <v>160</v>
      </c>
      <c r="D821" s="508">
        <v>86.45</v>
      </c>
      <c r="E821" s="461" t="s">
        <v>1497</v>
      </c>
    </row>
    <row r="822" spans="1:5" ht="27" x14ac:dyDescent="0.25">
      <c r="A822" s="508">
        <v>5714</v>
      </c>
      <c r="B822" s="509" t="s">
        <v>429</v>
      </c>
      <c r="C822" s="508" t="s">
        <v>160</v>
      </c>
      <c r="D822" s="508">
        <v>14.46</v>
      </c>
      <c r="E822" s="461" t="s">
        <v>1497</v>
      </c>
    </row>
    <row r="823" spans="1:5" ht="27" x14ac:dyDescent="0.25">
      <c r="A823" s="508">
        <v>5715</v>
      </c>
      <c r="B823" s="509" t="s">
        <v>430</v>
      </c>
      <c r="C823" s="508" t="s">
        <v>160</v>
      </c>
      <c r="D823" s="508">
        <v>65.42</v>
      </c>
      <c r="E823" s="461" t="s">
        <v>1497</v>
      </c>
    </row>
    <row r="824" spans="1:5" ht="27" x14ac:dyDescent="0.25">
      <c r="A824" s="508">
        <v>5718</v>
      </c>
      <c r="B824" s="509" t="s">
        <v>431</v>
      </c>
      <c r="C824" s="508" t="s">
        <v>160</v>
      </c>
      <c r="D824" s="508">
        <v>103.18</v>
      </c>
      <c r="E824" s="461" t="s">
        <v>1497</v>
      </c>
    </row>
    <row r="825" spans="1:5" ht="27" x14ac:dyDescent="0.25">
      <c r="A825" s="508">
        <v>5721</v>
      </c>
      <c r="B825" s="509" t="s">
        <v>432</v>
      </c>
      <c r="C825" s="508" t="s">
        <v>160</v>
      </c>
      <c r="D825" s="508">
        <v>91.04</v>
      </c>
      <c r="E825" s="461" t="s">
        <v>1497</v>
      </c>
    </row>
    <row r="826" spans="1:5" ht="27" x14ac:dyDescent="0.25">
      <c r="A826" s="508">
        <v>5722</v>
      </c>
      <c r="B826" s="509" t="s">
        <v>433</v>
      </c>
      <c r="C826" s="508" t="s">
        <v>160</v>
      </c>
      <c r="D826" s="508">
        <v>210.55</v>
      </c>
      <c r="E826" s="461" t="s">
        <v>1497</v>
      </c>
    </row>
    <row r="827" spans="1:5" ht="27" x14ac:dyDescent="0.25">
      <c r="A827" s="508">
        <v>5724</v>
      </c>
      <c r="B827" s="509" t="s">
        <v>434</v>
      </c>
      <c r="C827" s="508" t="s">
        <v>160</v>
      </c>
      <c r="D827" s="508">
        <v>56.18</v>
      </c>
      <c r="E827" s="461" t="s">
        <v>1497</v>
      </c>
    </row>
    <row r="828" spans="1:5" ht="40.5" x14ac:dyDescent="0.25">
      <c r="A828" s="508">
        <v>5727</v>
      </c>
      <c r="B828" s="509" t="s">
        <v>435</v>
      </c>
      <c r="C828" s="508" t="s">
        <v>160</v>
      </c>
      <c r="D828" s="508">
        <v>11.74</v>
      </c>
      <c r="E828" s="461" t="s">
        <v>1497</v>
      </c>
    </row>
    <row r="829" spans="1:5" ht="27" x14ac:dyDescent="0.25">
      <c r="A829" s="508">
        <v>5729</v>
      </c>
      <c r="B829" s="509" t="s">
        <v>436</v>
      </c>
      <c r="C829" s="508" t="s">
        <v>160</v>
      </c>
      <c r="D829" s="508">
        <v>47.79</v>
      </c>
      <c r="E829" s="461" t="s">
        <v>1497</v>
      </c>
    </row>
    <row r="830" spans="1:5" ht="27" x14ac:dyDescent="0.25">
      <c r="A830" s="508">
        <v>5730</v>
      </c>
      <c r="B830" s="509" t="s">
        <v>437</v>
      </c>
      <c r="C830" s="508" t="s">
        <v>160</v>
      </c>
      <c r="D830" s="508">
        <v>39.68</v>
      </c>
      <c r="E830" s="461" t="s">
        <v>1497</v>
      </c>
    </row>
    <row r="831" spans="1:5" ht="40.5" x14ac:dyDescent="0.25">
      <c r="A831" s="508">
        <v>5735</v>
      </c>
      <c r="B831" s="509" t="s">
        <v>438</v>
      </c>
      <c r="C831" s="508" t="s">
        <v>160</v>
      </c>
      <c r="D831" s="508">
        <v>29.22</v>
      </c>
      <c r="E831" s="461" t="s">
        <v>1497</v>
      </c>
    </row>
    <row r="832" spans="1:5" ht="40.5" x14ac:dyDescent="0.25">
      <c r="A832" s="508">
        <v>5736</v>
      </c>
      <c r="B832" s="509" t="s">
        <v>439</v>
      </c>
      <c r="C832" s="508" t="s">
        <v>160</v>
      </c>
      <c r="D832" s="508">
        <v>40.549999999999997</v>
      </c>
      <c r="E832" s="461" t="s">
        <v>1497</v>
      </c>
    </row>
    <row r="833" spans="1:5" ht="40.5" x14ac:dyDescent="0.25">
      <c r="A833" s="508">
        <v>5738</v>
      </c>
      <c r="B833" s="509" t="s">
        <v>440</v>
      </c>
      <c r="C833" s="508" t="s">
        <v>160</v>
      </c>
      <c r="D833" s="508">
        <v>42.49</v>
      </c>
      <c r="E833" s="461" t="s">
        <v>1497</v>
      </c>
    </row>
    <row r="834" spans="1:5" ht="40.5" x14ac:dyDescent="0.25">
      <c r="A834" s="508">
        <v>5739</v>
      </c>
      <c r="B834" s="509" t="s">
        <v>441</v>
      </c>
      <c r="C834" s="508" t="s">
        <v>160</v>
      </c>
      <c r="D834" s="508">
        <v>53.18</v>
      </c>
      <c r="E834" s="461" t="s">
        <v>1497</v>
      </c>
    </row>
    <row r="835" spans="1:5" ht="40.5" x14ac:dyDescent="0.25">
      <c r="A835" s="508">
        <v>5741</v>
      </c>
      <c r="B835" s="509" t="s">
        <v>442</v>
      </c>
      <c r="C835" s="508" t="s">
        <v>160</v>
      </c>
      <c r="D835" s="508">
        <v>42.78</v>
      </c>
      <c r="E835" s="461" t="s">
        <v>1497</v>
      </c>
    </row>
    <row r="836" spans="1:5" ht="40.5" x14ac:dyDescent="0.25">
      <c r="A836" s="508">
        <v>5742</v>
      </c>
      <c r="B836" s="509" t="s">
        <v>443</v>
      </c>
      <c r="C836" s="508" t="s">
        <v>160</v>
      </c>
      <c r="D836" s="508">
        <v>26.78</v>
      </c>
      <c r="E836" s="461" t="s">
        <v>1497</v>
      </c>
    </row>
    <row r="837" spans="1:5" ht="40.5" x14ac:dyDescent="0.25">
      <c r="A837" s="508">
        <v>5747</v>
      </c>
      <c r="B837" s="509" t="s">
        <v>444</v>
      </c>
      <c r="C837" s="508" t="s">
        <v>160</v>
      </c>
      <c r="D837" s="508">
        <v>153.55000000000001</v>
      </c>
      <c r="E837" s="461" t="s">
        <v>1497</v>
      </c>
    </row>
    <row r="838" spans="1:5" ht="27" x14ac:dyDescent="0.25">
      <c r="A838" s="508">
        <v>5751</v>
      </c>
      <c r="B838" s="509" t="s">
        <v>445</v>
      </c>
      <c r="C838" s="508" t="s">
        <v>160</v>
      </c>
      <c r="D838" s="508">
        <v>33.020000000000003</v>
      </c>
      <c r="E838" s="461" t="s">
        <v>1497</v>
      </c>
    </row>
    <row r="839" spans="1:5" ht="27" x14ac:dyDescent="0.25">
      <c r="A839" s="508">
        <v>5754</v>
      </c>
      <c r="B839" s="509" t="s">
        <v>446</v>
      </c>
      <c r="C839" s="508" t="s">
        <v>160</v>
      </c>
      <c r="D839" s="508">
        <v>36.26</v>
      </c>
      <c r="E839" s="461" t="s">
        <v>1497</v>
      </c>
    </row>
    <row r="840" spans="1:5" ht="40.5" x14ac:dyDescent="0.25">
      <c r="A840" s="508">
        <v>5763</v>
      </c>
      <c r="B840" s="509" t="s">
        <v>447</v>
      </c>
      <c r="C840" s="508" t="s">
        <v>160</v>
      </c>
      <c r="D840" s="508">
        <v>51.44</v>
      </c>
      <c r="E840" s="461" t="s">
        <v>1497</v>
      </c>
    </row>
    <row r="841" spans="1:5" ht="27" x14ac:dyDescent="0.25">
      <c r="A841" s="508">
        <v>5765</v>
      </c>
      <c r="B841" s="509" t="s">
        <v>448</v>
      </c>
      <c r="C841" s="508" t="s">
        <v>160</v>
      </c>
      <c r="D841" s="508">
        <v>4.6399999999999997</v>
      </c>
      <c r="E841" s="461" t="s">
        <v>1497</v>
      </c>
    </row>
    <row r="842" spans="1:5" ht="27" x14ac:dyDescent="0.25">
      <c r="A842" s="508">
        <v>5766</v>
      </c>
      <c r="B842" s="509" t="s">
        <v>449</v>
      </c>
      <c r="C842" s="508" t="s">
        <v>160</v>
      </c>
      <c r="D842" s="508">
        <v>2.8</v>
      </c>
      <c r="E842" s="461" t="s">
        <v>1497</v>
      </c>
    </row>
    <row r="843" spans="1:5" ht="27" x14ac:dyDescent="0.25">
      <c r="A843" s="508">
        <v>5779</v>
      </c>
      <c r="B843" s="509" t="s">
        <v>450</v>
      </c>
      <c r="C843" s="508" t="s">
        <v>160</v>
      </c>
      <c r="D843" s="508">
        <v>72.33</v>
      </c>
      <c r="E843" s="461" t="s">
        <v>1497</v>
      </c>
    </row>
    <row r="844" spans="1:5" ht="27" x14ac:dyDescent="0.25">
      <c r="A844" s="508">
        <v>5787</v>
      </c>
      <c r="B844" s="509" t="s">
        <v>451</v>
      </c>
      <c r="C844" s="508" t="s">
        <v>160</v>
      </c>
      <c r="D844" s="508">
        <v>68.319999999999993</v>
      </c>
      <c r="E844" s="461" t="s">
        <v>1497</v>
      </c>
    </row>
    <row r="845" spans="1:5" ht="27" x14ac:dyDescent="0.25">
      <c r="A845" s="508">
        <v>5797</v>
      </c>
      <c r="B845" s="509" t="s">
        <v>452</v>
      </c>
      <c r="C845" s="508" t="s">
        <v>160</v>
      </c>
      <c r="D845" s="508">
        <v>6.28</v>
      </c>
      <c r="E845" s="461" t="s">
        <v>1497</v>
      </c>
    </row>
    <row r="846" spans="1:5" ht="40.5" x14ac:dyDescent="0.25">
      <c r="A846" s="508">
        <v>5800</v>
      </c>
      <c r="B846" s="509" t="s">
        <v>5023</v>
      </c>
      <c r="C846" s="508" t="s">
        <v>160</v>
      </c>
      <c r="D846" s="508">
        <v>0.44</v>
      </c>
      <c r="E846" s="461" t="s">
        <v>1497</v>
      </c>
    </row>
    <row r="847" spans="1:5" ht="27" x14ac:dyDescent="0.25">
      <c r="A847" s="508">
        <v>7032</v>
      </c>
      <c r="B847" s="509" t="s">
        <v>5024</v>
      </c>
      <c r="C847" s="508" t="s">
        <v>160</v>
      </c>
      <c r="D847" s="508">
        <v>4.28</v>
      </c>
      <c r="E847" s="461" t="s">
        <v>1497</v>
      </c>
    </row>
    <row r="848" spans="1:5" ht="27" x14ac:dyDescent="0.25">
      <c r="A848" s="508">
        <v>7033</v>
      </c>
      <c r="B848" s="509" t="s">
        <v>5025</v>
      </c>
      <c r="C848" s="508" t="s">
        <v>160</v>
      </c>
      <c r="D848" s="508">
        <v>1.58</v>
      </c>
      <c r="E848" s="461" t="s">
        <v>1497</v>
      </c>
    </row>
    <row r="849" spans="1:5" ht="27" x14ac:dyDescent="0.25">
      <c r="A849" s="508">
        <v>7034</v>
      </c>
      <c r="B849" s="509" t="s">
        <v>5026</v>
      </c>
      <c r="C849" s="508" t="s">
        <v>160</v>
      </c>
      <c r="D849" s="508">
        <v>5.71</v>
      </c>
      <c r="E849" s="461" t="s">
        <v>1497</v>
      </c>
    </row>
    <row r="850" spans="1:5" ht="27" x14ac:dyDescent="0.25">
      <c r="A850" s="508">
        <v>7035</v>
      </c>
      <c r="B850" s="509" t="s">
        <v>5027</v>
      </c>
      <c r="C850" s="508" t="s">
        <v>160</v>
      </c>
      <c r="D850" s="508">
        <v>249.02</v>
      </c>
      <c r="E850" s="461" t="s">
        <v>1497</v>
      </c>
    </row>
    <row r="851" spans="1:5" ht="27" x14ac:dyDescent="0.25">
      <c r="A851" s="508">
        <v>7038</v>
      </c>
      <c r="B851" s="509" t="s">
        <v>453</v>
      </c>
      <c r="C851" s="508" t="s">
        <v>160</v>
      </c>
      <c r="D851" s="508">
        <v>48.6</v>
      </c>
      <c r="E851" s="461" t="s">
        <v>1497</v>
      </c>
    </row>
    <row r="852" spans="1:5" ht="27" x14ac:dyDescent="0.25">
      <c r="A852" s="508">
        <v>7039</v>
      </c>
      <c r="B852" s="509" t="s">
        <v>454</v>
      </c>
      <c r="C852" s="508" t="s">
        <v>160</v>
      </c>
      <c r="D852" s="508">
        <v>13.04</v>
      </c>
      <c r="E852" s="461" t="s">
        <v>1497</v>
      </c>
    </row>
    <row r="853" spans="1:5" ht="27" x14ac:dyDescent="0.25">
      <c r="A853" s="508">
        <v>7040</v>
      </c>
      <c r="B853" s="509" t="s">
        <v>455</v>
      </c>
      <c r="C853" s="508" t="s">
        <v>160</v>
      </c>
      <c r="D853" s="508">
        <v>60.83</v>
      </c>
      <c r="E853" s="461" t="s">
        <v>1497</v>
      </c>
    </row>
    <row r="854" spans="1:5" ht="40.5" x14ac:dyDescent="0.25">
      <c r="A854" s="508">
        <v>7044</v>
      </c>
      <c r="B854" s="509" t="s">
        <v>456</v>
      </c>
      <c r="C854" s="508" t="s">
        <v>160</v>
      </c>
      <c r="D854" s="508">
        <v>0.37</v>
      </c>
      <c r="E854" s="461" t="s">
        <v>1497</v>
      </c>
    </row>
    <row r="855" spans="1:5" ht="40.5" x14ac:dyDescent="0.25">
      <c r="A855" s="508">
        <v>7045</v>
      </c>
      <c r="B855" s="509" t="s">
        <v>457</v>
      </c>
      <c r="C855" s="508" t="s">
        <v>160</v>
      </c>
      <c r="D855" s="508">
        <v>0.08</v>
      </c>
      <c r="E855" s="461" t="s">
        <v>1497</v>
      </c>
    </row>
    <row r="856" spans="1:5" ht="40.5" x14ac:dyDescent="0.25">
      <c r="A856" s="508">
        <v>7046</v>
      </c>
      <c r="B856" s="509" t="s">
        <v>458</v>
      </c>
      <c r="C856" s="508" t="s">
        <v>160</v>
      </c>
      <c r="D856" s="508">
        <v>0.41</v>
      </c>
      <c r="E856" s="461" t="s">
        <v>1497</v>
      </c>
    </row>
    <row r="857" spans="1:5" ht="40.5" x14ac:dyDescent="0.25">
      <c r="A857" s="508">
        <v>7047</v>
      </c>
      <c r="B857" s="509" t="s">
        <v>459</v>
      </c>
      <c r="C857" s="508" t="s">
        <v>160</v>
      </c>
      <c r="D857" s="508">
        <v>23.71</v>
      </c>
      <c r="E857" s="461" t="s">
        <v>1497</v>
      </c>
    </row>
    <row r="858" spans="1:5" ht="40.5" x14ac:dyDescent="0.25">
      <c r="A858" s="508">
        <v>7051</v>
      </c>
      <c r="B858" s="509" t="s">
        <v>460</v>
      </c>
      <c r="C858" s="508" t="s">
        <v>160</v>
      </c>
      <c r="D858" s="508">
        <v>43.11</v>
      </c>
      <c r="E858" s="461" t="s">
        <v>1497</v>
      </c>
    </row>
    <row r="859" spans="1:5" ht="40.5" x14ac:dyDescent="0.25">
      <c r="A859" s="508">
        <v>7052</v>
      </c>
      <c r="B859" s="509" t="s">
        <v>461</v>
      </c>
      <c r="C859" s="508" t="s">
        <v>160</v>
      </c>
      <c r="D859" s="508">
        <v>11.64</v>
      </c>
      <c r="E859" s="461" t="s">
        <v>1497</v>
      </c>
    </row>
    <row r="860" spans="1:5" ht="40.5" x14ac:dyDescent="0.25">
      <c r="A860" s="508">
        <v>7053</v>
      </c>
      <c r="B860" s="509" t="s">
        <v>462</v>
      </c>
      <c r="C860" s="508" t="s">
        <v>160</v>
      </c>
      <c r="D860" s="508">
        <v>53.95</v>
      </c>
      <c r="E860" s="461" t="s">
        <v>1497</v>
      </c>
    </row>
    <row r="861" spans="1:5" ht="40.5" x14ac:dyDescent="0.25">
      <c r="A861" s="508">
        <v>7054</v>
      </c>
      <c r="B861" s="509" t="s">
        <v>463</v>
      </c>
      <c r="C861" s="508" t="s">
        <v>160</v>
      </c>
      <c r="D861" s="508">
        <v>86.68</v>
      </c>
      <c r="E861" s="461" t="s">
        <v>1497</v>
      </c>
    </row>
    <row r="862" spans="1:5" ht="40.5" x14ac:dyDescent="0.25">
      <c r="A862" s="508">
        <v>7058</v>
      </c>
      <c r="B862" s="509" t="s">
        <v>464</v>
      </c>
      <c r="C862" s="508" t="s">
        <v>160</v>
      </c>
      <c r="D862" s="508">
        <v>22.64</v>
      </c>
      <c r="E862" s="461" t="s">
        <v>1497</v>
      </c>
    </row>
    <row r="863" spans="1:5" ht="40.5" x14ac:dyDescent="0.25">
      <c r="A863" s="508">
        <v>7059</v>
      </c>
      <c r="B863" s="509" t="s">
        <v>465</v>
      </c>
      <c r="C863" s="508" t="s">
        <v>160</v>
      </c>
      <c r="D863" s="508">
        <v>8.76</v>
      </c>
      <c r="E863" s="461" t="s">
        <v>1497</v>
      </c>
    </row>
    <row r="864" spans="1:5" ht="40.5" x14ac:dyDescent="0.25">
      <c r="A864" s="508">
        <v>7060</v>
      </c>
      <c r="B864" s="509" t="s">
        <v>466</v>
      </c>
      <c r="C864" s="508" t="s">
        <v>160</v>
      </c>
      <c r="D864" s="508">
        <v>40.93</v>
      </c>
      <c r="E864" s="461" t="s">
        <v>1497</v>
      </c>
    </row>
    <row r="865" spans="1:5" ht="40.5" x14ac:dyDescent="0.25">
      <c r="A865" s="508">
        <v>7061</v>
      </c>
      <c r="B865" s="509" t="s">
        <v>467</v>
      </c>
      <c r="C865" s="508" t="s">
        <v>160</v>
      </c>
      <c r="D865" s="508">
        <v>79.13</v>
      </c>
      <c r="E865" s="461" t="s">
        <v>1497</v>
      </c>
    </row>
    <row r="866" spans="1:5" ht="27" x14ac:dyDescent="0.25">
      <c r="A866" s="508">
        <v>7063</v>
      </c>
      <c r="B866" s="509" t="s">
        <v>468</v>
      </c>
      <c r="C866" s="508" t="s">
        <v>160</v>
      </c>
      <c r="D866" s="508">
        <v>18.05</v>
      </c>
      <c r="E866" s="461" t="s">
        <v>1497</v>
      </c>
    </row>
    <row r="867" spans="1:5" ht="27" x14ac:dyDescent="0.25">
      <c r="A867" s="508">
        <v>7064</v>
      </c>
      <c r="B867" s="509" t="s">
        <v>469</v>
      </c>
      <c r="C867" s="508" t="s">
        <v>160</v>
      </c>
      <c r="D867" s="508">
        <v>4.87</v>
      </c>
      <c r="E867" s="461" t="s">
        <v>1497</v>
      </c>
    </row>
    <row r="868" spans="1:5" ht="27" x14ac:dyDescent="0.25">
      <c r="A868" s="508">
        <v>7065</v>
      </c>
      <c r="B868" s="509" t="s">
        <v>470</v>
      </c>
      <c r="C868" s="508" t="s">
        <v>160</v>
      </c>
      <c r="D868" s="508">
        <v>19.739999999999998</v>
      </c>
      <c r="E868" s="461" t="s">
        <v>1497</v>
      </c>
    </row>
    <row r="869" spans="1:5" ht="27" x14ac:dyDescent="0.25">
      <c r="A869" s="508">
        <v>7066</v>
      </c>
      <c r="B869" s="509" t="s">
        <v>471</v>
      </c>
      <c r="C869" s="508" t="s">
        <v>160</v>
      </c>
      <c r="D869" s="508">
        <v>93.88</v>
      </c>
      <c r="E869" s="461" t="s">
        <v>1497</v>
      </c>
    </row>
    <row r="870" spans="1:5" ht="40.5" x14ac:dyDescent="0.25">
      <c r="A870" s="508">
        <v>53786</v>
      </c>
      <c r="B870" s="509" t="s">
        <v>472</v>
      </c>
      <c r="C870" s="508" t="s">
        <v>160</v>
      </c>
      <c r="D870" s="508">
        <v>49.55</v>
      </c>
      <c r="E870" s="461" t="s">
        <v>1497</v>
      </c>
    </row>
    <row r="871" spans="1:5" ht="40.5" x14ac:dyDescent="0.25">
      <c r="A871" s="508">
        <v>53788</v>
      </c>
      <c r="B871" s="509" t="s">
        <v>473</v>
      </c>
      <c r="C871" s="508" t="s">
        <v>160</v>
      </c>
      <c r="D871" s="508">
        <v>55.48</v>
      </c>
      <c r="E871" s="461" t="s">
        <v>1497</v>
      </c>
    </row>
    <row r="872" spans="1:5" ht="40.5" x14ac:dyDescent="0.25">
      <c r="A872" s="508">
        <v>53792</v>
      </c>
      <c r="B872" s="509" t="s">
        <v>474</v>
      </c>
      <c r="C872" s="508" t="s">
        <v>160</v>
      </c>
      <c r="D872" s="508">
        <v>98.36</v>
      </c>
      <c r="E872" s="461" t="s">
        <v>1497</v>
      </c>
    </row>
    <row r="873" spans="1:5" ht="27" x14ac:dyDescent="0.25">
      <c r="A873" s="508">
        <v>53794</v>
      </c>
      <c r="B873" s="509" t="s">
        <v>475</v>
      </c>
      <c r="C873" s="508" t="s">
        <v>160</v>
      </c>
      <c r="D873" s="508">
        <v>35.619999999999997</v>
      </c>
      <c r="E873" s="461" t="s">
        <v>1497</v>
      </c>
    </row>
    <row r="874" spans="1:5" ht="40.5" x14ac:dyDescent="0.25">
      <c r="A874" s="508">
        <v>53797</v>
      </c>
      <c r="B874" s="509" t="s">
        <v>476</v>
      </c>
      <c r="C874" s="508" t="s">
        <v>160</v>
      </c>
      <c r="D874" s="508">
        <v>113.12</v>
      </c>
      <c r="E874" s="461" t="s">
        <v>1497</v>
      </c>
    </row>
    <row r="875" spans="1:5" ht="27" x14ac:dyDescent="0.25">
      <c r="A875" s="508">
        <v>53804</v>
      </c>
      <c r="B875" s="509" t="s">
        <v>477</v>
      </c>
      <c r="C875" s="508" t="s">
        <v>160</v>
      </c>
      <c r="D875" s="508">
        <v>4.63</v>
      </c>
      <c r="E875" s="461" t="s">
        <v>1497</v>
      </c>
    </row>
    <row r="876" spans="1:5" ht="27" x14ac:dyDescent="0.25">
      <c r="A876" s="508">
        <v>53806</v>
      </c>
      <c r="B876" s="509" t="s">
        <v>478</v>
      </c>
      <c r="C876" s="508" t="s">
        <v>160</v>
      </c>
      <c r="D876" s="508">
        <v>72.39</v>
      </c>
      <c r="E876" s="461" t="s">
        <v>1497</v>
      </c>
    </row>
    <row r="877" spans="1:5" ht="27" x14ac:dyDescent="0.25">
      <c r="A877" s="508">
        <v>53810</v>
      </c>
      <c r="B877" s="509" t="s">
        <v>479</v>
      </c>
      <c r="C877" s="508" t="s">
        <v>160</v>
      </c>
      <c r="D877" s="508">
        <v>72.83</v>
      </c>
      <c r="E877" s="461" t="s">
        <v>1497</v>
      </c>
    </row>
    <row r="878" spans="1:5" ht="27" x14ac:dyDescent="0.25">
      <c r="A878" s="508">
        <v>53814</v>
      </c>
      <c r="B878" s="509" t="s">
        <v>480</v>
      </c>
      <c r="C878" s="508" t="s">
        <v>160</v>
      </c>
      <c r="D878" s="508">
        <v>238.57</v>
      </c>
      <c r="E878" s="461" t="s">
        <v>1497</v>
      </c>
    </row>
    <row r="879" spans="1:5" ht="27" x14ac:dyDescent="0.25">
      <c r="A879" s="508">
        <v>53817</v>
      </c>
      <c r="B879" s="509" t="s">
        <v>481</v>
      </c>
      <c r="C879" s="508" t="s">
        <v>160</v>
      </c>
      <c r="D879" s="508">
        <v>60.65</v>
      </c>
      <c r="E879" s="461" t="s">
        <v>1497</v>
      </c>
    </row>
    <row r="880" spans="1:5" ht="40.5" x14ac:dyDescent="0.25">
      <c r="A880" s="508">
        <v>53818</v>
      </c>
      <c r="B880" s="509" t="s">
        <v>482</v>
      </c>
      <c r="C880" s="508" t="s">
        <v>160</v>
      </c>
      <c r="D880" s="508">
        <v>9.3800000000000008</v>
      </c>
      <c r="E880" s="461" t="s">
        <v>1497</v>
      </c>
    </row>
    <row r="881" spans="1:5" ht="40.5" x14ac:dyDescent="0.25">
      <c r="A881" s="508">
        <v>53827</v>
      </c>
      <c r="B881" s="509" t="s">
        <v>483</v>
      </c>
      <c r="C881" s="508" t="s">
        <v>160</v>
      </c>
      <c r="D881" s="508">
        <v>110.73</v>
      </c>
      <c r="E881" s="461" t="s">
        <v>1497</v>
      </c>
    </row>
    <row r="882" spans="1:5" ht="40.5" x14ac:dyDescent="0.25">
      <c r="A882" s="508">
        <v>53829</v>
      </c>
      <c r="B882" s="509" t="s">
        <v>484</v>
      </c>
      <c r="C882" s="508" t="s">
        <v>160</v>
      </c>
      <c r="D882" s="508">
        <v>113.12</v>
      </c>
      <c r="E882" s="461" t="s">
        <v>1497</v>
      </c>
    </row>
    <row r="883" spans="1:5" ht="40.5" x14ac:dyDescent="0.25">
      <c r="A883" s="508">
        <v>53831</v>
      </c>
      <c r="B883" s="509" t="s">
        <v>485</v>
      </c>
      <c r="C883" s="508" t="s">
        <v>160</v>
      </c>
      <c r="D883" s="508">
        <v>186.84</v>
      </c>
      <c r="E883" s="461" t="s">
        <v>1497</v>
      </c>
    </row>
    <row r="884" spans="1:5" ht="27" x14ac:dyDescent="0.25">
      <c r="A884" s="508">
        <v>53840</v>
      </c>
      <c r="B884" s="509" t="s">
        <v>486</v>
      </c>
      <c r="C884" s="508" t="s">
        <v>160</v>
      </c>
      <c r="D884" s="508">
        <v>2.5099999999999998</v>
      </c>
      <c r="E884" s="461" t="s">
        <v>1497</v>
      </c>
    </row>
    <row r="885" spans="1:5" ht="27" x14ac:dyDescent="0.25">
      <c r="A885" s="508">
        <v>53841</v>
      </c>
      <c r="B885" s="509" t="s">
        <v>487</v>
      </c>
      <c r="C885" s="508" t="s">
        <v>160</v>
      </c>
      <c r="D885" s="508">
        <v>1.74</v>
      </c>
      <c r="E885" s="461" t="s">
        <v>1497</v>
      </c>
    </row>
    <row r="886" spans="1:5" ht="27" x14ac:dyDescent="0.25">
      <c r="A886" s="508">
        <v>53849</v>
      </c>
      <c r="B886" s="509" t="s">
        <v>488</v>
      </c>
      <c r="C886" s="508" t="s">
        <v>160</v>
      </c>
      <c r="D886" s="508">
        <v>81.28</v>
      </c>
      <c r="E886" s="461" t="s">
        <v>1497</v>
      </c>
    </row>
    <row r="887" spans="1:5" ht="27" x14ac:dyDescent="0.25">
      <c r="A887" s="508">
        <v>53857</v>
      </c>
      <c r="B887" s="509" t="s">
        <v>489</v>
      </c>
      <c r="C887" s="508" t="s">
        <v>160</v>
      </c>
      <c r="D887" s="508">
        <v>61.25</v>
      </c>
      <c r="E887" s="461" t="s">
        <v>1497</v>
      </c>
    </row>
    <row r="888" spans="1:5" ht="27" x14ac:dyDescent="0.25">
      <c r="A888" s="508">
        <v>53858</v>
      </c>
      <c r="B888" s="509" t="s">
        <v>490</v>
      </c>
      <c r="C888" s="508" t="s">
        <v>160</v>
      </c>
      <c r="D888" s="508">
        <v>44.38</v>
      </c>
      <c r="E888" s="461" t="s">
        <v>1497</v>
      </c>
    </row>
    <row r="889" spans="1:5" ht="27" x14ac:dyDescent="0.25">
      <c r="A889" s="508">
        <v>53861</v>
      </c>
      <c r="B889" s="509" t="s">
        <v>491</v>
      </c>
      <c r="C889" s="508" t="s">
        <v>160</v>
      </c>
      <c r="D889" s="508">
        <v>59.45</v>
      </c>
      <c r="E889" s="461" t="s">
        <v>1497</v>
      </c>
    </row>
    <row r="890" spans="1:5" ht="27" x14ac:dyDescent="0.25">
      <c r="A890" s="508">
        <v>53863</v>
      </c>
      <c r="B890" s="509" t="s">
        <v>492</v>
      </c>
      <c r="C890" s="508" t="s">
        <v>160</v>
      </c>
      <c r="D890" s="508">
        <v>2.02</v>
      </c>
      <c r="E890" s="461" t="s">
        <v>1497</v>
      </c>
    </row>
    <row r="891" spans="1:5" ht="27" x14ac:dyDescent="0.25">
      <c r="A891" s="508">
        <v>53865</v>
      </c>
      <c r="B891" s="509" t="s">
        <v>493</v>
      </c>
      <c r="C891" s="508" t="s">
        <v>160</v>
      </c>
      <c r="D891" s="508">
        <v>45.78</v>
      </c>
      <c r="E891" s="461" t="s">
        <v>1497</v>
      </c>
    </row>
    <row r="892" spans="1:5" ht="40.5" x14ac:dyDescent="0.25">
      <c r="A892" s="508">
        <v>53866</v>
      </c>
      <c r="B892" s="509" t="s">
        <v>5028</v>
      </c>
      <c r="C892" s="508" t="s">
        <v>160</v>
      </c>
      <c r="D892" s="508">
        <v>1.42</v>
      </c>
      <c r="E892" s="461" t="s">
        <v>1497</v>
      </c>
    </row>
    <row r="893" spans="1:5" ht="40.5" x14ac:dyDescent="0.25">
      <c r="A893" s="508">
        <v>53882</v>
      </c>
      <c r="B893" s="509" t="s">
        <v>494</v>
      </c>
      <c r="C893" s="508" t="s">
        <v>160</v>
      </c>
      <c r="D893" s="508">
        <v>36.729999999999997</v>
      </c>
      <c r="E893" s="461" t="s">
        <v>1497</v>
      </c>
    </row>
    <row r="894" spans="1:5" ht="27" x14ac:dyDescent="0.25">
      <c r="A894" s="508">
        <v>55263</v>
      </c>
      <c r="B894" s="509" t="s">
        <v>495</v>
      </c>
      <c r="C894" s="508" t="s">
        <v>160</v>
      </c>
      <c r="D894" s="508">
        <v>62.57</v>
      </c>
      <c r="E894" s="461" t="s">
        <v>1497</v>
      </c>
    </row>
    <row r="895" spans="1:5" ht="15" x14ac:dyDescent="0.25">
      <c r="A895" s="508">
        <v>73303</v>
      </c>
      <c r="B895" s="509" t="s">
        <v>496</v>
      </c>
      <c r="C895" s="508" t="s">
        <v>160</v>
      </c>
      <c r="D895" s="508">
        <v>7.15</v>
      </c>
      <c r="E895" s="461" t="s">
        <v>1497</v>
      </c>
    </row>
    <row r="896" spans="1:5" ht="15" x14ac:dyDescent="0.25">
      <c r="A896" s="508">
        <v>73307</v>
      </c>
      <c r="B896" s="509" t="s">
        <v>497</v>
      </c>
      <c r="C896" s="508" t="s">
        <v>160</v>
      </c>
      <c r="D896" s="508">
        <v>6.38</v>
      </c>
      <c r="E896" s="461" t="s">
        <v>1497</v>
      </c>
    </row>
    <row r="897" spans="1:5" ht="40.5" x14ac:dyDescent="0.25">
      <c r="A897" s="508">
        <v>73309</v>
      </c>
      <c r="B897" s="509" t="s">
        <v>498</v>
      </c>
      <c r="C897" s="508" t="s">
        <v>160</v>
      </c>
      <c r="D897" s="508">
        <v>32.33</v>
      </c>
      <c r="E897" s="461" t="s">
        <v>1497</v>
      </c>
    </row>
    <row r="898" spans="1:5" ht="27" x14ac:dyDescent="0.25">
      <c r="A898" s="508">
        <v>73311</v>
      </c>
      <c r="B898" s="509" t="s">
        <v>499</v>
      </c>
      <c r="C898" s="508" t="s">
        <v>160</v>
      </c>
      <c r="D898" s="508">
        <v>172.96</v>
      </c>
      <c r="E898" s="461" t="s">
        <v>1497</v>
      </c>
    </row>
    <row r="899" spans="1:5" ht="40.5" x14ac:dyDescent="0.25">
      <c r="A899" s="508">
        <v>73313</v>
      </c>
      <c r="B899" s="509" t="s">
        <v>500</v>
      </c>
      <c r="C899" s="508" t="s">
        <v>160</v>
      </c>
      <c r="D899" s="508">
        <v>8.73</v>
      </c>
      <c r="E899" s="461" t="s">
        <v>1497</v>
      </c>
    </row>
    <row r="900" spans="1:5" ht="40.5" x14ac:dyDescent="0.25">
      <c r="A900" s="508">
        <v>73315</v>
      </c>
      <c r="B900" s="509" t="s">
        <v>501</v>
      </c>
      <c r="C900" s="508" t="s">
        <v>160</v>
      </c>
      <c r="D900" s="508">
        <v>55.48</v>
      </c>
      <c r="E900" s="461" t="s">
        <v>1497</v>
      </c>
    </row>
    <row r="901" spans="1:5" ht="40.5" x14ac:dyDescent="0.25">
      <c r="A901" s="508">
        <v>73335</v>
      </c>
      <c r="B901" s="509" t="s">
        <v>502</v>
      </c>
      <c r="C901" s="508" t="s">
        <v>160</v>
      </c>
      <c r="D901" s="508">
        <v>34.9</v>
      </c>
      <c r="E901" s="461" t="s">
        <v>1497</v>
      </c>
    </row>
    <row r="902" spans="1:5" ht="40.5" x14ac:dyDescent="0.25">
      <c r="A902" s="508">
        <v>73340</v>
      </c>
      <c r="B902" s="509" t="s">
        <v>503</v>
      </c>
      <c r="C902" s="508" t="s">
        <v>160</v>
      </c>
      <c r="D902" s="508">
        <v>150.30000000000001</v>
      </c>
      <c r="E902" s="461" t="s">
        <v>1497</v>
      </c>
    </row>
    <row r="903" spans="1:5" ht="40.5" x14ac:dyDescent="0.25">
      <c r="A903" s="508">
        <v>83361</v>
      </c>
      <c r="B903" s="509" t="s">
        <v>504</v>
      </c>
      <c r="C903" s="508" t="s">
        <v>160</v>
      </c>
      <c r="D903" s="508">
        <v>42.81</v>
      </c>
      <c r="E903" s="461" t="s">
        <v>1497</v>
      </c>
    </row>
    <row r="904" spans="1:5" ht="27" x14ac:dyDescent="0.25">
      <c r="A904" s="508">
        <v>83761</v>
      </c>
      <c r="B904" s="509" t="s">
        <v>505</v>
      </c>
      <c r="C904" s="508" t="s">
        <v>160</v>
      </c>
      <c r="D904" s="508">
        <v>9.52</v>
      </c>
      <c r="E904" s="461" t="s">
        <v>1497</v>
      </c>
    </row>
    <row r="905" spans="1:5" ht="27" x14ac:dyDescent="0.25">
      <c r="A905" s="508">
        <v>83762</v>
      </c>
      <c r="B905" s="509" t="s">
        <v>506</v>
      </c>
      <c r="C905" s="508" t="s">
        <v>160</v>
      </c>
      <c r="D905" s="508">
        <v>8.5</v>
      </c>
      <c r="E905" s="461" t="s">
        <v>1497</v>
      </c>
    </row>
    <row r="906" spans="1:5" ht="27" x14ac:dyDescent="0.25">
      <c r="A906" s="508">
        <v>83763</v>
      </c>
      <c r="B906" s="509" t="s">
        <v>507</v>
      </c>
      <c r="C906" s="508" t="s">
        <v>160</v>
      </c>
      <c r="D906" s="508">
        <v>48.74</v>
      </c>
      <c r="E906" s="461" t="s">
        <v>1497</v>
      </c>
    </row>
    <row r="907" spans="1:5" ht="27" x14ac:dyDescent="0.25">
      <c r="A907" s="508">
        <v>83764</v>
      </c>
      <c r="B907" s="509" t="s">
        <v>508</v>
      </c>
      <c r="C907" s="508" t="s">
        <v>160</v>
      </c>
      <c r="D907" s="508">
        <v>3.35</v>
      </c>
      <c r="E907" s="461" t="s">
        <v>1497</v>
      </c>
    </row>
    <row r="908" spans="1:5" ht="27" x14ac:dyDescent="0.25">
      <c r="A908" s="508">
        <v>87026</v>
      </c>
      <c r="B908" s="509" t="s">
        <v>509</v>
      </c>
      <c r="C908" s="508" t="s">
        <v>160</v>
      </c>
      <c r="D908" s="508">
        <v>0.69</v>
      </c>
      <c r="E908" s="461" t="s">
        <v>1497</v>
      </c>
    </row>
    <row r="909" spans="1:5" ht="27" x14ac:dyDescent="0.25">
      <c r="A909" s="508">
        <v>87441</v>
      </c>
      <c r="B909" s="509" t="s">
        <v>5029</v>
      </c>
      <c r="C909" s="508" t="s">
        <v>160</v>
      </c>
      <c r="D909" s="508">
        <v>0.44</v>
      </c>
      <c r="E909" s="461" t="s">
        <v>1497</v>
      </c>
    </row>
    <row r="910" spans="1:5" ht="27" x14ac:dyDescent="0.25">
      <c r="A910" s="508">
        <v>87442</v>
      </c>
      <c r="B910" s="509" t="s">
        <v>5030</v>
      </c>
      <c r="C910" s="508" t="s">
        <v>160</v>
      </c>
      <c r="D910" s="508">
        <v>0.1</v>
      </c>
      <c r="E910" s="461" t="s">
        <v>1497</v>
      </c>
    </row>
    <row r="911" spans="1:5" ht="27" x14ac:dyDescent="0.25">
      <c r="A911" s="508">
        <v>87443</v>
      </c>
      <c r="B911" s="509" t="s">
        <v>5031</v>
      </c>
      <c r="C911" s="508" t="s">
        <v>160</v>
      </c>
      <c r="D911" s="508">
        <v>0.59</v>
      </c>
      <c r="E911" s="461" t="s">
        <v>1497</v>
      </c>
    </row>
    <row r="912" spans="1:5" ht="27" x14ac:dyDescent="0.25">
      <c r="A912" s="508">
        <v>87444</v>
      </c>
      <c r="B912" s="509" t="s">
        <v>5032</v>
      </c>
      <c r="C912" s="508" t="s">
        <v>160</v>
      </c>
      <c r="D912" s="508">
        <v>4.1100000000000003</v>
      </c>
      <c r="E912" s="461" t="s">
        <v>1497</v>
      </c>
    </row>
    <row r="913" spans="1:5" ht="27" x14ac:dyDescent="0.25">
      <c r="A913" s="508">
        <v>88387</v>
      </c>
      <c r="B913" s="509" t="s">
        <v>5033</v>
      </c>
      <c r="C913" s="508" t="s">
        <v>160</v>
      </c>
      <c r="D913" s="508">
        <v>0.86</v>
      </c>
      <c r="E913" s="461" t="s">
        <v>1497</v>
      </c>
    </row>
    <row r="914" spans="1:5" ht="27" x14ac:dyDescent="0.25">
      <c r="A914" s="508">
        <v>88389</v>
      </c>
      <c r="B914" s="509" t="s">
        <v>5034</v>
      </c>
      <c r="C914" s="508" t="s">
        <v>160</v>
      </c>
      <c r="D914" s="508">
        <v>0.21</v>
      </c>
      <c r="E914" s="461" t="s">
        <v>1497</v>
      </c>
    </row>
    <row r="915" spans="1:5" ht="27" x14ac:dyDescent="0.25">
      <c r="A915" s="508">
        <v>88390</v>
      </c>
      <c r="B915" s="509" t="s">
        <v>5035</v>
      </c>
      <c r="C915" s="508" t="s">
        <v>160</v>
      </c>
      <c r="D915" s="508">
        <v>1</v>
      </c>
      <c r="E915" s="461" t="s">
        <v>1497</v>
      </c>
    </row>
    <row r="916" spans="1:5" ht="27" x14ac:dyDescent="0.25">
      <c r="A916" s="508">
        <v>88391</v>
      </c>
      <c r="B916" s="509" t="s">
        <v>5036</v>
      </c>
      <c r="C916" s="508" t="s">
        <v>160</v>
      </c>
      <c r="D916" s="508">
        <v>2.31</v>
      </c>
      <c r="E916" s="461" t="s">
        <v>1497</v>
      </c>
    </row>
    <row r="917" spans="1:5" ht="27" x14ac:dyDescent="0.25">
      <c r="A917" s="508">
        <v>88394</v>
      </c>
      <c r="B917" s="509" t="s">
        <v>5037</v>
      </c>
      <c r="C917" s="508" t="s">
        <v>160</v>
      </c>
      <c r="D917" s="508">
        <v>1.02</v>
      </c>
      <c r="E917" s="461" t="s">
        <v>1497</v>
      </c>
    </row>
    <row r="918" spans="1:5" ht="27" x14ac:dyDescent="0.25">
      <c r="A918" s="508">
        <v>88395</v>
      </c>
      <c r="B918" s="509" t="s">
        <v>5038</v>
      </c>
      <c r="C918" s="508" t="s">
        <v>160</v>
      </c>
      <c r="D918" s="508">
        <v>0.25</v>
      </c>
      <c r="E918" s="461" t="s">
        <v>1497</v>
      </c>
    </row>
    <row r="919" spans="1:5" ht="27" x14ac:dyDescent="0.25">
      <c r="A919" s="508">
        <v>88396</v>
      </c>
      <c r="B919" s="509" t="s">
        <v>5039</v>
      </c>
      <c r="C919" s="508" t="s">
        <v>160</v>
      </c>
      <c r="D919" s="508">
        <v>1.19</v>
      </c>
      <c r="E919" s="461" t="s">
        <v>1497</v>
      </c>
    </row>
    <row r="920" spans="1:5" ht="27" x14ac:dyDescent="0.25">
      <c r="A920" s="508">
        <v>88397</v>
      </c>
      <c r="B920" s="509" t="s">
        <v>5040</v>
      </c>
      <c r="C920" s="508" t="s">
        <v>160</v>
      </c>
      <c r="D920" s="508">
        <v>3.47</v>
      </c>
      <c r="E920" s="461" t="s">
        <v>1497</v>
      </c>
    </row>
    <row r="921" spans="1:5" ht="27" x14ac:dyDescent="0.25">
      <c r="A921" s="508">
        <v>88400</v>
      </c>
      <c r="B921" s="509" t="s">
        <v>5041</v>
      </c>
      <c r="C921" s="508" t="s">
        <v>160</v>
      </c>
      <c r="D921" s="508">
        <v>0.81</v>
      </c>
      <c r="E921" s="461" t="s">
        <v>1497</v>
      </c>
    </row>
    <row r="922" spans="1:5" ht="27" x14ac:dyDescent="0.25">
      <c r="A922" s="508">
        <v>88401</v>
      </c>
      <c r="B922" s="509" t="s">
        <v>5042</v>
      </c>
      <c r="C922" s="508" t="s">
        <v>160</v>
      </c>
      <c r="D922" s="508">
        <v>0.2</v>
      </c>
      <c r="E922" s="461" t="s">
        <v>1497</v>
      </c>
    </row>
    <row r="923" spans="1:5" ht="27" x14ac:dyDescent="0.25">
      <c r="A923" s="508">
        <v>88402</v>
      </c>
      <c r="B923" s="509" t="s">
        <v>5043</v>
      </c>
      <c r="C923" s="508" t="s">
        <v>160</v>
      </c>
      <c r="D923" s="508">
        <v>0.94</v>
      </c>
      <c r="E923" s="461" t="s">
        <v>1497</v>
      </c>
    </row>
    <row r="924" spans="1:5" ht="27" x14ac:dyDescent="0.25">
      <c r="A924" s="508">
        <v>88403</v>
      </c>
      <c r="B924" s="509" t="s">
        <v>5044</v>
      </c>
      <c r="C924" s="508" t="s">
        <v>160</v>
      </c>
      <c r="D924" s="508">
        <v>1.38</v>
      </c>
      <c r="E924" s="461" t="s">
        <v>1497</v>
      </c>
    </row>
    <row r="925" spans="1:5" ht="27" x14ac:dyDescent="0.25">
      <c r="A925" s="508">
        <v>88419</v>
      </c>
      <c r="B925" s="509" t="s">
        <v>510</v>
      </c>
      <c r="C925" s="508" t="s">
        <v>160</v>
      </c>
      <c r="D925" s="508">
        <v>5.64</v>
      </c>
      <c r="E925" s="461" t="s">
        <v>1497</v>
      </c>
    </row>
    <row r="926" spans="1:5" ht="27" x14ac:dyDescent="0.25">
      <c r="A926" s="508">
        <v>88422</v>
      </c>
      <c r="B926" s="509" t="s">
        <v>511</v>
      </c>
      <c r="C926" s="508" t="s">
        <v>160</v>
      </c>
      <c r="D926" s="508">
        <v>1.3</v>
      </c>
      <c r="E926" s="461" t="s">
        <v>1497</v>
      </c>
    </row>
    <row r="927" spans="1:5" ht="27" x14ac:dyDescent="0.25">
      <c r="A927" s="508">
        <v>88425</v>
      </c>
      <c r="B927" s="509" t="s">
        <v>512</v>
      </c>
      <c r="C927" s="508" t="s">
        <v>160</v>
      </c>
      <c r="D927" s="508">
        <v>7.05</v>
      </c>
      <c r="E927" s="461" t="s">
        <v>1497</v>
      </c>
    </row>
    <row r="928" spans="1:5" ht="27" x14ac:dyDescent="0.25">
      <c r="A928" s="508">
        <v>88427</v>
      </c>
      <c r="B928" s="509" t="s">
        <v>513</v>
      </c>
      <c r="C928" s="508" t="s">
        <v>160</v>
      </c>
      <c r="D928" s="508">
        <v>0.78</v>
      </c>
      <c r="E928" s="461" t="s">
        <v>1497</v>
      </c>
    </row>
    <row r="929" spans="1:5" ht="27" x14ac:dyDescent="0.25">
      <c r="A929" s="508">
        <v>88434</v>
      </c>
      <c r="B929" s="509" t="s">
        <v>514</v>
      </c>
      <c r="C929" s="508" t="s">
        <v>160</v>
      </c>
      <c r="D929" s="508">
        <v>7.48</v>
      </c>
      <c r="E929" s="461" t="s">
        <v>1497</v>
      </c>
    </row>
    <row r="930" spans="1:5" ht="27" x14ac:dyDescent="0.25">
      <c r="A930" s="508">
        <v>88435</v>
      </c>
      <c r="B930" s="509" t="s">
        <v>515</v>
      </c>
      <c r="C930" s="508" t="s">
        <v>160</v>
      </c>
      <c r="D930" s="508">
        <v>1.73</v>
      </c>
      <c r="E930" s="461" t="s">
        <v>1497</v>
      </c>
    </row>
    <row r="931" spans="1:5" ht="27" x14ac:dyDescent="0.25">
      <c r="A931" s="508">
        <v>88436</v>
      </c>
      <c r="B931" s="509" t="s">
        <v>516</v>
      </c>
      <c r="C931" s="508" t="s">
        <v>160</v>
      </c>
      <c r="D931" s="508">
        <v>9.35</v>
      </c>
      <c r="E931" s="461" t="s">
        <v>1497</v>
      </c>
    </row>
    <row r="932" spans="1:5" ht="27" x14ac:dyDescent="0.25">
      <c r="A932" s="508">
        <v>88437</v>
      </c>
      <c r="B932" s="509" t="s">
        <v>517</v>
      </c>
      <c r="C932" s="508" t="s">
        <v>160</v>
      </c>
      <c r="D932" s="508">
        <v>0.78</v>
      </c>
      <c r="E932" s="461" t="s">
        <v>1497</v>
      </c>
    </row>
    <row r="933" spans="1:5" ht="27" x14ac:dyDescent="0.25">
      <c r="A933" s="508">
        <v>88569</v>
      </c>
      <c r="B933" s="509" t="s">
        <v>518</v>
      </c>
      <c r="C933" s="508" t="s">
        <v>160</v>
      </c>
      <c r="D933" s="508">
        <v>3.96</v>
      </c>
      <c r="E933" s="461" t="s">
        <v>1497</v>
      </c>
    </row>
    <row r="934" spans="1:5" ht="27" x14ac:dyDescent="0.25">
      <c r="A934" s="508">
        <v>88570</v>
      </c>
      <c r="B934" s="509" t="s">
        <v>519</v>
      </c>
      <c r="C934" s="508" t="s">
        <v>160</v>
      </c>
      <c r="D934" s="508">
        <v>1.28</v>
      </c>
      <c r="E934" s="461" t="s">
        <v>1497</v>
      </c>
    </row>
    <row r="935" spans="1:5" ht="27" x14ac:dyDescent="0.25">
      <c r="A935" s="508">
        <v>88826</v>
      </c>
      <c r="B935" s="509" t="s">
        <v>5045</v>
      </c>
      <c r="C935" s="508" t="s">
        <v>160</v>
      </c>
      <c r="D935" s="508">
        <v>0.32</v>
      </c>
      <c r="E935" s="461" t="s">
        <v>1497</v>
      </c>
    </row>
    <row r="936" spans="1:5" ht="27" x14ac:dyDescent="0.25">
      <c r="A936" s="508">
        <v>88827</v>
      </c>
      <c r="B936" s="509" t="s">
        <v>5046</v>
      </c>
      <c r="C936" s="508" t="s">
        <v>160</v>
      </c>
      <c r="D936" s="508">
        <v>0.08</v>
      </c>
      <c r="E936" s="461" t="s">
        <v>1497</v>
      </c>
    </row>
    <row r="937" spans="1:5" ht="27" x14ac:dyDescent="0.25">
      <c r="A937" s="508">
        <v>88828</v>
      </c>
      <c r="B937" s="509" t="s">
        <v>5047</v>
      </c>
      <c r="C937" s="508" t="s">
        <v>160</v>
      </c>
      <c r="D937" s="508">
        <v>0.37</v>
      </c>
      <c r="E937" s="461" t="s">
        <v>1497</v>
      </c>
    </row>
    <row r="938" spans="1:5" ht="27" x14ac:dyDescent="0.25">
      <c r="A938" s="508">
        <v>88829</v>
      </c>
      <c r="B938" s="509" t="s">
        <v>5048</v>
      </c>
      <c r="C938" s="508" t="s">
        <v>160</v>
      </c>
      <c r="D938" s="508">
        <v>0.92</v>
      </c>
      <c r="E938" s="461" t="s">
        <v>1497</v>
      </c>
    </row>
    <row r="939" spans="1:5" ht="27" x14ac:dyDescent="0.25">
      <c r="A939" s="508">
        <v>88832</v>
      </c>
      <c r="B939" s="509" t="s">
        <v>520</v>
      </c>
      <c r="C939" s="508" t="s">
        <v>160</v>
      </c>
      <c r="D939" s="508">
        <v>43.27</v>
      </c>
      <c r="E939" s="461" t="s">
        <v>1497</v>
      </c>
    </row>
    <row r="940" spans="1:5" ht="27" x14ac:dyDescent="0.25">
      <c r="A940" s="508">
        <v>88834</v>
      </c>
      <c r="B940" s="509" t="s">
        <v>521</v>
      </c>
      <c r="C940" s="508" t="s">
        <v>160</v>
      </c>
      <c r="D940" s="508">
        <v>11.43</v>
      </c>
      <c r="E940" s="461" t="s">
        <v>1497</v>
      </c>
    </row>
    <row r="941" spans="1:5" ht="27" x14ac:dyDescent="0.25">
      <c r="A941" s="508">
        <v>88835</v>
      </c>
      <c r="B941" s="509" t="s">
        <v>522</v>
      </c>
      <c r="C941" s="508" t="s">
        <v>160</v>
      </c>
      <c r="D941" s="508">
        <v>54.09</v>
      </c>
      <c r="E941" s="461" t="s">
        <v>1497</v>
      </c>
    </row>
    <row r="942" spans="1:5" ht="27" x14ac:dyDescent="0.25">
      <c r="A942" s="508">
        <v>88836</v>
      </c>
      <c r="B942" s="509" t="s">
        <v>523</v>
      </c>
      <c r="C942" s="508" t="s">
        <v>160</v>
      </c>
      <c r="D942" s="508">
        <v>61.99</v>
      </c>
      <c r="E942" s="461" t="s">
        <v>1497</v>
      </c>
    </row>
    <row r="943" spans="1:5" ht="27" x14ac:dyDescent="0.25">
      <c r="A943" s="508">
        <v>88839</v>
      </c>
      <c r="B943" s="509" t="s">
        <v>524</v>
      </c>
      <c r="C943" s="508" t="s">
        <v>160</v>
      </c>
      <c r="D943" s="508">
        <v>32.89</v>
      </c>
      <c r="E943" s="461" t="s">
        <v>1497</v>
      </c>
    </row>
    <row r="944" spans="1:5" ht="27" x14ac:dyDescent="0.25">
      <c r="A944" s="508">
        <v>88840</v>
      </c>
      <c r="B944" s="509" t="s">
        <v>525</v>
      </c>
      <c r="C944" s="508" t="s">
        <v>160</v>
      </c>
      <c r="D944" s="508">
        <v>14.48</v>
      </c>
      <c r="E944" s="461" t="s">
        <v>1497</v>
      </c>
    </row>
    <row r="945" spans="1:5" ht="27" x14ac:dyDescent="0.25">
      <c r="A945" s="508">
        <v>88841</v>
      </c>
      <c r="B945" s="509" t="s">
        <v>526</v>
      </c>
      <c r="C945" s="508" t="s">
        <v>160</v>
      </c>
      <c r="D945" s="508">
        <v>58.8</v>
      </c>
      <c r="E945" s="461" t="s">
        <v>1497</v>
      </c>
    </row>
    <row r="946" spans="1:5" ht="27" x14ac:dyDescent="0.25">
      <c r="A946" s="508">
        <v>88842</v>
      </c>
      <c r="B946" s="509" t="s">
        <v>527</v>
      </c>
      <c r="C946" s="508" t="s">
        <v>160</v>
      </c>
      <c r="D946" s="508">
        <v>75.87</v>
      </c>
      <c r="E946" s="461" t="s">
        <v>1497</v>
      </c>
    </row>
    <row r="947" spans="1:5" ht="40.5" x14ac:dyDescent="0.25">
      <c r="A947" s="508">
        <v>88847</v>
      </c>
      <c r="B947" s="509" t="s">
        <v>528</v>
      </c>
      <c r="C947" s="508" t="s">
        <v>160</v>
      </c>
      <c r="D947" s="508">
        <v>22.82</v>
      </c>
      <c r="E947" s="461" t="s">
        <v>1497</v>
      </c>
    </row>
    <row r="948" spans="1:5" ht="40.5" x14ac:dyDescent="0.25">
      <c r="A948" s="508">
        <v>88848</v>
      </c>
      <c r="B948" s="509" t="s">
        <v>529</v>
      </c>
      <c r="C948" s="508" t="s">
        <v>160</v>
      </c>
      <c r="D948" s="508">
        <v>9.3800000000000008</v>
      </c>
      <c r="E948" s="461" t="s">
        <v>1497</v>
      </c>
    </row>
    <row r="949" spans="1:5" ht="40.5" x14ac:dyDescent="0.25">
      <c r="A949" s="508">
        <v>88853</v>
      </c>
      <c r="B949" s="509" t="s">
        <v>530</v>
      </c>
      <c r="C949" s="508" t="s">
        <v>160</v>
      </c>
      <c r="D949" s="508">
        <v>0.3</v>
      </c>
      <c r="E949" s="461" t="s">
        <v>1497</v>
      </c>
    </row>
    <row r="950" spans="1:5" ht="40.5" x14ac:dyDescent="0.25">
      <c r="A950" s="508">
        <v>88854</v>
      </c>
      <c r="B950" s="509" t="s">
        <v>531</v>
      </c>
      <c r="C950" s="508" t="s">
        <v>160</v>
      </c>
      <c r="D950" s="508">
        <v>7.0000000000000007E-2</v>
      </c>
      <c r="E950" s="461" t="s">
        <v>1497</v>
      </c>
    </row>
    <row r="951" spans="1:5" ht="27" x14ac:dyDescent="0.25">
      <c r="A951" s="508">
        <v>88855</v>
      </c>
      <c r="B951" s="509" t="s">
        <v>5049</v>
      </c>
      <c r="C951" s="508" t="s">
        <v>160</v>
      </c>
      <c r="D951" s="508">
        <v>3.21</v>
      </c>
      <c r="E951" s="461" t="s">
        <v>1497</v>
      </c>
    </row>
    <row r="952" spans="1:5" ht="27" x14ac:dyDescent="0.25">
      <c r="A952" s="508">
        <v>88856</v>
      </c>
      <c r="B952" s="509" t="s">
        <v>5050</v>
      </c>
      <c r="C952" s="508" t="s">
        <v>160</v>
      </c>
      <c r="D952" s="508">
        <v>0.88</v>
      </c>
      <c r="E952" s="461" t="s">
        <v>1497</v>
      </c>
    </row>
    <row r="953" spans="1:5" ht="40.5" x14ac:dyDescent="0.25">
      <c r="A953" s="508">
        <v>88857</v>
      </c>
      <c r="B953" s="509" t="s">
        <v>532</v>
      </c>
      <c r="C953" s="508" t="s">
        <v>160</v>
      </c>
      <c r="D953" s="508">
        <v>24.23</v>
      </c>
      <c r="E953" s="461" t="s">
        <v>1497</v>
      </c>
    </row>
    <row r="954" spans="1:5" ht="40.5" x14ac:dyDescent="0.25">
      <c r="A954" s="508">
        <v>88858</v>
      </c>
      <c r="B954" s="509" t="s">
        <v>533</v>
      </c>
      <c r="C954" s="508" t="s">
        <v>160</v>
      </c>
      <c r="D954" s="508">
        <v>6.4</v>
      </c>
      <c r="E954" s="461" t="s">
        <v>1497</v>
      </c>
    </row>
    <row r="955" spans="1:5" ht="40.5" x14ac:dyDescent="0.25">
      <c r="A955" s="508">
        <v>88859</v>
      </c>
      <c r="B955" s="509" t="s">
        <v>534</v>
      </c>
      <c r="C955" s="508" t="s">
        <v>160</v>
      </c>
      <c r="D955" s="508">
        <v>21.55</v>
      </c>
      <c r="E955" s="461" t="s">
        <v>1497</v>
      </c>
    </row>
    <row r="956" spans="1:5" ht="40.5" x14ac:dyDescent="0.25">
      <c r="A956" s="508">
        <v>88860</v>
      </c>
      <c r="B956" s="509" t="s">
        <v>535</v>
      </c>
      <c r="C956" s="508" t="s">
        <v>160</v>
      </c>
      <c r="D956" s="508">
        <v>5.69</v>
      </c>
      <c r="E956" s="461" t="s">
        <v>1497</v>
      </c>
    </row>
    <row r="957" spans="1:5" ht="27" x14ac:dyDescent="0.25">
      <c r="A957" s="508">
        <v>88900</v>
      </c>
      <c r="B957" s="509" t="s">
        <v>536</v>
      </c>
      <c r="C957" s="508" t="s">
        <v>160</v>
      </c>
      <c r="D957" s="508">
        <v>50.46</v>
      </c>
      <c r="E957" s="461" t="s">
        <v>1497</v>
      </c>
    </row>
    <row r="958" spans="1:5" ht="27" x14ac:dyDescent="0.25">
      <c r="A958" s="508">
        <v>88902</v>
      </c>
      <c r="B958" s="509" t="s">
        <v>537</v>
      </c>
      <c r="C958" s="508" t="s">
        <v>160</v>
      </c>
      <c r="D958" s="508">
        <v>13.33</v>
      </c>
      <c r="E958" s="461" t="s">
        <v>1497</v>
      </c>
    </row>
    <row r="959" spans="1:5" ht="27" x14ac:dyDescent="0.25">
      <c r="A959" s="508">
        <v>88903</v>
      </c>
      <c r="B959" s="509" t="s">
        <v>538</v>
      </c>
      <c r="C959" s="508" t="s">
        <v>160</v>
      </c>
      <c r="D959" s="508">
        <v>63.07</v>
      </c>
      <c r="E959" s="461" t="s">
        <v>1497</v>
      </c>
    </row>
    <row r="960" spans="1:5" ht="27" x14ac:dyDescent="0.25">
      <c r="A960" s="508">
        <v>88904</v>
      </c>
      <c r="B960" s="509" t="s">
        <v>539</v>
      </c>
      <c r="C960" s="508" t="s">
        <v>160</v>
      </c>
      <c r="D960" s="508">
        <v>87.32</v>
      </c>
      <c r="E960" s="461" t="s">
        <v>1497</v>
      </c>
    </row>
    <row r="961" spans="1:5" ht="27" x14ac:dyDescent="0.25">
      <c r="A961" s="508">
        <v>89009</v>
      </c>
      <c r="B961" s="509" t="s">
        <v>540</v>
      </c>
      <c r="C961" s="508" t="s">
        <v>160</v>
      </c>
      <c r="D961" s="508">
        <v>40.74</v>
      </c>
      <c r="E961" s="461" t="s">
        <v>1497</v>
      </c>
    </row>
    <row r="962" spans="1:5" ht="27" x14ac:dyDescent="0.25">
      <c r="A962" s="508">
        <v>89010</v>
      </c>
      <c r="B962" s="509" t="s">
        <v>541</v>
      </c>
      <c r="C962" s="508" t="s">
        <v>160</v>
      </c>
      <c r="D962" s="508">
        <v>17.940000000000001</v>
      </c>
      <c r="E962" s="461" t="s">
        <v>1497</v>
      </c>
    </row>
    <row r="963" spans="1:5" ht="40.5" x14ac:dyDescent="0.25">
      <c r="A963" s="508">
        <v>89011</v>
      </c>
      <c r="B963" s="509" t="s">
        <v>542</v>
      </c>
      <c r="C963" s="508" t="s">
        <v>160</v>
      </c>
      <c r="D963" s="508">
        <v>23.38</v>
      </c>
      <c r="E963" s="461" t="s">
        <v>1497</v>
      </c>
    </row>
    <row r="964" spans="1:5" ht="40.5" x14ac:dyDescent="0.25">
      <c r="A964" s="508">
        <v>89012</v>
      </c>
      <c r="B964" s="509" t="s">
        <v>543</v>
      </c>
      <c r="C964" s="508" t="s">
        <v>160</v>
      </c>
      <c r="D964" s="508">
        <v>6.17</v>
      </c>
      <c r="E964" s="461" t="s">
        <v>1497</v>
      </c>
    </row>
    <row r="965" spans="1:5" ht="27" x14ac:dyDescent="0.25">
      <c r="A965" s="508">
        <v>89013</v>
      </c>
      <c r="B965" s="509" t="s">
        <v>544</v>
      </c>
      <c r="C965" s="508" t="s">
        <v>160</v>
      </c>
      <c r="D965" s="508">
        <v>133.44</v>
      </c>
      <c r="E965" s="461" t="s">
        <v>1497</v>
      </c>
    </row>
    <row r="966" spans="1:5" ht="27" x14ac:dyDescent="0.25">
      <c r="A966" s="508">
        <v>89014</v>
      </c>
      <c r="B966" s="509" t="s">
        <v>545</v>
      </c>
      <c r="C966" s="508" t="s">
        <v>160</v>
      </c>
      <c r="D966" s="508">
        <v>58.78</v>
      </c>
      <c r="E966" s="461" t="s">
        <v>1497</v>
      </c>
    </row>
    <row r="967" spans="1:5" ht="27" x14ac:dyDescent="0.25">
      <c r="A967" s="508">
        <v>89015</v>
      </c>
      <c r="B967" s="509" t="s">
        <v>546</v>
      </c>
      <c r="C967" s="508" t="s">
        <v>160</v>
      </c>
      <c r="D967" s="508">
        <v>3.7</v>
      </c>
      <c r="E967" s="461" t="s">
        <v>1497</v>
      </c>
    </row>
    <row r="968" spans="1:5" ht="27" x14ac:dyDescent="0.25">
      <c r="A968" s="508">
        <v>89016</v>
      </c>
      <c r="B968" s="509" t="s">
        <v>547</v>
      </c>
      <c r="C968" s="508" t="s">
        <v>160</v>
      </c>
      <c r="D968" s="508">
        <v>0.98</v>
      </c>
      <c r="E968" s="461" t="s">
        <v>1497</v>
      </c>
    </row>
    <row r="969" spans="1:5" ht="27" x14ac:dyDescent="0.25">
      <c r="A969" s="508">
        <v>89017</v>
      </c>
      <c r="B969" s="509" t="s">
        <v>548</v>
      </c>
      <c r="C969" s="508" t="s">
        <v>160</v>
      </c>
      <c r="D969" s="508">
        <v>40.49</v>
      </c>
      <c r="E969" s="461" t="s">
        <v>1497</v>
      </c>
    </row>
    <row r="970" spans="1:5" ht="27" x14ac:dyDescent="0.25">
      <c r="A970" s="508">
        <v>89018</v>
      </c>
      <c r="B970" s="509" t="s">
        <v>549</v>
      </c>
      <c r="C970" s="508" t="s">
        <v>160</v>
      </c>
      <c r="D970" s="508">
        <v>17.829999999999998</v>
      </c>
      <c r="E970" s="461" t="s">
        <v>1497</v>
      </c>
    </row>
    <row r="971" spans="1:5" ht="40.5" x14ac:dyDescent="0.25">
      <c r="A971" s="508">
        <v>89019</v>
      </c>
      <c r="B971" s="509" t="s">
        <v>5051</v>
      </c>
      <c r="C971" s="508" t="s">
        <v>160</v>
      </c>
      <c r="D971" s="508">
        <v>0.4</v>
      </c>
      <c r="E971" s="461" t="s">
        <v>1497</v>
      </c>
    </row>
    <row r="972" spans="1:5" ht="27" x14ac:dyDescent="0.25">
      <c r="A972" s="508">
        <v>89020</v>
      </c>
      <c r="B972" s="509" t="s">
        <v>5052</v>
      </c>
      <c r="C972" s="508" t="s">
        <v>160</v>
      </c>
      <c r="D972" s="508">
        <v>0.09</v>
      </c>
      <c r="E972" s="461" t="s">
        <v>1497</v>
      </c>
    </row>
    <row r="973" spans="1:5" ht="27" x14ac:dyDescent="0.25">
      <c r="A973" s="508">
        <v>89023</v>
      </c>
      <c r="B973" s="509" t="s">
        <v>5053</v>
      </c>
      <c r="C973" s="508" t="s">
        <v>160</v>
      </c>
      <c r="D973" s="508">
        <v>3.48</v>
      </c>
      <c r="E973" s="461" t="s">
        <v>1497</v>
      </c>
    </row>
    <row r="974" spans="1:5" ht="15" x14ac:dyDescent="0.25">
      <c r="A974" s="508">
        <v>89024</v>
      </c>
      <c r="B974" s="509" t="s">
        <v>5054</v>
      </c>
      <c r="C974" s="508" t="s">
        <v>160</v>
      </c>
      <c r="D974" s="508">
        <v>1.28</v>
      </c>
      <c r="E974" s="461" t="s">
        <v>1497</v>
      </c>
    </row>
    <row r="975" spans="1:5" ht="27" x14ac:dyDescent="0.25">
      <c r="A975" s="508">
        <v>89025</v>
      </c>
      <c r="B975" s="509" t="s">
        <v>5055</v>
      </c>
      <c r="C975" s="508" t="s">
        <v>160</v>
      </c>
      <c r="D975" s="508">
        <v>4.6399999999999997</v>
      </c>
      <c r="E975" s="461" t="s">
        <v>1497</v>
      </c>
    </row>
    <row r="976" spans="1:5" ht="27" x14ac:dyDescent="0.25">
      <c r="A976" s="508">
        <v>89026</v>
      </c>
      <c r="B976" s="509" t="s">
        <v>5056</v>
      </c>
      <c r="C976" s="508" t="s">
        <v>160</v>
      </c>
      <c r="D976" s="508">
        <v>166.01</v>
      </c>
      <c r="E976" s="461" t="s">
        <v>1497</v>
      </c>
    </row>
    <row r="977" spans="1:5" ht="27" x14ac:dyDescent="0.25">
      <c r="A977" s="508">
        <v>89029</v>
      </c>
      <c r="B977" s="509" t="s">
        <v>550</v>
      </c>
      <c r="C977" s="508" t="s">
        <v>160</v>
      </c>
      <c r="D977" s="508">
        <v>31.42</v>
      </c>
      <c r="E977" s="461" t="s">
        <v>1497</v>
      </c>
    </row>
    <row r="978" spans="1:5" ht="27" x14ac:dyDescent="0.25">
      <c r="A978" s="508">
        <v>89030</v>
      </c>
      <c r="B978" s="509" t="s">
        <v>551</v>
      </c>
      <c r="C978" s="508" t="s">
        <v>160</v>
      </c>
      <c r="D978" s="508">
        <v>13.84</v>
      </c>
      <c r="E978" s="461" t="s">
        <v>1497</v>
      </c>
    </row>
    <row r="979" spans="1:5" ht="27" x14ac:dyDescent="0.25">
      <c r="A979" s="508">
        <v>89033</v>
      </c>
      <c r="B979" s="509" t="s">
        <v>552</v>
      </c>
      <c r="C979" s="508" t="s">
        <v>160</v>
      </c>
      <c r="D979" s="508">
        <v>13.22</v>
      </c>
      <c r="E979" s="461" t="s">
        <v>1497</v>
      </c>
    </row>
    <row r="980" spans="1:5" ht="27" x14ac:dyDescent="0.25">
      <c r="A980" s="508">
        <v>89034</v>
      </c>
      <c r="B980" s="509" t="s">
        <v>553</v>
      </c>
      <c r="C980" s="508" t="s">
        <v>160</v>
      </c>
      <c r="D980" s="508">
        <v>3.54</v>
      </c>
      <c r="E980" s="461" t="s">
        <v>1497</v>
      </c>
    </row>
    <row r="981" spans="1:5" ht="27" x14ac:dyDescent="0.25">
      <c r="A981" s="508">
        <v>89128</v>
      </c>
      <c r="B981" s="509" t="s">
        <v>554</v>
      </c>
      <c r="C981" s="508" t="s">
        <v>160</v>
      </c>
      <c r="D981" s="508">
        <v>34.299999999999997</v>
      </c>
      <c r="E981" s="461" t="s">
        <v>1497</v>
      </c>
    </row>
    <row r="982" spans="1:5" ht="27" x14ac:dyDescent="0.25">
      <c r="A982" s="508">
        <v>89129</v>
      </c>
      <c r="B982" s="509" t="s">
        <v>555</v>
      </c>
      <c r="C982" s="508" t="s">
        <v>160</v>
      </c>
      <c r="D982" s="508">
        <v>9.06</v>
      </c>
      <c r="E982" s="461" t="s">
        <v>1497</v>
      </c>
    </row>
    <row r="983" spans="1:5" ht="27" x14ac:dyDescent="0.25">
      <c r="A983" s="508">
        <v>89130</v>
      </c>
      <c r="B983" s="509" t="s">
        <v>556</v>
      </c>
      <c r="C983" s="508" t="s">
        <v>160</v>
      </c>
      <c r="D983" s="508">
        <v>47.56</v>
      </c>
      <c r="E983" s="461" t="s">
        <v>1497</v>
      </c>
    </row>
    <row r="984" spans="1:5" ht="27" x14ac:dyDescent="0.25">
      <c r="A984" s="508">
        <v>89131</v>
      </c>
      <c r="B984" s="509" t="s">
        <v>557</v>
      </c>
      <c r="C984" s="508" t="s">
        <v>160</v>
      </c>
      <c r="D984" s="508">
        <v>12.57</v>
      </c>
      <c r="E984" s="461" t="s">
        <v>1497</v>
      </c>
    </row>
    <row r="985" spans="1:5" ht="40.5" x14ac:dyDescent="0.25">
      <c r="A985" s="508">
        <v>89210</v>
      </c>
      <c r="B985" s="509" t="s">
        <v>558</v>
      </c>
      <c r="C985" s="508" t="s">
        <v>160</v>
      </c>
      <c r="D985" s="508">
        <v>31.1</v>
      </c>
      <c r="E985" s="461" t="s">
        <v>1497</v>
      </c>
    </row>
    <row r="986" spans="1:5" ht="40.5" x14ac:dyDescent="0.25">
      <c r="A986" s="508">
        <v>89211</v>
      </c>
      <c r="B986" s="509" t="s">
        <v>559</v>
      </c>
      <c r="C986" s="508" t="s">
        <v>160</v>
      </c>
      <c r="D986" s="508">
        <v>8.34</v>
      </c>
      <c r="E986" s="461" t="s">
        <v>1497</v>
      </c>
    </row>
    <row r="987" spans="1:5" ht="27" x14ac:dyDescent="0.25">
      <c r="A987" s="508">
        <v>89212</v>
      </c>
      <c r="B987" s="509" t="s">
        <v>560</v>
      </c>
      <c r="C987" s="508" t="s">
        <v>160</v>
      </c>
      <c r="D987" s="508">
        <v>28.91</v>
      </c>
      <c r="E987" s="461" t="s">
        <v>1497</v>
      </c>
    </row>
    <row r="988" spans="1:5" ht="27" x14ac:dyDescent="0.25">
      <c r="A988" s="508">
        <v>89213</v>
      </c>
      <c r="B988" s="509" t="s">
        <v>561</v>
      </c>
      <c r="C988" s="508" t="s">
        <v>160</v>
      </c>
      <c r="D988" s="508">
        <v>8.92</v>
      </c>
      <c r="E988" s="461" t="s">
        <v>1497</v>
      </c>
    </row>
    <row r="989" spans="1:5" ht="27" x14ac:dyDescent="0.25">
      <c r="A989" s="508">
        <v>89214</v>
      </c>
      <c r="B989" s="509" t="s">
        <v>562</v>
      </c>
      <c r="C989" s="508" t="s">
        <v>160</v>
      </c>
      <c r="D989" s="508">
        <v>27.14</v>
      </c>
      <c r="E989" s="461" t="s">
        <v>1497</v>
      </c>
    </row>
    <row r="990" spans="1:5" ht="27" x14ac:dyDescent="0.25">
      <c r="A990" s="508">
        <v>89215</v>
      </c>
      <c r="B990" s="509" t="s">
        <v>563</v>
      </c>
      <c r="C990" s="508" t="s">
        <v>160</v>
      </c>
      <c r="D990" s="508">
        <v>90.17</v>
      </c>
      <c r="E990" s="461" t="s">
        <v>1497</v>
      </c>
    </row>
    <row r="991" spans="1:5" ht="27" x14ac:dyDescent="0.25">
      <c r="A991" s="508">
        <v>89221</v>
      </c>
      <c r="B991" s="509" t="s">
        <v>5057</v>
      </c>
      <c r="C991" s="508" t="s">
        <v>160</v>
      </c>
      <c r="D991" s="508">
        <v>1.32</v>
      </c>
      <c r="E991" s="461" t="s">
        <v>1497</v>
      </c>
    </row>
    <row r="992" spans="1:5" ht="27" x14ac:dyDescent="0.25">
      <c r="A992" s="508">
        <v>89222</v>
      </c>
      <c r="B992" s="509" t="s">
        <v>5058</v>
      </c>
      <c r="C992" s="508" t="s">
        <v>160</v>
      </c>
      <c r="D992" s="508">
        <v>0.32</v>
      </c>
      <c r="E992" s="461" t="s">
        <v>1497</v>
      </c>
    </row>
    <row r="993" spans="1:5" ht="27" x14ac:dyDescent="0.25">
      <c r="A993" s="508">
        <v>89223</v>
      </c>
      <c r="B993" s="509" t="s">
        <v>5059</v>
      </c>
      <c r="C993" s="508" t="s">
        <v>160</v>
      </c>
      <c r="D993" s="508">
        <v>1.54</v>
      </c>
      <c r="E993" s="461" t="s">
        <v>1497</v>
      </c>
    </row>
    <row r="994" spans="1:5" ht="27" x14ac:dyDescent="0.25">
      <c r="A994" s="508">
        <v>89224</v>
      </c>
      <c r="B994" s="509" t="s">
        <v>5060</v>
      </c>
      <c r="C994" s="508" t="s">
        <v>160</v>
      </c>
      <c r="D994" s="508">
        <v>1.85</v>
      </c>
      <c r="E994" s="461" t="s">
        <v>1497</v>
      </c>
    </row>
    <row r="995" spans="1:5" ht="27" x14ac:dyDescent="0.25">
      <c r="A995" s="508">
        <v>89228</v>
      </c>
      <c r="B995" s="509" t="s">
        <v>564</v>
      </c>
      <c r="C995" s="508" t="s">
        <v>160</v>
      </c>
      <c r="D995" s="508">
        <v>45</v>
      </c>
      <c r="E995" s="461" t="s">
        <v>1497</v>
      </c>
    </row>
    <row r="996" spans="1:5" ht="27" x14ac:dyDescent="0.25">
      <c r="A996" s="508">
        <v>89229</v>
      </c>
      <c r="B996" s="509" t="s">
        <v>565</v>
      </c>
      <c r="C996" s="508" t="s">
        <v>160</v>
      </c>
      <c r="D996" s="508">
        <v>15.86</v>
      </c>
      <c r="E996" s="461" t="s">
        <v>1497</v>
      </c>
    </row>
    <row r="997" spans="1:5" ht="27" x14ac:dyDescent="0.25">
      <c r="A997" s="508">
        <v>89230</v>
      </c>
      <c r="B997" s="509" t="s">
        <v>566</v>
      </c>
      <c r="C997" s="508" t="s">
        <v>160</v>
      </c>
      <c r="D997" s="508">
        <v>110.32</v>
      </c>
      <c r="E997" s="461" t="s">
        <v>1497</v>
      </c>
    </row>
    <row r="998" spans="1:5" ht="27" x14ac:dyDescent="0.25">
      <c r="A998" s="508">
        <v>89231</v>
      </c>
      <c r="B998" s="509" t="s">
        <v>567</v>
      </c>
      <c r="C998" s="508" t="s">
        <v>160</v>
      </c>
      <c r="D998" s="508">
        <v>33.78</v>
      </c>
      <c r="E998" s="461" t="s">
        <v>1497</v>
      </c>
    </row>
    <row r="999" spans="1:5" ht="27" x14ac:dyDescent="0.25">
      <c r="A999" s="508">
        <v>89232</v>
      </c>
      <c r="B999" s="509" t="s">
        <v>568</v>
      </c>
      <c r="C999" s="508" t="s">
        <v>160</v>
      </c>
      <c r="D999" s="508">
        <v>196.79</v>
      </c>
      <c r="E999" s="461" t="s">
        <v>1497</v>
      </c>
    </row>
    <row r="1000" spans="1:5" ht="27" x14ac:dyDescent="0.25">
      <c r="A1000" s="508">
        <v>89233</v>
      </c>
      <c r="B1000" s="509" t="s">
        <v>569</v>
      </c>
      <c r="C1000" s="508" t="s">
        <v>160</v>
      </c>
      <c r="D1000" s="508">
        <v>162.27000000000001</v>
      </c>
      <c r="E1000" s="461" t="s">
        <v>1497</v>
      </c>
    </row>
    <row r="1001" spans="1:5" ht="27" x14ac:dyDescent="0.25">
      <c r="A1001" s="508">
        <v>89236</v>
      </c>
      <c r="B1001" s="509" t="s">
        <v>570</v>
      </c>
      <c r="C1001" s="508" t="s">
        <v>160</v>
      </c>
      <c r="D1001" s="508">
        <v>257.70999999999998</v>
      </c>
      <c r="E1001" s="461" t="s">
        <v>1497</v>
      </c>
    </row>
    <row r="1002" spans="1:5" ht="27" x14ac:dyDescent="0.25">
      <c r="A1002" s="508">
        <v>89237</v>
      </c>
      <c r="B1002" s="509" t="s">
        <v>571</v>
      </c>
      <c r="C1002" s="508" t="s">
        <v>160</v>
      </c>
      <c r="D1002" s="508">
        <v>78.91</v>
      </c>
      <c r="E1002" s="461" t="s">
        <v>1497</v>
      </c>
    </row>
    <row r="1003" spans="1:5" ht="27" x14ac:dyDescent="0.25">
      <c r="A1003" s="508">
        <v>89238</v>
      </c>
      <c r="B1003" s="509" t="s">
        <v>572</v>
      </c>
      <c r="C1003" s="508" t="s">
        <v>160</v>
      </c>
      <c r="D1003" s="508">
        <v>459.69</v>
      </c>
      <c r="E1003" s="461" t="s">
        <v>1497</v>
      </c>
    </row>
    <row r="1004" spans="1:5" ht="27" x14ac:dyDescent="0.25">
      <c r="A1004" s="508">
        <v>89239</v>
      </c>
      <c r="B1004" s="509" t="s">
        <v>573</v>
      </c>
      <c r="C1004" s="508" t="s">
        <v>160</v>
      </c>
      <c r="D1004" s="508">
        <v>429.12</v>
      </c>
      <c r="E1004" s="461" t="s">
        <v>1497</v>
      </c>
    </row>
    <row r="1005" spans="1:5" ht="27" x14ac:dyDescent="0.25">
      <c r="A1005" s="508">
        <v>89240</v>
      </c>
      <c r="B1005" s="509" t="s">
        <v>574</v>
      </c>
      <c r="C1005" s="508" t="s">
        <v>160</v>
      </c>
      <c r="D1005" s="508">
        <v>79.09</v>
      </c>
      <c r="E1005" s="461" t="s">
        <v>1497</v>
      </c>
    </row>
    <row r="1006" spans="1:5" ht="27" x14ac:dyDescent="0.25">
      <c r="A1006" s="508">
        <v>89241</v>
      </c>
      <c r="B1006" s="509" t="s">
        <v>575</v>
      </c>
      <c r="C1006" s="508" t="s">
        <v>160</v>
      </c>
      <c r="D1006" s="508">
        <v>27.87</v>
      </c>
      <c r="E1006" s="461" t="s">
        <v>1497</v>
      </c>
    </row>
    <row r="1007" spans="1:5" ht="27" x14ac:dyDescent="0.25">
      <c r="A1007" s="508">
        <v>89246</v>
      </c>
      <c r="B1007" s="509" t="s">
        <v>576</v>
      </c>
      <c r="C1007" s="508" t="s">
        <v>160</v>
      </c>
      <c r="D1007" s="508">
        <v>223.94</v>
      </c>
      <c r="E1007" s="461" t="s">
        <v>1497</v>
      </c>
    </row>
    <row r="1008" spans="1:5" ht="27" x14ac:dyDescent="0.25">
      <c r="A1008" s="508">
        <v>89247</v>
      </c>
      <c r="B1008" s="509" t="s">
        <v>577</v>
      </c>
      <c r="C1008" s="508" t="s">
        <v>160</v>
      </c>
      <c r="D1008" s="508">
        <v>68.569999999999993</v>
      </c>
      <c r="E1008" s="461" t="s">
        <v>1497</v>
      </c>
    </row>
    <row r="1009" spans="1:5" ht="27" x14ac:dyDescent="0.25">
      <c r="A1009" s="508">
        <v>89248</v>
      </c>
      <c r="B1009" s="509" t="s">
        <v>578</v>
      </c>
      <c r="C1009" s="508" t="s">
        <v>160</v>
      </c>
      <c r="D1009" s="508">
        <v>399.44</v>
      </c>
      <c r="E1009" s="461" t="s">
        <v>1497</v>
      </c>
    </row>
    <row r="1010" spans="1:5" ht="27" x14ac:dyDescent="0.25">
      <c r="A1010" s="508">
        <v>89249</v>
      </c>
      <c r="B1010" s="509" t="s">
        <v>579</v>
      </c>
      <c r="C1010" s="508" t="s">
        <v>160</v>
      </c>
      <c r="D1010" s="508">
        <v>365.79</v>
      </c>
      <c r="E1010" s="461" t="s">
        <v>1497</v>
      </c>
    </row>
    <row r="1011" spans="1:5" ht="27" x14ac:dyDescent="0.25">
      <c r="A1011" s="508">
        <v>89253</v>
      </c>
      <c r="B1011" s="509" t="s">
        <v>580</v>
      </c>
      <c r="C1011" s="508" t="s">
        <v>160</v>
      </c>
      <c r="D1011" s="508">
        <v>64.81</v>
      </c>
      <c r="E1011" s="461" t="s">
        <v>1497</v>
      </c>
    </row>
    <row r="1012" spans="1:5" ht="27" x14ac:dyDescent="0.25">
      <c r="A1012" s="508">
        <v>89254</v>
      </c>
      <c r="B1012" s="509" t="s">
        <v>581</v>
      </c>
      <c r="C1012" s="508" t="s">
        <v>160</v>
      </c>
      <c r="D1012" s="508">
        <v>22.84</v>
      </c>
      <c r="E1012" s="461" t="s">
        <v>1497</v>
      </c>
    </row>
    <row r="1013" spans="1:5" ht="27" x14ac:dyDescent="0.25">
      <c r="A1013" s="508">
        <v>89255</v>
      </c>
      <c r="B1013" s="509" t="s">
        <v>582</v>
      </c>
      <c r="C1013" s="508" t="s">
        <v>160</v>
      </c>
      <c r="D1013" s="508">
        <v>104.18</v>
      </c>
      <c r="E1013" s="461" t="s">
        <v>1497</v>
      </c>
    </row>
    <row r="1014" spans="1:5" ht="27" x14ac:dyDescent="0.25">
      <c r="A1014" s="508">
        <v>89256</v>
      </c>
      <c r="B1014" s="509" t="s">
        <v>583</v>
      </c>
      <c r="C1014" s="508" t="s">
        <v>160</v>
      </c>
      <c r="D1014" s="508">
        <v>82.32</v>
      </c>
      <c r="E1014" s="461" t="s">
        <v>1497</v>
      </c>
    </row>
    <row r="1015" spans="1:5" ht="40.5" x14ac:dyDescent="0.25">
      <c r="A1015" s="508">
        <v>89259</v>
      </c>
      <c r="B1015" s="509" t="s">
        <v>584</v>
      </c>
      <c r="C1015" s="508" t="s">
        <v>160</v>
      </c>
      <c r="D1015" s="508">
        <v>27.03</v>
      </c>
      <c r="E1015" s="461" t="s">
        <v>1497</v>
      </c>
    </row>
    <row r="1016" spans="1:5" ht="40.5" x14ac:dyDescent="0.25">
      <c r="A1016" s="508">
        <v>89260</v>
      </c>
      <c r="B1016" s="509" t="s">
        <v>585</v>
      </c>
      <c r="C1016" s="508" t="s">
        <v>160</v>
      </c>
      <c r="D1016" s="508">
        <v>9.9600000000000009</v>
      </c>
      <c r="E1016" s="461" t="s">
        <v>1497</v>
      </c>
    </row>
    <row r="1017" spans="1:5" ht="40.5" x14ac:dyDescent="0.25">
      <c r="A1017" s="508">
        <v>89262</v>
      </c>
      <c r="B1017" s="509" t="s">
        <v>586</v>
      </c>
      <c r="C1017" s="508" t="s">
        <v>160</v>
      </c>
      <c r="D1017" s="508">
        <v>45.88</v>
      </c>
      <c r="E1017" s="461" t="s">
        <v>1497</v>
      </c>
    </row>
    <row r="1018" spans="1:5" ht="40.5" x14ac:dyDescent="0.25">
      <c r="A1018" s="508">
        <v>89264</v>
      </c>
      <c r="B1018" s="509" t="s">
        <v>587</v>
      </c>
      <c r="C1018" s="508" t="s">
        <v>160</v>
      </c>
      <c r="D1018" s="508">
        <v>20.95</v>
      </c>
      <c r="E1018" s="461" t="s">
        <v>1497</v>
      </c>
    </row>
    <row r="1019" spans="1:5" ht="40.5" x14ac:dyDescent="0.25">
      <c r="A1019" s="508">
        <v>89265</v>
      </c>
      <c r="B1019" s="509" t="s">
        <v>588</v>
      </c>
      <c r="C1019" s="508" t="s">
        <v>160</v>
      </c>
      <c r="D1019" s="508">
        <v>8.3699999999999992</v>
      </c>
      <c r="E1019" s="461" t="s">
        <v>1497</v>
      </c>
    </row>
    <row r="1020" spans="1:5" ht="40.5" x14ac:dyDescent="0.25">
      <c r="A1020" s="508">
        <v>89266</v>
      </c>
      <c r="B1020" s="509" t="s">
        <v>589</v>
      </c>
      <c r="C1020" s="508" t="s">
        <v>160</v>
      </c>
      <c r="D1020" s="508">
        <v>3.38</v>
      </c>
      <c r="E1020" s="461" t="s">
        <v>1497</v>
      </c>
    </row>
    <row r="1021" spans="1:5" ht="27" x14ac:dyDescent="0.25">
      <c r="A1021" s="508">
        <v>89267</v>
      </c>
      <c r="B1021" s="509" t="s">
        <v>590</v>
      </c>
      <c r="C1021" s="508" t="s">
        <v>160</v>
      </c>
      <c r="D1021" s="508">
        <v>50.32</v>
      </c>
      <c r="E1021" s="461" t="s">
        <v>1497</v>
      </c>
    </row>
    <row r="1022" spans="1:5" ht="27" x14ac:dyDescent="0.25">
      <c r="A1022" s="508">
        <v>89268</v>
      </c>
      <c r="B1022" s="509" t="s">
        <v>591</v>
      </c>
      <c r="C1022" s="508" t="s">
        <v>160</v>
      </c>
      <c r="D1022" s="508">
        <v>17.739999999999998</v>
      </c>
      <c r="E1022" s="461" t="s">
        <v>1497</v>
      </c>
    </row>
    <row r="1023" spans="1:5" ht="27" x14ac:dyDescent="0.25">
      <c r="A1023" s="508">
        <v>89269</v>
      </c>
      <c r="B1023" s="509" t="s">
        <v>592</v>
      </c>
      <c r="C1023" s="508" t="s">
        <v>160</v>
      </c>
      <c r="D1023" s="508">
        <v>7.17</v>
      </c>
      <c r="E1023" s="461" t="s">
        <v>1497</v>
      </c>
    </row>
    <row r="1024" spans="1:5" ht="27" x14ac:dyDescent="0.25">
      <c r="A1024" s="508">
        <v>89270</v>
      </c>
      <c r="B1024" s="509" t="s">
        <v>593</v>
      </c>
      <c r="C1024" s="508" t="s">
        <v>160</v>
      </c>
      <c r="D1024" s="508">
        <v>80.900000000000006</v>
      </c>
      <c r="E1024" s="461" t="s">
        <v>1497</v>
      </c>
    </row>
    <row r="1025" spans="1:5" ht="27" x14ac:dyDescent="0.25">
      <c r="A1025" s="508">
        <v>89271</v>
      </c>
      <c r="B1025" s="509" t="s">
        <v>594</v>
      </c>
      <c r="C1025" s="508" t="s">
        <v>160</v>
      </c>
      <c r="D1025" s="508">
        <v>28.17</v>
      </c>
      <c r="E1025" s="461" t="s">
        <v>1497</v>
      </c>
    </row>
    <row r="1026" spans="1:5" ht="27" x14ac:dyDescent="0.25">
      <c r="A1026" s="508">
        <v>89274</v>
      </c>
      <c r="B1026" s="509" t="s">
        <v>5061</v>
      </c>
      <c r="C1026" s="508" t="s">
        <v>160</v>
      </c>
      <c r="D1026" s="508">
        <v>1.6</v>
      </c>
      <c r="E1026" s="461" t="s">
        <v>1497</v>
      </c>
    </row>
    <row r="1027" spans="1:5" ht="27" x14ac:dyDescent="0.25">
      <c r="A1027" s="508">
        <v>89275</v>
      </c>
      <c r="B1027" s="509" t="s">
        <v>5062</v>
      </c>
      <c r="C1027" s="508" t="s">
        <v>160</v>
      </c>
      <c r="D1027" s="508">
        <v>0.39</v>
      </c>
      <c r="E1027" s="461" t="s">
        <v>1497</v>
      </c>
    </row>
    <row r="1028" spans="1:5" ht="27" x14ac:dyDescent="0.25">
      <c r="A1028" s="508">
        <v>89276</v>
      </c>
      <c r="B1028" s="509" t="s">
        <v>5063</v>
      </c>
      <c r="C1028" s="508" t="s">
        <v>160</v>
      </c>
      <c r="D1028" s="508">
        <v>2.13</v>
      </c>
      <c r="E1028" s="461" t="s">
        <v>1497</v>
      </c>
    </row>
    <row r="1029" spans="1:5" ht="27" x14ac:dyDescent="0.25">
      <c r="A1029" s="508">
        <v>89277</v>
      </c>
      <c r="B1029" s="509" t="s">
        <v>5064</v>
      </c>
      <c r="C1029" s="508" t="s">
        <v>160</v>
      </c>
      <c r="D1029" s="508">
        <v>8.23</v>
      </c>
      <c r="E1029" s="461" t="s">
        <v>1497</v>
      </c>
    </row>
    <row r="1030" spans="1:5" ht="27" x14ac:dyDescent="0.25">
      <c r="A1030" s="508">
        <v>89280</v>
      </c>
      <c r="B1030" s="509" t="s">
        <v>595</v>
      </c>
      <c r="C1030" s="508" t="s">
        <v>160</v>
      </c>
      <c r="D1030" s="508">
        <v>38.19</v>
      </c>
      <c r="E1030" s="461" t="s">
        <v>1497</v>
      </c>
    </row>
    <row r="1031" spans="1:5" ht="27" x14ac:dyDescent="0.25">
      <c r="A1031" s="508">
        <v>89281</v>
      </c>
      <c r="B1031" s="509" t="s">
        <v>596</v>
      </c>
      <c r="C1031" s="508" t="s">
        <v>160</v>
      </c>
      <c r="D1031" s="508">
        <v>10.24</v>
      </c>
      <c r="E1031" s="461" t="s">
        <v>1497</v>
      </c>
    </row>
    <row r="1032" spans="1:5" ht="40.5" x14ac:dyDescent="0.25">
      <c r="A1032" s="508">
        <v>89870</v>
      </c>
      <c r="B1032" s="509" t="s">
        <v>597</v>
      </c>
      <c r="C1032" s="508" t="s">
        <v>160</v>
      </c>
      <c r="D1032" s="508">
        <v>38.159999999999997</v>
      </c>
      <c r="E1032" s="461" t="s">
        <v>1497</v>
      </c>
    </row>
    <row r="1033" spans="1:5" ht="40.5" x14ac:dyDescent="0.25">
      <c r="A1033" s="508">
        <v>89871</v>
      </c>
      <c r="B1033" s="509" t="s">
        <v>598</v>
      </c>
      <c r="C1033" s="508" t="s">
        <v>160</v>
      </c>
      <c r="D1033" s="508">
        <v>13.51</v>
      </c>
      <c r="E1033" s="461" t="s">
        <v>1497</v>
      </c>
    </row>
    <row r="1034" spans="1:5" ht="40.5" x14ac:dyDescent="0.25">
      <c r="A1034" s="508">
        <v>89872</v>
      </c>
      <c r="B1034" s="509" t="s">
        <v>599</v>
      </c>
      <c r="C1034" s="508" t="s">
        <v>160</v>
      </c>
      <c r="D1034" s="508">
        <v>5.45</v>
      </c>
      <c r="E1034" s="461" t="s">
        <v>1497</v>
      </c>
    </row>
    <row r="1035" spans="1:5" ht="40.5" x14ac:dyDescent="0.25">
      <c r="A1035" s="508">
        <v>89873</v>
      </c>
      <c r="B1035" s="509" t="s">
        <v>600</v>
      </c>
      <c r="C1035" s="508" t="s">
        <v>160</v>
      </c>
      <c r="D1035" s="508">
        <v>65.52</v>
      </c>
      <c r="E1035" s="461" t="s">
        <v>1497</v>
      </c>
    </row>
    <row r="1036" spans="1:5" ht="40.5" x14ac:dyDescent="0.25">
      <c r="A1036" s="508">
        <v>89874</v>
      </c>
      <c r="B1036" s="509" t="s">
        <v>601</v>
      </c>
      <c r="C1036" s="508" t="s">
        <v>160</v>
      </c>
      <c r="D1036" s="508">
        <v>171.22</v>
      </c>
      <c r="E1036" s="461" t="s">
        <v>1497</v>
      </c>
    </row>
    <row r="1037" spans="1:5" ht="40.5" x14ac:dyDescent="0.25">
      <c r="A1037" s="508">
        <v>89878</v>
      </c>
      <c r="B1037" s="509" t="s">
        <v>602</v>
      </c>
      <c r="C1037" s="508" t="s">
        <v>160</v>
      </c>
      <c r="D1037" s="508">
        <v>40.770000000000003</v>
      </c>
      <c r="E1037" s="461" t="s">
        <v>1497</v>
      </c>
    </row>
    <row r="1038" spans="1:5" ht="40.5" x14ac:dyDescent="0.25">
      <c r="A1038" s="508">
        <v>89879</v>
      </c>
      <c r="B1038" s="509" t="s">
        <v>603</v>
      </c>
      <c r="C1038" s="508" t="s">
        <v>160</v>
      </c>
      <c r="D1038" s="508">
        <v>14.19</v>
      </c>
      <c r="E1038" s="461" t="s">
        <v>1497</v>
      </c>
    </row>
    <row r="1039" spans="1:5" ht="40.5" x14ac:dyDescent="0.25">
      <c r="A1039" s="508">
        <v>89880</v>
      </c>
      <c r="B1039" s="509" t="s">
        <v>604</v>
      </c>
      <c r="C1039" s="508" t="s">
        <v>160</v>
      </c>
      <c r="D1039" s="508">
        <v>5.73</v>
      </c>
      <c r="E1039" s="461" t="s">
        <v>1497</v>
      </c>
    </row>
    <row r="1040" spans="1:5" ht="40.5" x14ac:dyDescent="0.25">
      <c r="A1040" s="508">
        <v>89881</v>
      </c>
      <c r="B1040" s="509" t="s">
        <v>605</v>
      </c>
      <c r="C1040" s="508" t="s">
        <v>160</v>
      </c>
      <c r="D1040" s="508">
        <v>69.33</v>
      </c>
      <c r="E1040" s="461" t="s">
        <v>1497</v>
      </c>
    </row>
    <row r="1041" spans="1:5" ht="40.5" x14ac:dyDescent="0.25">
      <c r="A1041" s="508">
        <v>89882</v>
      </c>
      <c r="B1041" s="509" t="s">
        <v>606</v>
      </c>
      <c r="C1041" s="508" t="s">
        <v>160</v>
      </c>
      <c r="D1041" s="508">
        <v>197.54</v>
      </c>
      <c r="E1041" s="461" t="s">
        <v>1497</v>
      </c>
    </row>
    <row r="1042" spans="1:5" ht="27" x14ac:dyDescent="0.25">
      <c r="A1042" s="508">
        <v>90582</v>
      </c>
      <c r="B1042" s="509" t="s">
        <v>607</v>
      </c>
      <c r="C1042" s="508" t="s">
        <v>160</v>
      </c>
      <c r="D1042" s="508">
        <v>0.42</v>
      </c>
      <c r="E1042" s="461" t="s">
        <v>1497</v>
      </c>
    </row>
    <row r="1043" spans="1:5" ht="27" x14ac:dyDescent="0.25">
      <c r="A1043" s="508">
        <v>90583</v>
      </c>
      <c r="B1043" s="509" t="s">
        <v>608</v>
      </c>
      <c r="C1043" s="508" t="s">
        <v>160</v>
      </c>
      <c r="D1043" s="508">
        <v>0.09</v>
      </c>
      <c r="E1043" s="461" t="s">
        <v>1497</v>
      </c>
    </row>
    <row r="1044" spans="1:5" ht="27" x14ac:dyDescent="0.25">
      <c r="A1044" s="508">
        <v>90584</v>
      </c>
      <c r="B1044" s="509" t="s">
        <v>609</v>
      </c>
      <c r="C1044" s="508" t="s">
        <v>160</v>
      </c>
      <c r="D1044" s="508">
        <v>0.33</v>
      </c>
      <c r="E1044" s="461" t="s">
        <v>1497</v>
      </c>
    </row>
    <row r="1045" spans="1:5" ht="27" x14ac:dyDescent="0.25">
      <c r="A1045" s="508">
        <v>90585</v>
      </c>
      <c r="B1045" s="509" t="s">
        <v>610</v>
      </c>
      <c r="C1045" s="508" t="s">
        <v>160</v>
      </c>
      <c r="D1045" s="508">
        <v>0.38</v>
      </c>
      <c r="E1045" s="461" t="s">
        <v>1497</v>
      </c>
    </row>
    <row r="1046" spans="1:5" ht="27" x14ac:dyDescent="0.25">
      <c r="A1046" s="508">
        <v>90621</v>
      </c>
      <c r="B1046" s="509" t="s">
        <v>611</v>
      </c>
      <c r="C1046" s="508" t="s">
        <v>160</v>
      </c>
      <c r="D1046" s="508">
        <v>2.16</v>
      </c>
      <c r="E1046" s="461" t="s">
        <v>1497</v>
      </c>
    </row>
    <row r="1047" spans="1:5" ht="27" x14ac:dyDescent="0.25">
      <c r="A1047" s="508">
        <v>90622</v>
      </c>
      <c r="B1047" s="509" t="s">
        <v>612</v>
      </c>
      <c r="C1047" s="508" t="s">
        <v>160</v>
      </c>
      <c r="D1047" s="508">
        <v>0.49</v>
      </c>
      <c r="E1047" s="461" t="s">
        <v>1497</v>
      </c>
    </row>
    <row r="1048" spans="1:5" ht="27" x14ac:dyDescent="0.25">
      <c r="A1048" s="508">
        <v>90623</v>
      </c>
      <c r="B1048" s="509" t="s">
        <v>613</v>
      </c>
      <c r="C1048" s="508" t="s">
        <v>160</v>
      </c>
      <c r="D1048" s="508">
        <v>2.7</v>
      </c>
      <c r="E1048" s="461" t="s">
        <v>1497</v>
      </c>
    </row>
    <row r="1049" spans="1:5" ht="27" x14ac:dyDescent="0.25">
      <c r="A1049" s="508">
        <v>90624</v>
      </c>
      <c r="B1049" s="509" t="s">
        <v>614</v>
      </c>
      <c r="C1049" s="508" t="s">
        <v>160</v>
      </c>
      <c r="D1049" s="508">
        <v>2.31</v>
      </c>
      <c r="E1049" s="461" t="s">
        <v>1497</v>
      </c>
    </row>
    <row r="1050" spans="1:5" ht="27" x14ac:dyDescent="0.25">
      <c r="A1050" s="508">
        <v>90627</v>
      </c>
      <c r="B1050" s="509" t="s">
        <v>615</v>
      </c>
      <c r="C1050" s="508" t="s">
        <v>160</v>
      </c>
      <c r="D1050" s="508">
        <v>46.17</v>
      </c>
      <c r="E1050" s="461" t="s">
        <v>1497</v>
      </c>
    </row>
    <row r="1051" spans="1:5" ht="27" x14ac:dyDescent="0.25">
      <c r="A1051" s="508">
        <v>90628</v>
      </c>
      <c r="B1051" s="509" t="s">
        <v>616</v>
      </c>
      <c r="C1051" s="508" t="s">
        <v>160</v>
      </c>
      <c r="D1051" s="508">
        <v>12.38</v>
      </c>
      <c r="E1051" s="461" t="s">
        <v>1497</v>
      </c>
    </row>
    <row r="1052" spans="1:5" ht="27" x14ac:dyDescent="0.25">
      <c r="A1052" s="508">
        <v>90629</v>
      </c>
      <c r="B1052" s="509" t="s">
        <v>617</v>
      </c>
      <c r="C1052" s="508" t="s">
        <v>160</v>
      </c>
      <c r="D1052" s="508">
        <v>57.77</v>
      </c>
      <c r="E1052" s="461" t="s">
        <v>1497</v>
      </c>
    </row>
    <row r="1053" spans="1:5" ht="27" x14ac:dyDescent="0.25">
      <c r="A1053" s="508">
        <v>90630</v>
      </c>
      <c r="B1053" s="509" t="s">
        <v>618</v>
      </c>
      <c r="C1053" s="508" t="s">
        <v>160</v>
      </c>
      <c r="D1053" s="508">
        <v>1.1000000000000001</v>
      </c>
      <c r="E1053" s="461" t="s">
        <v>1497</v>
      </c>
    </row>
    <row r="1054" spans="1:5" ht="40.5" x14ac:dyDescent="0.25">
      <c r="A1054" s="508">
        <v>90633</v>
      </c>
      <c r="B1054" s="509" t="s">
        <v>619</v>
      </c>
      <c r="C1054" s="508" t="s">
        <v>160</v>
      </c>
      <c r="D1054" s="508">
        <v>4.34</v>
      </c>
      <c r="E1054" s="461" t="s">
        <v>1497</v>
      </c>
    </row>
    <row r="1055" spans="1:5" ht="40.5" x14ac:dyDescent="0.25">
      <c r="A1055" s="508">
        <v>90634</v>
      </c>
      <c r="B1055" s="509" t="s">
        <v>620</v>
      </c>
      <c r="C1055" s="508" t="s">
        <v>160</v>
      </c>
      <c r="D1055" s="508">
        <v>1</v>
      </c>
      <c r="E1055" s="461" t="s">
        <v>1497</v>
      </c>
    </row>
    <row r="1056" spans="1:5" ht="40.5" x14ac:dyDescent="0.25">
      <c r="A1056" s="508">
        <v>90635</v>
      </c>
      <c r="B1056" s="509" t="s">
        <v>621</v>
      </c>
      <c r="C1056" s="508" t="s">
        <v>160</v>
      </c>
      <c r="D1056" s="508">
        <v>4.75</v>
      </c>
      <c r="E1056" s="461" t="s">
        <v>1497</v>
      </c>
    </row>
    <row r="1057" spans="1:5" ht="40.5" x14ac:dyDescent="0.25">
      <c r="A1057" s="508">
        <v>90636</v>
      </c>
      <c r="B1057" s="509" t="s">
        <v>622</v>
      </c>
      <c r="C1057" s="508" t="s">
        <v>160</v>
      </c>
      <c r="D1057" s="508">
        <v>4.63</v>
      </c>
      <c r="E1057" s="461" t="s">
        <v>1497</v>
      </c>
    </row>
    <row r="1058" spans="1:5" ht="27" x14ac:dyDescent="0.25">
      <c r="A1058" s="508">
        <v>90639</v>
      </c>
      <c r="B1058" s="509" t="s">
        <v>623</v>
      </c>
      <c r="C1058" s="508" t="s">
        <v>160</v>
      </c>
      <c r="D1058" s="508">
        <v>6.48</v>
      </c>
      <c r="E1058" s="461" t="s">
        <v>1497</v>
      </c>
    </row>
    <row r="1059" spans="1:5" ht="27" x14ac:dyDescent="0.25">
      <c r="A1059" s="508">
        <v>90640</v>
      </c>
      <c r="B1059" s="509" t="s">
        <v>624</v>
      </c>
      <c r="C1059" s="508" t="s">
        <v>160</v>
      </c>
      <c r="D1059" s="508">
        <v>1.49</v>
      </c>
      <c r="E1059" s="461" t="s">
        <v>1497</v>
      </c>
    </row>
    <row r="1060" spans="1:5" ht="27" x14ac:dyDescent="0.25">
      <c r="A1060" s="508">
        <v>90641</v>
      </c>
      <c r="B1060" s="509" t="s">
        <v>625</v>
      </c>
      <c r="C1060" s="508" t="s">
        <v>160</v>
      </c>
      <c r="D1060" s="508">
        <v>7.09</v>
      </c>
      <c r="E1060" s="461" t="s">
        <v>1497</v>
      </c>
    </row>
    <row r="1061" spans="1:5" ht="27" x14ac:dyDescent="0.25">
      <c r="A1061" s="508">
        <v>90642</v>
      </c>
      <c r="B1061" s="509" t="s">
        <v>626</v>
      </c>
      <c r="C1061" s="508" t="s">
        <v>160</v>
      </c>
      <c r="D1061" s="508">
        <v>12.2</v>
      </c>
      <c r="E1061" s="461" t="s">
        <v>1497</v>
      </c>
    </row>
    <row r="1062" spans="1:5" ht="27" x14ac:dyDescent="0.25">
      <c r="A1062" s="508">
        <v>90646</v>
      </c>
      <c r="B1062" s="509" t="s">
        <v>627</v>
      </c>
      <c r="C1062" s="508" t="s">
        <v>160</v>
      </c>
      <c r="D1062" s="508">
        <v>1.07</v>
      </c>
      <c r="E1062" s="461" t="s">
        <v>1497</v>
      </c>
    </row>
    <row r="1063" spans="1:5" ht="27" x14ac:dyDescent="0.25">
      <c r="A1063" s="508">
        <v>90647</v>
      </c>
      <c r="B1063" s="509" t="s">
        <v>628</v>
      </c>
      <c r="C1063" s="508" t="s">
        <v>160</v>
      </c>
      <c r="D1063" s="508">
        <v>0.24</v>
      </c>
      <c r="E1063" s="461" t="s">
        <v>1497</v>
      </c>
    </row>
    <row r="1064" spans="1:5" ht="27" x14ac:dyDescent="0.25">
      <c r="A1064" s="508">
        <v>90648</v>
      </c>
      <c r="B1064" s="509" t="s">
        <v>629</v>
      </c>
      <c r="C1064" s="508" t="s">
        <v>160</v>
      </c>
      <c r="D1064" s="508">
        <v>1.17</v>
      </c>
      <c r="E1064" s="461" t="s">
        <v>1497</v>
      </c>
    </row>
    <row r="1065" spans="1:5" ht="40.5" x14ac:dyDescent="0.25">
      <c r="A1065" s="508">
        <v>90649</v>
      </c>
      <c r="B1065" s="509" t="s">
        <v>630</v>
      </c>
      <c r="C1065" s="508" t="s">
        <v>160</v>
      </c>
      <c r="D1065" s="508">
        <v>7.22</v>
      </c>
      <c r="E1065" s="461" t="s">
        <v>1497</v>
      </c>
    </row>
    <row r="1066" spans="1:5" ht="27" x14ac:dyDescent="0.25">
      <c r="A1066" s="508">
        <v>90652</v>
      </c>
      <c r="B1066" s="509" t="s">
        <v>631</v>
      </c>
      <c r="C1066" s="508" t="s">
        <v>160</v>
      </c>
      <c r="D1066" s="508">
        <v>4.22</v>
      </c>
      <c r="E1066" s="461" t="s">
        <v>1497</v>
      </c>
    </row>
    <row r="1067" spans="1:5" ht="15" x14ac:dyDescent="0.25">
      <c r="A1067" s="508">
        <v>90653</v>
      </c>
      <c r="B1067" s="509" t="s">
        <v>632</v>
      </c>
      <c r="C1067" s="508" t="s">
        <v>160</v>
      </c>
      <c r="D1067" s="508">
        <v>0.97</v>
      </c>
      <c r="E1067" s="461" t="s">
        <v>1497</v>
      </c>
    </row>
    <row r="1068" spans="1:5" ht="27" x14ac:dyDescent="0.25">
      <c r="A1068" s="508">
        <v>90654</v>
      </c>
      <c r="B1068" s="509" t="s">
        <v>633</v>
      </c>
      <c r="C1068" s="508" t="s">
        <v>160</v>
      </c>
      <c r="D1068" s="508">
        <v>4.6100000000000003</v>
      </c>
      <c r="E1068" s="461" t="s">
        <v>1497</v>
      </c>
    </row>
    <row r="1069" spans="1:5" ht="27" x14ac:dyDescent="0.25">
      <c r="A1069" s="508">
        <v>90655</v>
      </c>
      <c r="B1069" s="509" t="s">
        <v>634</v>
      </c>
      <c r="C1069" s="508" t="s">
        <v>160</v>
      </c>
      <c r="D1069" s="508">
        <v>4.75</v>
      </c>
      <c r="E1069" s="461" t="s">
        <v>1497</v>
      </c>
    </row>
    <row r="1070" spans="1:5" ht="27" x14ac:dyDescent="0.25">
      <c r="A1070" s="508">
        <v>90658</v>
      </c>
      <c r="B1070" s="509" t="s">
        <v>635</v>
      </c>
      <c r="C1070" s="508" t="s">
        <v>160</v>
      </c>
      <c r="D1070" s="508">
        <v>4.5199999999999996</v>
      </c>
      <c r="E1070" s="461" t="s">
        <v>1497</v>
      </c>
    </row>
    <row r="1071" spans="1:5" ht="15" x14ac:dyDescent="0.25">
      <c r="A1071" s="508">
        <v>90659</v>
      </c>
      <c r="B1071" s="509" t="s">
        <v>636</v>
      </c>
      <c r="C1071" s="508" t="s">
        <v>160</v>
      </c>
      <c r="D1071" s="508">
        <v>1.04</v>
      </c>
      <c r="E1071" s="461" t="s">
        <v>1497</v>
      </c>
    </row>
    <row r="1072" spans="1:5" ht="27" x14ac:dyDescent="0.25">
      <c r="A1072" s="508">
        <v>90660</v>
      </c>
      <c r="B1072" s="509" t="s">
        <v>637</v>
      </c>
      <c r="C1072" s="508" t="s">
        <v>160</v>
      </c>
      <c r="D1072" s="508">
        <v>4.9400000000000004</v>
      </c>
      <c r="E1072" s="461" t="s">
        <v>1497</v>
      </c>
    </row>
    <row r="1073" spans="1:5" ht="27" x14ac:dyDescent="0.25">
      <c r="A1073" s="508">
        <v>90661</v>
      </c>
      <c r="B1073" s="509" t="s">
        <v>638</v>
      </c>
      <c r="C1073" s="508" t="s">
        <v>160</v>
      </c>
      <c r="D1073" s="508">
        <v>4.75</v>
      </c>
      <c r="E1073" s="461" t="s">
        <v>1497</v>
      </c>
    </row>
    <row r="1074" spans="1:5" ht="40.5" x14ac:dyDescent="0.25">
      <c r="A1074" s="508">
        <v>90664</v>
      </c>
      <c r="B1074" s="509" t="s">
        <v>5065</v>
      </c>
      <c r="C1074" s="508" t="s">
        <v>160</v>
      </c>
      <c r="D1074" s="508">
        <v>6.74</v>
      </c>
      <c r="E1074" s="461" t="s">
        <v>1497</v>
      </c>
    </row>
    <row r="1075" spans="1:5" ht="40.5" x14ac:dyDescent="0.25">
      <c r="A1075" s="508">
        <v>90665</v>
      </c>
      <c r="B1075" s="509" t="s">
        <v>5066</v>
      </c>
      <c r="C1075" s="508" t="s">
        <v>160</v>
      </c>
      <c r="D1075" s="508">
        <v>1.79</v>
      </c>
      <c r="E1075" s="461" t="s">
        <v>1497</v>
      </c>
    </row>
    <row r="1076" spans="1:5" ht="40.5" x14ac:dyDescent="0.25">
      <c r="A1076" s="508">
        <v>90666</v>
      </c>
      <c r="B1076" s="509" t="s">
        <v>5067</v>
      </c>
      <c r="C1076" s="508" t="s">
        <v>160</v>
      </c>
      <c r="D1076" s="508">
        <v>8.85</v>
      </c>
      <c r="E1076" s="461" t="s">
        <v>1497</v>
      </c>
    </row>
    <row r="1077" spans="1:5" ht="40.5" x14ac:dyDescent="0.25">
      <c r="A1077" s="508">
        <v>90667</v>
      </c>
      <c r="B1077" s="509" t="s">
        <v>5068</v>
      </c>
      <c r="C1077" s="508" t="s">
        <v>160</v>
      </c>
      <c r="D1077" s="508">
        <v>14.53</v>
      </c>
      <c r="E1077" s="461" t="s">
        <v>1497</v>
      </c>
    </row>
    <row r="1078" spans="1:5" ht="40.5" x14ac:dyDescent="0.25">
      <c r="A1078" s="508">
        <v>90670</v>
      </c>
      <c r="B1078" s="509" t="s">
        <v>639</v>
      </c>
      <c r="C1078" s="508" t="s">
        <v>160</v>
      </c>
      <c r="D1078" s="508">
        <v>211.88</v>
      </c>
      <c r="E1078" s="461" t="s">
        <v>1497</v>
      </c>
    </row>
    <row r="1079" spans="1:5" ht="40.5" x14ac:dyDescent="0.25">
      <c r="A1079" s="508">
        <v>90671</v>
      </c>
      <c r="B1079" s="509" t="s">
        <v>640</v>
      </c>
      <c r="C1079" s="508" t="s">
        <v>160</v>
      </c>
      <c r="D1079" s="508">
        <v>56.84</v>
      </c>
      <c r="E1079" s="461" t="s">
        <v>1497</v>
      </c>
    </row>
    <row r="1080" spans="1:5" ht="40.5" x14ac:dyDescent="0.25">
      <c r="A1080" s="508">
        <v>90672</v>
      </c>
      <c r="B1080" s="509" t="s">
        <v>641</v>
      </c>
      <c r="C1080" s="508" t="s">
        <v>160</v>
      </c>
      <c r="D1080" s="508">
        <v>265.14999999999998</v>
      </c>
      <c r="E1080" s="461" t="s">
        <v>1497</v>
      </c>
    </row>
    <row r="1081" spans="1:5" ht="40.5" x14ac:dyDescent="0.25">
      <c r="A1081" s="508">
        <v>90673</v>
      </c>
      <c r="B1081" s="509" t="s">
        <v>642</v>
      </c>
      <c r="C1081" s="508" t="s">
        <v>160</v>
      </c>
      <c r="D1081" s="508">
        <v>116.14</v>
      </c>
      <c r="E1081" s="461" t="s">
        <v>1497</v>
      </c>
    </row>
    <row r="1082" spans="1:5" ht="40.5" x14ac:dyDescent="0.25">
      <c r="A1082" s="508">
        <v>90676</v>
      </c>
      <c r="B1082" s="509" t="s">
        <v>643</v>
      </c>
      <c r="C1082" s="508" t="s">
        <v>160</v>
      </c>
      <c r="D1082" s="508">
        <v>103.71</v>
      </c>
      <c r="E1082" s="461" t="s">
        <v>1497</v>
      </c>
    </row>
    <row r="1083" spans="1:5" ht="40.5" x14ac:dyDescent="0.25">
      <c r="A1083" s="508">
        <v>90677</v>
      </c>
      <c r="B1083" s="509" t="s">
        <v>644</v>
      </c>
      <c r="C1083" s="508" t="s">
        <v>160</v>
      </c>
      <c r="D1083" s="508">
        <v>31.14</v>
      </c>
      <c r="E1083" s="461" t="s">
        <v>1497</v>
      </c>
    </row>
    <row r="1084" spans="1:5" ht="40.5" x14ac:dyDescent="0.25">
      <c r="A1084" s="508">
        <v>90678</v>
      </c>
      <c r="B1084" s="509" t="s">
        <v>645</v>
      </c>
      <c r="C1084" s="508" t="s">
        <v>160</v>
      </c>
      <c r="D1084" s="508">
        <v>144.21</v>
      </c>
      <c r="E1084" s="461" t="s">
        <v>1497</v>
      </c>
    </row>
    <row r="1085" spans="1:5" ht="40.5" x14ac:dyDescent="0.25">
      <c r="A1085" s="508">
        <v>90679</v>
      </c>
      <c r="B1085" s="509" t="s">
        <v>646</v>
      </c>
      <c r="C1085" s="508" t="s">
        <v>160</v>
      </c>
      <c r="D1085" s="508">
        <v>89.06</v>
      </c>
      <c r="E1085" s="461" t="s">
        <v>1497</v>
      </c>
    </row>
    <row r="1086" spans="1:5" ht="27" x14ac:dyDescent="0.25">
      <c r="A1086" s="508">
        <v>90682</v>
      </c>
      <c r="B1086" s="509" t="s">
        <v>5069</v>
      </c>
      <c r="C1086" s="508" t="s">
        <v>160</v>
      </c>
      <c r="D1086" s="508">
        <v>30.9</v>
      </c>
      <c r="E1086" s="461" t="s">
        <v>1497</v>
      </c>
    </row>
    <row r="1087" spans="1:5" ht="27" x14ac:dyDescent="0.25">
      <c r="A1087" s="508">
        <v>90683</v>
      </c>
      <c r="B1087" s="509" t="s">
        <v>5070</v>
      </c>
      <c r="C1087" s="508" t="s">
        <v>160</v>
      </c>
      <c r="D1087" s="508">
        <v>7.62</v>
      </c>
      <c r="E1087" s="461" t="s">
        <v>1497</v>
      </c>
    </row>
    <row r="1088" spans="1:5" ht="27" x14ac:dyDescent="0.25">
      <c r="A1088" s="508">
        <v>90684</v>
      </c>
      <c r="B1088" s="509" t="s">
        <v>5071</v>
      </c>
      <c r="C1088" s="508" t="s">
        <v>160</v>
      </c>
      <c r="D1088" s="508">
        <v>36.049999999999997</v>
      </c>
      <c r="E1088" s="461" t="s">
        <v>1497</v>
      </c>
    </row>
    <row r="1089" spans="1:5" ht="27" x14ac:dyDescent="0.25">
      <c r="A1089" s="508">
        <v>90685</v>
      </c>
      <c r="B1089" s="509" t="s">
        <v>5072</v>
      </c>
      <c r="C1089" s="508" t="s">
        <v>160</v>
      </c>
      <c r="D1089" s="508">
        <v>55.26</v>
      </c>
      <c r="E1089" s="461" t="s">
        <v>1497</v>
      </c>
    </row>
    <row r="1090" spans="1:5" ht="27" x14ac:dyDescent="0.25">
      <c r="A1090" s="508">
        <v>90688</v>
      </c>
      <c r="B1090" s="509" t="s">
        <v>647</v>
      </c>
      <c r="C1090" s="508" t="s">
        <v>160</v>
      </c>
      <c r="D1090" s="508">
        <v>26.56</v>
      </c>
      <c r="E1090" s="461" t="s">
        <v>1497</v>
      </c>
    </row>
    <row r="1091" spans="1:5" ht="27" x14ac:dyDescent="0.25">
      <c r="A1091" s="508">
        <v>90689</v>
      </c>
      <c r="B1091" s="509" t="s">
        <v>648</v>
      </c>
      <c r="C1091" s="508" t="s">
        <v>160</v>
      </c>
      <c r="D1091" s="508">
        <v>5.24</v>
      </c>
      <c r="E1091" s="461" t="s">
        <v>1497</v>
      </c>
    </row>
    <row r="1092" spans="1:5" ht="27" x14ac:dyDescent="0.25">
      <c r="A1092" s="508">
        <v>90690</v>
      </c>
      <c r="B1092" s="509" t="s">
        <v>649</v>
      </c>
      <c r="C1092" s="508" t="s">
        <v>160</v>
      </c>
      <c r="D1092" s="508">
        <v>33.200000000000003</v>
      </c>
      <c r="E1092" s="461" t="s">
        <v>1497</v>
      </c>
    </row>
    <row r="1093" spans="1:5" ht="27" x14ac:dyDescent="0.25">
      <c r="A1093" s="508">
        <v>90691</v>
      </c>
      <c r="B1093" s="509" t="s">
        <v>650</v>
      </c>
      <c r="C1093" s="508" t="s">
        <v>160</v>
      </c>
      <c r="D1093" s="508">
        <v>38.69</v>
      </c>
      <c r="E1093" s="461" t="s">
        <v>1497</v>
      </c>
    </row>
    <row r="1094" spans="1:5" ht="27" x14ac:dyDescent="0.25">
      <c r="A1094" s="508">
        <v>90957</v>
      </c>
      <c r="B1094" s="509" t="s">
        <v>651</v>
      </c>
      <c r="C1094" s="508" t="s">
        <v>160</v>
      </c>
      <c r="D1094" s="508">
        <v>5.01</v>
      </c>
      <c r="E1094" s="461" t="s">
        <v>1497</v>
      </c>
    </row>
    <row r="1095" spans="1:5" ht="27" x14ac:dyDescent="0.25">
      <c r="A1095" s="508">
        <v>90958</v>
      </c>
      <c r="B1095" s="509" t="s">
        <v>652</v>
      </c>
      <c r="C1095" s="508" t="s">
        <v>160</v>
      </c>
      <c r="D1095" s="508">
        <v>1.34</v>
      </c>
      <c r="E1095" s="461" t="s">
        <v>1497</v>
      </c>
    </row>
    <row r="1096" spans="1:5" ht="27" x14ac:dyDescent="0.25">
      <c r="A1096" s="508">
        <v>90960</v>
      </c>
      <c r="B1096" s="509" t="s">
        <v>653</v>
      </c>
      <c r="C1096" s="508" t="s">
        <v>160</v>
      </c>
      <c r="D1096" s="508">
        <v>6.7</v>
      </c>
      <c r="E1096" s="461" t="s">
        <v>1497</v>
      </c>
    </row>
    <row r="1097" spans="1:5" ht="27" x14ac:dyDescent="0.25">
      <c r="A1097" s="508">
        <v>90961</v>
      </c>
      <c r="B1097" s="509" t="s">
        <v>654</v>
      </c>
      <c r="C1097" s="508" t="s">
        <v>160</v>
      </c>
      <c r="D1097" s="508">
        <v>1.79</v>
      </c>
      <c r="E1097" s="461" t="s">
        <v>1497</v>
      </c>
    </row>
    <row r="1098" spans="1:5" ht="27" x14ac:dyDescent="0.25">
      <c r="A1098" s="508">
        <v>90962</v>
      </c>
      <c r="B1098" s="509" t="s">
        <v>655</v>
      </c>
      <c r="C1098" s="508" t="s">
        <v>160</v>
      </c>
      <c r="D1098" s="508">
        <v>8.3800000000000008</v>
      </c>
      <c r="E1098" s="461" t="s">
        <v>1497</v>
      </c>
    </row>
    <row r="1099" spans="1:5" ht="27" x14ac:dyDescent="0.25">
      <c r="A1099" s="508">
        <v>90963</v>
      </c>
      <c r="B1099" s="509" t="s">
        <v>656</v>
      </c>
      <c r="C1099" s="508" t="s">
        <v>160</v>
      </c>
      <c r="D1099" s="508">
        <v>14.52</v>
      </c>
      <c r="E1099" s="461" t="s">
        <v>1497</v>
      </c>
    </row>
    <row r="1100" spans="1:5" ht="27" x14ac:dyDescent="0.25">
      <c r="A1100" s="508">
        <v>90968</v>
      </c>
      <c r="B1100" s="509" t="s">
        <v>657</v>
      </c>
      <c r="C1100" s="508" t="s">
        <v>160</v>
      </c>
      <c r="D1100" s="508">
        <v>6.72</v>
      </c>
      <c r="E1100" s="461" t="s">
        <v>1497</v>
      </c>
    </row>
    <row r="1101" spans="1:5" ht="27" x14ac:dyDescent="0.25">
      <c r="A1101" s="508">
        <v>90969</v>
      </c>
      <c r="B1101" s="509" t="s">
        <v>658</v>
      </c>
      <c r="C1101" s="508" t="s">
        <v>160</v>
      </c>
      <c r="D1101" s="508">
        <v>1.8</v>
      </c>
      <c r="E1101" s="461" t="s">
        <v>1497</v>
      </c>
    </row>
    <row r="1102" spans="1:5" ht="27" x14ac:dyDescent="0.25">
      <c r="A1102" s="508">
        <v>90970</v>
      </c>
      <c r="B1102" s="509" t="s">
        <v>659</v>
      </c>
      <c r="C1102" s="508" t="s">
        <v>160</v>
      </c>
      <c r="D1102" s="508">
        <v>8.41</v>
      </c>
      <c r="E1102" s="461" t="s">
        <v>1497</v>
      </c>
    </row>
    <row r="1103" spans="1:5" ht="27" x14ac:dyDescent="0.25">
      <c r="A1103" s="508">
        <v>90971</v>
      </c>
      <c r="B1103" s="509" t="s">
        <v>660</v>
      </c>
      <c r="C1103" s="508" t="s">
        <v>160</v>
      </c>
      <c r="D1103" s="508">
        <v>58.85</v>
      </c>
      <c r="E1103" s="461" t="s">
        <v>1497</v>
      </c>
    </row>
    <row r="1104" spans="1:5" ht="27" x14ac:dyDescent="0.25">
      <c r="A1104" s="508">
        <v>90975</v>
      </c>
      <c r="B1104" s="509" t="s">
        <v>661</v>
      </c>
      <c r="C1104" s="508" t="s">
        <v>160</v>
      </c>
      <c r="D1104" s="508">
        <v>17.059999999999999</v>
      </c>
      <c r="E1104" s="461" t="s">
        <v>1497</v>
      </c>
    </row>
    <row r="1105" spans="1:5" ht="27" x14ac:dyDescent="0.25">
      <c r="A1105" s="508">
        <v>90976</v>
      </c>
      <c r="B1105" s="509" t="s">
        <v>662</v>
      </c>
      <c r="C1105" s="508" t="s">
        <v>160</v>
      </c>
      <c r="D1105" s="508">
        <v>4.57</v>
      </c>
      <c r="E1105" s="461" t="s">
        <v>1497</v>
      </c>
    </row>
    <row r="1106" spans="1:5" ht="27" x14ac:dyDescent="0.25">
      <c r="A1106" s="508">
        <v>90977</v>
      </c>
      <c r="B1106" s="509" t="s">
        <v>663</v>
      </c>
      <c r="C1106" s="508" t="s">
        <v>160</v>
      </c>
      <c r="D1106" s="508">
        <v>21.35</v>
      </c>
      <c r="E1106" s="461" t="s">
        <v>1497</v>
      </c>
    </row>
    <row r="1107" spans="1:5" ht="27" x14ac:dyDescent="0.25">
      <c r="A1107" s="508">
        <v>90978</v>
      </c>
      <c r="B1107" s="509" t="s">
        <v>664</v>
      </c>
      <c r="C1107" s="508" t="s">
        <v>160</v>
      </c>
      <c r="D1107" s="508">
        <v>152.68</v>
      </c>
      <c r="E1107" s="461" t="s">
        <v>1497</v>
      </c>
    </row>
    <row r="1108" spans="1:5" ht="27" x14ac:dyDescent="0.25">
      <c r="A1108" s="508">
        <v>90992</v>
      </c>
      <c r="B1108" s="509" t="s">
        <v>665</v>
      </c>
      <c r="C1108" s="508" t="s">
        <v>160</v>
      </c>
      <c r="D1108" s="508">
        <v>7.97</v>
      </c>
      <c r="E1108" s="461" t="s">
        <v>1497</v>
      </c>
    </row>
    <row r="1109" spans="1:5" ht="27" x14ac:dyDescent="0.25">
      <c r="A1109" s="508">
        <v>90993</v>
      </c>
      <c r="B1109" s="509" t="s">
        <v>666</v>
      </c>
      <c r="C1109" s="508" t="s">
        <v>160</v>
      </c>
      <c r="D1109" s="508">
        <v>2.13</v>
      </c>
      <c r="E1109" s="461" t="s">
        <v>1497</v>
      </c>
    </row>
    <row r="1110" spans="1:5" ht="27" x14ac:dyDescent="0.25">
      <c r="A1110" s="508">
        <v>90994</v>
      </c>
      <c r="B1110" s="509" t="s">
        <v>667</v>
      </c>
      <c r="C1110" s="508" t="s">
        <v>160</v>
      </c>
      <c r="D1110" s="510">
        <v>9.9700000000000006</v>
      </c>
      <c r="E1110" s="461" t="s">
        <v>1497</v>
      </c>
    </row>
    <row r="1111" spans="1:5" ht="27" x14ac:dyDescent="0.25">
      <c r="A1111" s="508">
        <v>90995</v>
      </c>
      <c r="B1111" s="509" t="s">
        <v>668</v>
      </c>
      <c r="C1111" s="508" t="s">
        <v>160</v>
      </c>
      <c r="D1111" s="508">
        <v>79.94</v>
      </c>
      <c r="E1111" s="461" t="s">
        <v>1497</v>
      </c>
    </row>
    <row r="1112" spans="1:5" ht="40.5" x14ac:dyDescent="0.25">
      <c r="A1112" s="508">
        <v>91021</v>
      </c>
      <c r="B1112" s="509" t="s">
        <v>669</v>
      </c>
      <c r="C1112" s="508" t="s">
        <v>160</v>
      </c>
      <c r="D1112" s="508">
        <v>12.61</v>
      </c>
      <c r="E1112" s="461" t="s">
        <v>1497</v>
      </c>
    </row>
    <row r="1113" spans="1:5" ht="40.5" x14ac:dyDescent="0.25">
      <c r="A1113" s="508">
        <v>91026</v>
      </c>
      <c r="B1113" s="509" t="s">
        <v>670</v>
      </c>
      <c r="C1113" s="508" t="s">
        <v>160</v>
      </c>
      <c r="D1113" s="508">
        <v>24.62</v>
      </c>
      <c r="E1113" s="461" t="s">
        <v>1497</v>
      </c>
    </row>
    <row r="1114" spans="1:5" ht="40.5" x14ac:dyDescent="0.25">
      <c r="A1114" s="508">
        <v>91027</v>
      </c>
      <c r="B1114" s="509" t="s">
        <v>671</v>
      </c>
      <c r="C1114" s="508" t="s">
        <v>160</v>
      </c>
      <c r="D1114" s="508">
        <v>9.89</v>
      </c>
      <c r="E1114" s="461" t="s">
        <v>1497</v>
      </c>
    </row>
    <row r="1115" spans="1:5" ht="40.5" x14ac:dyDescent="0.25">
      <c r="A1115" s="508">
        <v>91028</v>
      </c>
      <c r="B1115" s="509" t="s">
        <v>672</v>
      </c>
      <c r="C1115" s="508" t="s">
        <v>160</v>
      </c>
      <c r="D1115" s="508">
        <v>3.99</v>
      </c>
      <c r="E1115" s="461" t="s">
        <v>1497</v>
      </c>
    </row>
    <row r="1116" spans="1:5" ht="40.5" x14ac:dyDescent="0.25">
      <c r="A1116" s="508">
        <v>91029</v>
      </c>
      <c r="B1116" s="509" t="s">
        <v>673</v>
      </c>
      <c r="C1116" s="508" t="s">
        <v>160</v>
      </c>
      <c r="D1116" s="508">
        <v>45.22</v>
      </c>
      <c r="E1116" s="461" t="s">
        <v>1497</v>
      </c>
    </row>
    <row r="1117" spans="1:5" ht="40.5" x14ac:dyDescent="0.25">
      <c r="A1117" s="508">
        <v>91030</v>
      </c>
      <c r="B1117" s="509" t="s">
        <v>674</v>
      </c>
      <c r="C1117" s="508" t="s">
        <v>160</v>
      </c>
      <c r="D1117" s="508">
        <v>142.46</v>
      </c>
      <c r="E1117" s="461" t="s">
        <v>1497</v>
      </c>
    </row>
    <row r="1118" spans="1:5" ht="27" x14ac:dyDescent="0.25">
      <c r="A1118" s="508">
        <v>91273</v>
      </c>
      <c r="B1118" s="509" t="s">
        <v>675</v>
      </c>
      <c r="C1118" s="508" t="s">
        <v>160</v>
      </c>
      <c r="D1118" s="508">
        <v>0.54</v>
      </c>
      <c r="E1118" s="461" t="s">
        <v>1497</v>
      </c>
    </row>
    <row r="1119" spans="1:5" ht="27" x14ac:dyDescent="0.25">
      <c r="A1119" s="508">
        <v>91274</v>
      </c>
      <c r="B1119" s="509" t="s">
        <v>676</v>
      </c>
      <c r="C1119" s="508" t="s">
        <v>160</v>
      </c>
      <c r="D1119" s="508">
        <v>0.14000000000000001</v>
      </c>
      <c r="E1119" s="461" t="s">
        <v>1497</v>
      </c>
    </row>
    <row r="1120" spans="1:5" ht="27" x14ac:dyDescent="0.25">
      <c r="A1120" s="508">
        <v>91275</v>
      </c>
      <c r="B1120" s="509" t="s">
        <v>677</v>
      </c>
      <c r="C1120" s="508" t="s">
        <v>160</v>
      </c>
      <c r="D1120" s="508">
        <v>0.67</v>
      </c>
      <c r="E1120" s="461" t="s">
        <v>1497</v>
      </c>
    </row>
    <row r="1121" spans="1:5" ht="27" x14ac:dyDescent="0.25">
      <c r="A1121" s="508">
        <v>91276</v>
      </c>
      <c r="B1121" s="509" t="s">
        <v>678</v>
      </c>
      <c r="C1121" s="508" t="s">
        <v>160</v>
      </c>
      <c r="D1121" s="508">
        <v>8.4</v>
      </c>
      <c r="E1121" s="461" t="s">
        <v>1497</v>
      </c>
    </row>
    <row r="1122" spans="1:5" ht="40.5" x14ac:dyDescent="0.25">
      <c r="A1122" s="508">
        <v>91279</v>
      </c>
      <c r="B1122" s="509" t="s">
        <v>679</v>
      </c>
      <c r="C1122" s="508" t="s">
        <v>160</v>
      </c>
      <c r="D1122" s="508">
        <v>0.92</v>
      </c>
      <c r="E1122" s="461" t="s">
        <v>1497</v>
      </c>
    </row>
    <row r="1123" spans="1:5" ht="40.5" x14ac:dyDescent="0.25">
      <c r="A1123" s="508">
        <v>91280</v>
      </c>
      <c r="B1123" s="509" t="s">
        <v>680</v>
      </c>
      <c r="C1123" s="508" t="s">
        <v>160</v>
      </c>
      <c r="D1123" s="508">
        <v>0.2</v>
      </c>
      <c r="E1123" s="461" t="s">
        <v>1497</v>
      </c>
    </row>
    <row r="1124" spans="1:5" ht="40.5" x14ac:dyDescent="0.25">
      <c r="A1124" s="508">
        <v>91281</v>
      </c>
      <c r="B1124" s="509" t="s">
        <v>681</v>
      </c>
      <c r="C1124" s="508" t="s">
        <v>160</v>
      </c>
      <c r="D1124" s="508">
        <v>1.1499999999999999</v>
      </c>
      <c r="E1124" s="461" t="s">
        <v>1497</v>
      </c>
    </row>
    <row r="1125" spans="1:5" ht="40.5" x14ac:dyDescent="0.25">
      <c r="A1125" s="508">
        <v>91282</v>
      </c>
      <c r="B1125" s="509" t="s">
        <v>682</v>
      </c>
      <c r="C1125" s="508" t="s">
        <v>160</v>
      </c>
      <c r="D1125" s="508">
        <v>8.4600000000000009</v>
      </c>
      <c r="E1125" s="461" t="s">
        <v>1497</v>
      </c>
    </row>
    <row r="1126" spans="1:5" ht="27" x14ac:dyDescent="0.25">
      <c r="A1126" s="508">
        <v>91354</v>
      </c>
      <c r="B1126" s="509" t="s">
        <v>683</v>
      </c>
      <c r="C1126" s="508" t="s">
        <v>160</v>
      </c>
      <c r="D1126" s="508">
        <v>17.61</v>
      </c>
      <c r="E1126" s="461" t="s">
        <v>1497</v>
      </c>
    </row>
    <row r="1127" spans="1:5" ht="27" x14ac:dyDescent="0.25">
      <c r="A1127" s="508">
        <v>91355</v>
      </c>
      <c r="B1127" s="509" t="s">
        <v>684</v>
      </c>
      <c r="C1127" s="508" t="s">
        <v>160</v>
      </c>
      <c r="D1127" s="508">
        <v>7.24</v>
      </c>
      <c r="E1127" s="461" t="s">
        <v>1497</v>
      </c>
    </row>
    <row r="1128" spans="1:5" ht="40.5" x14ac:dyDescent="0.25">
      <c r="A1128" s="508">
        <v>91356</v>
      </c>
      <c r="B1128" s="509" t="s">
        <v>685</v>
      </c>
      <c r="C1128" s="508" t="s">
        <v>160</v>
      </c>
      <c r="D1128" s="508">
        <v>2.92</v>
      </c>
      <c r="E1128" s="461" t="s">
        <v>1497</v>
      </c>
    </row>
    <row r="1129" spans="1:5" ht="40.5" x14ac:dyDescent="0.25">
      <c r="A1129" s="508">
        <v>91359</v>
      </c>
      <c r="B1129" s="509" t="s">
        <v>686</v>
      </c>
      <c r="C1129" s="508" t="s">
        <v>160</v>
      </c>
      <c r="D1129" s="508">
        <v>20.87</v>
      </c>
      <c r="E1129" s="461" t="s">
        <v>1497</v>
      </c>
    </row>
    <row r="1130" spans="1:5" ht="40.5" x14ac:dyDescent="0.25">
      <c r="A1130" s="508">
        <v>91360</v>
      </c>
      <c r="B1130" s="509" t="s">
        <v>687</v>
      </c>
      <c r="C1130" s="508" t="s">
        <v>160</v>
      </c>
      <c r="D1130" s="508">
        <v>8</v>
      </c>
      <c r="E1130" s="461" t="s">
        <v>1497</v>
      </c>
    </row>
    <row r="1131" spans="1:5" ht="40.5" x14ac:dyDescent="0.25">
      <c r="A1131" s="508">
        <v>91361</v>
      </c>
      <c r="B1131" s="509" t="s">
        <v>688</v>
      </c>
      <c r="C1131" s="508" t="s">
        <v>160</v>
      </c>
      <c r="D1131" s="508">
        <v>3.23</v>
      </c>
      <c r="E1131" s="461" t="s">
        <v>1497</v>
      </c>
    </row>
    <row r="1132" spans="1:5" ht="40.5" x14ac:dyDescent="0.25">
      <c r="A1132" s="508">
        <v>91367</v>
      </c>
      <c r="B1132" s="509" t="s">
        <v>689</v>
      </c>
      <c r="C1132" s="508" t="s">
        <v>160</v>
      </c>
      <c r="D1132" s="508">
        <v>21.88</v>
      </c>
      <c r="E1132" s="461" t="s">
        <v>1497</v>
      </c>
    </row>
    <row r="1133" spans="1:5" ht="40.5" x14ac:dyDescent="0.25">
      <c r="A1133" s="508">
        <v>91368</v>
      </c>
      <c r="B1133" s="509" t="s">
        <v>690</v>
      </c>
      <c r="C1133" s="508" t="s">
        <v>160</v>
      </c>
      <c r="D1133" s="508">
        <v>8.44</v>
      </c>
      <c r="E1133" s="461" t="s">
        <v>1497</v>
      </c>
    </row>
    <row r="1134" spans="1:5" ht="40.5" x14ac:dyDescent="0.25">
      <c r="A1134" s="508">
        <v>91369</v>
      </c>
      <c r="B1134" s="509" t="s">
        <v>691</v>
      </c>
      <c r="C1134" s="508" t="s">
        <v>160</v>
      </c>
      <c r="D1134" s="508">
        <v>3.4</v>
      </c>
      <c r="E1134" s="461" t="s">
        <v>1497</v>
      </c>
    </row>
    <row r="1135" spans="1:5" ht="27" x14ac:dyDescent="0.25">
      <c r="A1135" s="508">
        <v>91375</v>
      </c>
      <c r="B1135" s="509" t="s">
        <v>692</v>
      </c>
      <c r="C1135" s="508" t="s">
        <v>160</v>
      </c>
      <c r="D1135" s="508">
        <v>19.34</v>
      </c>
      <c r="E1135" s="461" t="s">
        <v>1497</v>
      </c>
    </row>
    <row r="1136" spans="1:5" ht="27" x14ac:dyDescent="0.25">
      <c r="A1136" s="508">
        <v>91376</v>
      </c>
      <c r="B1136" s="509" t="s">
        <v>693</v>
      </c>
      <c r="C1136" s="508" t="s">
        <v>160</v>
      </c>
      <c r="D1136" s="508">
        <v>7.95</v>
      </c>
      <c r="E1136" s="461" t="s">
        <v>1497</v>
      </c>
    </row>
    <row r="1137" spans="1:5" ht="40.5" x14ac:dyDescent="0.25">
      <c r="A1137" s="508">
        <v>91377</v>
      </c>
      <c r="B1137" s="509" t="s">
        <v>694</v>
      </c>
      <c r="C1137" s="508" t="s">
        <v>160</v>
      </c>
      <c r="D1137" s="508">
        <v>3.21</v>
      </c>
      <c r="E1137" s="461" t="s">
        <v>1497</v>
      </c>
    </row>
    <row r="1138" spans="1:5" ht="40.5" x14ac:dyDescent="0.25">
      <c r="A1138" s="508">
        <v>91380</v>
      </c>
      <c r="B1138" s="509" t="s">
        <v>695</v>
      </c>
      <c r="C1138" s="508" t="s">
        <v>160</v>
      </c>
      <c r="D1138" s="508">
        <v>28.78</v>
      </c>
      <c r="E1138" s="461" t="s">
        <v>1497</v>
      </c>
    </row>
    <row r="1139" spans="1:5" ht="40.5" x14ac:dyDescent="0.25">
      <c r="A1139" s="508">
        <v>91381</v>
      </c>
      <c r="B1139" s="509" t="s">
        <v>696</v>
      </c>
      <c r="C1139" s="508" t="s">
        <v>160</v>
      </c>
      <c r="D1139" s="508">
        <v>11.1</v>
      </c>
      <c r="E1139" s="461" t="s">
        <v>1497</v>
      </c>
    </row>
    <row r="1140" spans="1:5" ht="40.5" x14ac:dyDescent="0.25">
      <c r="A1140" s="508">
        <v>91382</v>
      </c>
      <c r="B1140" s="509" t="s">
        <v>697</v>
      </c>
      <c r="C1140" s="508" t="s">
        <v>160</v>
      </c>
      <c r="D1140" s="508">
        <v>4.4800000000000004</v>
      </c>
      <c r="E1140" s="461" t="s">
        <v>1497</v>
      </c>
    </row>
    <row r="1141" spans="1:5" ht="40.5" x14ac:dyDescent="0.25">
      <c r="A1141" s="508">
        <v>91383</v>
      </c>
      <c r="B1141" s="509" t="s">
        <v>698</v>
      </c>
      <c r="C1141" s="508" t="s">
        <v>160</v>
      </c>
      <c r="D1141" s="508">
        <v>51.94</v>
      </c>
      <c r="E1141" s="461" t="s">
        <v>1497</v>
      </c>
    </row>
    <row r="1142" spans="1:5" ht="40.5" x14ac:dyDescent="0.25">
      <c r="A1142" s="508">
        <v>91384</v>
      </c>
      <c r="B1142" s="509" t="s">
        <v>699</v>
      </c>
      <c r="C1142" s="508" t="s">
        <v>160</v>
      </c>
      <c r="D1142" s="508">
        <v>137.69</v>
      </c>
      <c r="E1142" s="461" t="s">
        <v>1497</v>
      </c>
    </row>
    <row r="1143" spans="1:5" ht="40.5" x14ac:dyDescent="0.25">
      <c r="A1143" s="508">
        <v>91390</v>
      </c>
      <c r="B1143" s="509" t="s">
        <v>700</v>
      </c>
      <c r="C1143" s="508" t="s">
        <v>160</v>
      </c>
      <c r="D1143" s="508">
        <v>19.11</v>
      </c>
      <c r="E1143" s="461" t="s">
        <v>1497</v>
      </c>
    </row>
    <row r="1144" spans="1:5" ht="40.5" x14ac:dyDescent="0.25">
      <c r="A1144" s="508">
        <v>91391</v>
      </c>
      <c r="B1144" s="509" t="s">
        <v>701</v>
      </c>
      <c r="C1144" s="508" t="s">
        <v>160</v>
      </c>
      <c r="D1144" s="508">
        <v>7.63</v>
      </c>
      <c r="E1144" s="461" t="s">
        <v>1497</v>
      </c>
    </row>
    <row r="1145" spans="1:5" ht="40.5" x14ac:dyDescent="0.25">
      <c r="A1145" s="508">
        <v>91392</v>
      </c>
      <c r="B1145" s="509" t="s">
        <v>702</v>
      </c>
      <c r="C1145" s="508" t="s">
        <v>160</v>
      </c>
      <c r="D1145" s="508">
        <v>3.07</v>
      </c>
      <c r="E1145" s="461" t="s">
        <v>1497</v>
      </c>
    </row>
    <row r="1146" spans="1:5" ht="40.5" x14ac:dyDescent="0.25">
      <c r="A1146" s="508">
        <v>91396</v>
      </c>
      <c r="B1146" s="509" t="s">
        <v>703</v>
      </c>
      <c r="C1146" s="508" t="s">
        <v>160</v>
      </c>
      <c r="D1146" s="508">
        <v>28.97</v>
      </c>
      <c r="E1146" s="461" t="s">
        <v>1497</v>
      </c>
    </row>
    <row r="1147" spans="1:5" ht="40.5" x14ac:dyDescent="0.25">
      <c r="A1147" s="508">
        <v>91397</v>
      </c>
      <c r="B1147" s="509" t="s">
        <v>704</v>
      </c>
      <c r="C1147" s="508" t="s">
        <v>160</v>
      </c>
      <c r="D1147" s="508">
        <v>11.22</v>
      </c>
      <c r="E1147" s="461" t="s">
        <v>1497</v>
      </c>
    </row>
    <row r="1148" spans="1:5" ht="40.5" x14ac:dyDescent="0.25">
      <c r="A1148" s="508">
        <v>91398</v>
      </c>
      <c r="B1148" s="509" t="s">
        <v>705</v>
      </c>
      <c r="C1148" s="508" t="s">
        <v>160</v>
      </c>
      <c r="D1148" s="508">
        <v>4.53</v>
      </c>
      <c r="E1148" s="461" t="s">
        <v>1497</v>
      </c>
    </row>
    <row r="1149" spans="1:5" ht="40.5" x14ac:dyDescent="0.25">
      <c r="A1149" s="508">
        <v>91402</v>
      </c>
      <c r="B1149" s="509" t="s">
        <v>706</v>
      </c>
      <c r="C1149" s="508" t="s">
        <v>160</v>
      </c>
      <c r="D1149" s="508">
        <v>3.53</v>
      </c>
      <c r="E1149" s="461" t="s">
        <v>1497</v>
      </c>
    </row>
    <row r="1150" spans="1:5" ht="40.5" x14ac:dyDescent="0.25">
      <c r="A1150" s="508">
        <v>91466</v>
      </c>
      <c r="B1150" s="509" t="s">
        <v>707</v>
      </c>
      <c r="C1150" s="508" t="s">
        <v>160</v>
      </c>
      <c r="D1150" s="508">
        <v>4.01</v>
      </c>
      <c r="E1150" s="461" t="s">
        <v>1497</v>
      </c>
    </row>
    <row r="1151" spans="1:5" ht="40.5" x14ac:dyDescent="0.25">
      <c r="A1151" s="508">
        <v>91467</v>
      </c>
      <c r="B1151" s="509" t="s">
        <v>708</v>
      </c>
      <c r="C1151" s="508" t="s">
        <v>160</v>
      </c>
      <c r="D1151" s="508">
        <v>153.55000000000001</v>
      </c>
      <c r="E1151" s="461" t="s">
        <v>1497</v>
      </c>
    </row>
    <row r="1152" spans="1:5" ht="40.5" x14ac:dyDescent="0.25">
      <c r="A1152" s="508">
        <v>91468</v>
      </c>
      <c r="B1152" s="509" t="s">
        <v>5073</v>
      </c>
      <c r="C1152" s="508" t="s">
        <v>160</v>
      </c>
      <c r="D1152" s="508">
        <v>22.79</v>
      </c>
      <c r="E1152" s="461" t="s">
        <v>1497</v>
      </c>
    </row>
    <row r="1153" spans="1:5" ht="40.5" x14ac:dyDescent="0.25">
      <c r="A1153" s="508">
        <v>91469</v>
      </c>
      <c r="B1153" s="509" t="s">
        <v>5074</v>
      </c>
      <c r="C1153" s="508" t="s">
        <v>160</v>
      </c>
      <c r="D1153" s="508">
        <v>9.9700000000000006</v>
      </c>
      <c r="E1153" s="461" t="s">
        <v>1497</v>
      </c>
    </row>
    <row r="1154" spans="1:5" ht="40.5" x14ac:dyDescent="0.25">
      <c r="A1154" s="508">
        <v>91484</v>
      </c>
      <c r="B1154" s="509" t="s">
        <v>5075</v>
      </c>
      <c r="C1154" s="508" t="s">
        <v>160</v>
      </c>
      <c r="D1154" s="508">
        <v>7.59</v>
      </c>
      <c r="E1154" s="461" t="s">
        <v>1497</v>
      </c>
    </row>
    <row r="1155" spans="1:5" ht="40.5" x14ac:dyDescent="0.25">
      <c r="A1155" s="508">
        <v>91485</v>
      </c>
      <c r="B1155" s="509" t="s">
        <v>5076</v>
      </c>
      <c r="C1155" s="508" t="s">
        <v>160</v>
      </c>
      <c r="D1155" s="508">
        <v>158.44</v>
      </c>
      <c r="E1155" s="461" t="s">
        <v>1497</v>
      </c>
    </row>
    <row r="1156" spans="1:5" ht="27" x14ac:dyDescent="0.25">
      <c r="A1156" s="508">
        <v>91529</v>
      </c>
      <c r="B1156" s="509" t="s">
        <v>709</v>
      </c>
      <c r="C1156" s="508" t="s">
        <v>160</v>
      </c>
      <c r="D1156" s="508">
        <v>0.8</v>
      </c>
      <c r="E1156" s="461" t="s">
        <v>1497</v>
      </c>
    </row>
    <row r="1157" spans="1:5" ht="27" x14ac:dyDescent="0.25">
      <c r="A1157" s="508">
        <v>91530</v>
      </c>
      <c r="B1157" s="509" t="s">
        <v>710</v>
      </c>
      <c r="C1157" s="508" t="s">
        <v>160</v>
      </c>
      <c r="D1157" s="508">
        <v>0.21</v>
      </c>
      <c r="E1157" s="461" t="s">
        <v>1497</v>
      </c>
    </row>
    <row r="1158" spans="1:5" ht="27" x14ac:dyDescent="0.25">
      <c r="A1158" s="508">
        <v>91531</v>
      </c>
      <c r="B1158" s="509" t="s">
        <v>711</v>
      </c>
      <c r="C1158" s="508" t="s">
        <v>160</v>
      </c>
      <c r="D1158" s="508">
        <v>1</v>
      </c>
      <c r="E1158" s="461" t="s">
        <v>1497</v>
      </c>
    </row>
    <row r="1159" spans="1:5" ht="27" x14ac:dyDescent="0.25">
      <c r="A1159" s="508">
        <v>91532</v>
      </c>
      <c r="B1159" s="509" t="s">
        <v>712</v>
      </c>
      <c r="C1159" s="508" t="s">
        <v>160</v>
      </c>
      <c r="D1159" s="508">
        <v>6.01</v>
      </c>
      <c r="E1159" s="461" t="s">
        <v>1497</v>
      </c>
    </row>
    <row r="1160" spans="1:5" ht="40.5" x14ac:dyDescent="0.25">
      <c r="A1160" s="508">
        <v>91629</v>
      </c>
      <c r="B1160" s="509" t="s">
        <v>713</v>
      </c>
      <c r="C1160" s="508" t="s">
        <v>160</v>
      </c>
      <c r="D1160" s="508">
        <v>21.42</v>
      </c>
      <c r="E1160" s="461" t="s">
        <v>1497</v>
      </c>
    </row>
    <row r="1161" spans="1:5" ht="40.5" x14ac:dyDescent="0.25">
      <c r="A1161" s="508">
        <v>91630</v>
      </c>
      <c r="B1161" s="509" t="s">
        <v>714</v>
      </c>
      <c r="C1161" s="508" t="s">
        <v>160</v>
      </c>
      <c r="D1161" s="508">
        <v>7.98</v>
      </c>
      <c r="E1161" s="461" t="s">
        <v>1497</v>
      </c>
    </row>
    <row r="1162" spans="1:5" ht="40.5" x14ac:dyDescent="0.25">
      <c r="A1162" s="508">
        <v>91631</v>
      </c>
      <c r="B1162" s="509" t="s">
        <v>715</v>
      </c>
      <c r="C1162" s="508" t="s">
        <v>160</v>
      </c>
      <c r="D1162" s="508">
        <v>3.22</v>
      </c>
      <c r="E1162" s="461" t="s">
        <v>1497</v>
      </c>
    </row>
    <row r="1163" spans="1:5" ht="40.5" x14ac:dyDescent="0.25">
      <c r="A1163" s="508">
        <v>91632</v>
      </c>
      <c r="B1163" s="509" t="s">
        <v>716</v>
      </c>
      <c r="C1163" s="508" t="s">
        <v>160</v>
      </c>
      <c r="D1163" s="508">
        <v>36.76</v>
      </c>
      <c r="E1163" s="461" t="s">
        <v>1497</v>
      </c>
    </row>
    <row r="1164" spans="1:5" ht="40.5" x14ac:dyDescent="0.25">
      <c r="A1164" s="508">
        <v>91633</v>
      </c>
      <c r="B1164" s="509" t="s">
        <v>717</v>
      </c>
      <c r="C1164" s="508" t="s">
        <v>160</v>
      </c>
      <c r="D1164" s="508">
        <v>129.96</v>
      </c>
      <c r="E1164" s="461" t="s">
        <v>1497</v>
      </c>
    </row>
    <row r="1165" spans="1:5" ht="40.5" x14ac:dyDescent="0.25">
      <c r="A1165" s="508">
        <v>91640</v>
      </c>
      <c r="B1165" s="509" t="s">
        <v>718</v>
      </c>
      <c r="C1165" s="508" t="s">
        <v>160</v>
      </c>
      <c r="D1165" s="508">
        <v>40.1</v>
      </c>
      <c r="E1165" s="461" t="s">
        <v>1497</v>
      </c>
    </row>
    <row r="1166" spans="1:5" ht="40.5" x14ac:dyDescent="0.25">
      <c r="A1166" s="508">
        <v>91641</v>
      </c>
      <c r="B1166" s="509" t="s">
        <v>719</v>
      </c>
      <c r="C1166" s="508" t="s">
        <v>160</v>
      </c>
      <c r="D1166" s="508">
        <v>16.190000000000001</v>
      </c>
      <c r="E1166" s="461" t="s">
        <v>1497</v>
      </c>
    </row>
    <row r="1167" spans="1:5" ht="40.5" x14ac:dyDescent="0.25">
      <c r="A1167" s="508">
        <v>91642</v>
      </c>
      <c r="B1167" s="509" t="s">
        <v>720</v>
      </c>
      <c r="C1167" s="508" t="s">
        <v>160</v>
      </c>
      <c r="D1167" s="508">
        <v>6.54</v>
      </c>
      <c r="E1167" s="461" t="s">
        <v>1497</v>
      </c>
    </row>
    <row r="1168" spans="1:5" ht="40.5" x14ac:dyDescent="0.25">
      <c r="A1168" s="508">
        <v>91643</v>
      </c>
      <c r="B1168" s="509" t="s">
        <v>721</v>
      </c>
      <c r="C1168" s="508" t="s">
        <v>160</v>
      </c>
      <c r="D1168" s="508">
        <v>72.33</v>
      </c>
      <c r="E1168" s="461" t="s">
        <v>1497</v>
      </c>
    </row>
    <row r="1169" spans="1:5" ht="40.5" x14ac:dyDescent="0.25">
      <c r="A1169" s="508">
        <v>91644</v>
      </c>
      <c r="B1169" s="509" t="s">
        <v>722</v>
      </c>
      <c r="C1169" s="508" t="s">
        <v>160</v>
      </c>
      <c r="D1169" s="508">
        <v>292.47000000000003</v>
      </c>
      <c r="E1169" s="461" t="s">
        <v>1497</v>
      </c>
    </row>
    <row r="1170" spans="1:5" ht="27" x14ac:dyDescent="0.25">
      <c r="A1170" s="508">
        <v>91688</v>
      </c>
      <c r="B1170" s="509" t="s">
        <v>723</v>
      </c>
      <c r="C1170" s="508" t="s">
        <v>160</v>
      </c>
      <c r="D1170" s="508">
        <v>0.11</v>
      </c>
      <c r="E1170" s="461" t="s">
        <v>1497</v>
      </c>
    </row>
    <row r="1171" spans="1:5" ht="27" x14ac:dyDescent="0.25">
      <c r="A1171" s="508">
        <v>91689</v>
      </c>
      <c r="B1171" s="509" t="s">
        <v>724</v>
      </c>
      <c r="C1171" s="508" t="s">
        <v>160</v>
      </c>
      <c r="D1171" s="508">
        <v>0.02</v>
      </c>
      <c r="E1171" s="461" t="s">
        <v>1497</v>
      </c>
    </row>
    <row r="1172" spans="1:5" ht="27" x14ac:dyDescent="0.25">
      <c r="A1172" s="508">
        <v>91690</v>
      </c>
      <c r="B1172" s="509" t="s">
        <v>725</v>
      </c>
      <c r="C1172" s="508" t="s">
        <v>160</v>
      </c>
      <c r="D1172" s="508">
        <v>7.0000000000000007E-2</v>
      </c>
      <c r="E1172" s="461" t="s">
        <v>1497</v>
      </c>
    </row>
    <row r="1173" spans="1:5" ht="27" x14ac:dyDescent="0.25">
      <c r="A1173" s="508">
        <v>91691</v>
      </c>
      <c r="B1173" s="509" t="s">
        <v>726</v>
      </c>
      <c r="C1173" s="508" t="s">
        <v>160</v>
      </c>
      <c r="D1173" s="508">
        <v>1</v>
      </c>
      <c r="E1173" s="461" t="s">
        <v>1497</v>
      </c>
    </row>
    <row r="1174" spans="1:5" ht="27" x14ac:dyDescent="0.25">
      <c r="A1174" s="508">
        <v>92040</v>
      </c>
      <c r="B1174" s="509" t="s">
        <v>727</v>
      </c>
      <c r="C1174" s="508" t="s">
        <v>160</v>
      </c>
      <c r="D1174" s="508">
        <v>6.47</v>
      </c>
      <c r="E1174" s="461" t="s">
        <v>1497</v>
      </c>
    </row>
    <row r="1175" spans="1:5" ht="27" x14ac:dyDescent="0.25">
      <c r="A1175" s="508">
        <v>92041</v>
      </c>
      <c r="B1175" s="509" t="s">
        <v>728</v>
      </c>
      <c r="C1175" s="508" t="s">
        <v>160</v>
      </c>
      <c r="D1175" s="508">
        <v>1.33</v>
      </c>
      <c r="E1175" s="461" t="s">
        <v>1497</v>
      </c>
    </row>
    <row r="1176" spans="1:5" ht="27" x14ac:dyDescent="0.25">
      <c r="A1176" s="508">
        <v>92042</v>
      </c>
      <c r="B1176" s="509" t="s">
        <v>729</v>
      </c>
      <c r="C1176" s="508" t="s">
        <v>160</v>
      </c>
      <c r="D1176" s="508">
        <v>5.39</v>
      </c>
      <c r="E1176" s="461" t="s">
        <v>1497</v>
      </c>
    </row>
    <row r="1177" spans="1:5" ht="40.5" x14ac:dyDescent="0.25">
      <c r="A1177" s="508">
        <v>92101</v>
      </c>
      <c r="B1177" s="509" t="s">
        <v>5077</v>
      </c>
      <c r="C1177" s="508" t="s">
        <v>160</v>
      </c>
      <c r="D1177" s="508">
        <v>41.27</v>
      </c>
      <c r="E1177" s="461" t="s">
        <v>1497</v>
      </c>
    </row>
    <row r="1178" spans="1:5" ht="40.5" x14ac:dyDescent="0.25">
      <c r="A1178" s="508">
        <v>92102</v>
      </c>
      <c r="B1178" s="509" t="s">
        <v>5078</v>
      </c>
      <c r="C1178" s="508" t="s">
        <v>160</v>
      </c>
      <c r="D1178" s="508">
        <v>14.05</v>
      </c>
      <c r="E1178" s="461" t="s">
        <v>1497</v>
      </c>
    </row>
    <row r="1179" spans="1:5" ht="40.5" x14ac:dyDescent="0.25">
      <c r="A1179" s="508">
        <v>92103</v>
      </c>
      <c r="B1179" s="509" t="s">
        <v>5079</v>
      </c>
      <c r="C1179" s="508" t="s">
        <v>160</v>
      </c>
      <c r="D1179" s="508">
        <v>9.82</v>
      </c>
      <c r="E1179" s="461" t="s">
        <v>1497</v>
      </c>
    </row>
    <row r="1180" spans="1:5" ht="40.5" x14ac:dyDescent="0.25">
      <c r="A1180" s="508">
        <v>92104</v>
      </c>
      <c r="B1180" s="509" t="s">
        <v>5080</v>
      </c>
      <c r="C1180" s="508" t="s">
        <v>160</v>
      </c>
      <c r="D1180" s="508">
        <v>67.8</v>
      </c>
      <c r="E1180" s="461" t="s">
        <v>1497</v>
      </c>
    </row>
    <row r="1181" spans="1:5" ht="40.5" x14ac:dyDescent="0.25">
      <c r="A1181" s="508">
        <v>92105</v>
      </c>
      <c r="B1181" s="509" t="s">
        <v>5081</v>
      </c>
      <c r="C1181" s="508" t="s">
        <v>160</v>
      </c>
      <c r="D1181" s="508">
        <v>171.21</v>
      </c>
      <c r="E1181" s="461" t="s">
        <v>1497</v>
      </c>
    </row>
    <row r="1182" spans="1:5" ht="27" x14ac:dyDescent="0.25">
      <c r="A1182" s="508">
        <v>92108</v>
      </c>
      <c r="B1182" s="509" t="s">
        <v>5082</v>
      </c>
      <c r="C1182" s="508" t="s">
        <v>160</v>
      </c>
      <c r="D1182" s="508">
        <v>0.95</v>
      </c>
      <c r="E1182" s="461" t="s">
        <v>1497</v>
      </c>
    </row>
    <row r="1183" spans="1:5" ht="27" x14ac:dyDescent="0.25">
      <c r="A1183" s="508">
        <v>92109</v>
      </c>
      <c r="B1183" s="509" t="s">
        <v>5083</v>
      </c>
      <c r="C1183" s="508" t="s">
        <v>160</v>
      </c>
      <c r="D1183" s="508">
        <v>0.23</v>
      </c>
      <c r="E1183" s="461" t="s">
        <v>1497</v>
      </c>
    </row>
    <row r="1184" spans="1:5" ht="27" x14ac:dyDescent="0.25">
      <c r="A1184" s="508">
        <v>92110</v>
      </c>
      <c r="B1184" s="509" t="s">
        <v>5084</v>
      </c>
      <c r="C1184" s="508" t="s">
        <v>160</v>
      </c>
      <c r="D1184" s="508">
        <v>1.27</v>
      </c>
      <c r="E1184" s="461" t="s">
        <v>1497</v>
      </c>
    </row>
    <row r="1185" spans="1:5" ht="27" x14ac:dyDescent="0.25">
      <c r="A1185" s="508">
        <v>92111</v>
      </c>
      <c r="B1185" s="509" t="s">
        <v>5085</v>
      </c>
      <c r="C1185" s="508" t="s">
        <v>160</v>
      </c>
      <c r="D1185" s="508">
        <v>0.92</v>
      </c>
      <c r="E1185" s="461" t="s">
        <v>1497</v>
      </c>
    </row>
    <row r="1186" spans="1:5" ht="15" x14ac:dyDescent="0.25">
      <c r="A1186" s="508">
        <v>92114</v>
      </c>
      <c r="B1186" s="509" t="s">
        <v>5086</v>
      </c>
      <c r="C1186" s="508" t="s">
        <v>160</v>
      </c>
      <c r="D1186" s="508">
        <v>0.25</v>
      </c>
      <c r="E1186" s="461" t="s">
        <v>1497</v>
      </c>
    </row>
    <row r="1187" spans="1:5" ht="15" x14ac:dyDescent="0.25">
      <c r="A1187" s="508">
        <v>92115</v>
      </c>
      <c r="B1187" s="509" t="s">
        <v>5087</v>
      </c>
      <c r="C1187" s="508" t="s">
        <v>160</v>
      </c>
      <c r="D1187" s="508">
        <v>0.05</v>
      </c>
      <c r="E1187" s="461" t="s">
        <v>1497</v>
      </c>
    </row>
    <row r="1188" spans="1:5" ht="15" x14ac:dyDescent="0.25">
      <c r="A1188" s="508">
        <v>92116</v>
      </c>
      <c r="B1188" s="509" t="s">
        <v>5088</v>
      </c>
      <c r="C1188" s="508" t="s">
        <v>160</v>
      </c>
      <c r="D1188" s="508">
        <v>0.17</v>
      </c>
      <c r="E1188" s="461" t="s">
        <v>1497</v>
      </c>
    </row>
    <row r="1189" spans="1:5" ht="27" x14ac:dyDescent="0.25">
      <c r="A1189" s="508">
        <v>92133</v>
      </c>
      <c r="B1189" s="509" t="s">
        <v>730</v>
      </c>
      <c r="C1189" s="508" t="s">
        <v>160</v>
      </c>
      <c r="D1189" s="508">
        <v>12.97</v>
      </c>
      <c r="E1189" s="461" t="s">
        <v>1497</v>
      </c>
    </row>
    <row r="1190" spans="1:5" ht="27" x14ac:dyDescent="0.25">
      <c r="A1190" s="508">
        <v>92134</v>
      </c>
      <c r="B1190" s="509" t="s">
        <v>731</v>
      </c>
      <c r="C1190" s="508" t="s">
        <v>160</v>
      </c>
      <c r="D1190" s="508">
        <v>3.99</v>
      </c>
      <c r="E1190" s="461" t="s">
        <v>1497</v>
      </c>
    </row>
    <row r="1191" spans="1:5" ht="27" x14ac:dyDescent="0.25">
      <c r="A1191" s="508">
        <v>92135</v>
      </c>
      <c r="B1191" s="509" t="s">
        <v>732</v>
      </c>
      <c r="C1191" s="508" t="s">
        <v>160</v>
      </c>
      <c r="D1191" s="508">
        <v>1.62</v>
      </c>
      <c r="E1191" s="461" t="s">
        <v>1497</v>
      </c>
    </row>
    <row r="1192" spans="1:5" ht="27" x14ac:dyDescent="0.25">
      <c r="A1192" s="508">
        <v>92136</v>
      </c>
      <c r="B1192" s="509" t="s">
        <v>733</v>
      </c>
      <c r="C1192" s="508" t="s">
        <v>160</v>
      </c>
      <c r="D1192" s="508">
        <v>16.21</v>
      </c>
      <c r="E1192" s="461" t="s">
        <v>1497</v>
      </c>
    </row>
    <row r="1193" spans="1:5" ht="27" x14ac:dyDescent="0.25">
      <c r="A1193" s="508">
        <v>92137</v>
      </c>
      <c r="B1193" s="509" t="s">
        <v>734</v>
      </c>
      <c r="C1193" s="508" t="s">
        <v>160</v>
      </c>
      <c r="D1193" s="508">
        <v>34.22</v>
      </c>
      <c r="E1193" s="461" t="s">
        <v>1497</v>
      </c>
    </row>
    <row r="1194" spans="1:5" ht="27" x14ac:dyDescent="0.25">
      <c r="A1194" s="508">
        <v>92140</v>
      </c>
      <c r="B1194" s="509" t="s">
        <v>735</v>
      </c>
      <c r="C1194" s="508" t="s">
        <v>160</v>
      </c>
      <c r="D1194" s="508">
        <v>4.75</v>
      </c>
      <c r="E1194" s="461" t="s">
        <v>1497</v>
      </c>
    </row>
    <row r="1195" spans="1:5" ht="27" x14ac:dyDescent="0.25">
      <c r="A1195" s="508">
        <v>92141</v>
      </c>
      <c r="B1195" s="509" t="s">
        <v>736</v>
      </c>
      <c r="C1195" s="508" t="s">
        <v>160</v>
      </c>
      <c r="D1195" s="508">
        <v>1.46</v>
      </c>
      <c r="E1195" s="461" t="s">
        <v>1497</v>
      </c>
    </row>
    <row r="1196" spans="1:5" ht="27" x14ac:dyDescent="0.25">
      <c r="A1196" s="508">
        <v>92142</v>
      </c>
      <c r="B1196" s="509" t="s">
        <v>737</v>
      </c>
      <c r="C1196" s="508" t="s">
        <v>160</v>
      </c>
      <c r="D1196" s="508">
        <v>0.59</v>
      </c>
      <c r="E1196" s="461" t="s">
        <v>1497</v>
      </c>
    </row>
    <row r="1197" spans="1:5" ht="27" x14ac:dyDescent="0.25">
      <c r="A1197" s="508">
        <v>92143</v>
      </c>
      <c r="B1197" s="509" t="s">
        <v>738</v>
      </c>
      <c r="C1197" s="508" t="s">
        <v>160</v>
      </c>
      <c r="D1197" s="508">
        <v>5.94</v>
      </c>
      <c r="E1197" s="461" t="s">
        <v>1497</v>
      </c>
    </row>
    <row r="1198" spans="1:5" ht="27" x14ac:dyDescent="0.25">
      <c r="A1198" s="508">
        <v>92144</v>
      </c>
      <c r="B1198" s="509" t="s">
        <v>739</v>
      </c>
      <c r="C1198" s="508" t="s">
        <v>160</v>
      </c>
      <c r="D1198" s="508">
        <v>39.06</v>
      </c>
      <c r="E1198" s="461" t="s">
        <v>1497</v>
      </c>
    </row>
    <row r="1199" spans="1:5" ht="40.5" x14ac:dyDescent="0.25">
      <c r="A1199" s="508">
        <v>92237</v>
      </c>
      <c r="B1199" s="509" t="s">
        <v>740</v>
      </c>
      <c r="C1199" s="508" t="s">
        <v>160</v>
      </c>
      <c r="D1199" s="508">
        <v>29.2</v>
      </c>
      <c r="E1199" s="461" t="s">
        <v>1497</v>
      </c>
    </row>
    <row r="1200" spans="1:5" ht="40.5" x14ac:dyDescent="0.25">
      <c r="A1200" s="508">
        <v>92238</v>
      </c>
      <c r="B1200" s="509" t="s">
        <v>741</v>
      </c>
      <c r="C1200" s="508" t="s">
        <v>160</v>
      </c>
      <c r="D1200" s="508">
        <v>11.76</v>
      </c>
      <c r="E1200" s="461" t="s">
        <v>1497</v>
      </c>
    </row>
    <row r="1201" spans="1:5" ht="40.5" x14ac:dyDescent="0.25">
      <c r="A1201" s="508">
        <v>92239</v>
      </c>
      <c r="B1201" s="509" t="s">
        <v>742</v>
      </c>
      <c r="C1201" s="508" t="s">
        <v>160</v>
      </c>
      <c r="D1201" s="508">
        <v>4.75</v>
      </c>
      <c r="E1201" s="461" t="s">
        <v>1497</v>
      </c>
    </row>
    <row r="1202" spans="1:5" ht="40.5" x14ac:dyDescent="0.25">
      <c r="A1202" s="508">
        <v>92240</v>
      </c>
      <c r="B1202" s="509" t="s">
        <v>743</v>
      </c>
      <c r="C1202" s="508" t="s">
        <v>160</v>
      </c>
      <c r="D1202" s="508">
        <v>52.43</v>
      </c>
      <c r="E1202" s="461" t="s">
        <v>1497</v>
      </c>
    </row>
    <row r="1203" spans="1:5" ht="40.5" x14ac:dyDescent="0.25">
      <c r="A1203" s="508">
        <v>92241</v>
      </c>
      <c r="B1203" s="509" t="s">
        <v>744</v>
      </c>
      <c r="C1203" s="508" t="s">
        <v>160</v>
      </c>
      <c r="D1203" s="508">
        <v>268.13</v>
      </c>
      <c r="E1203" s="461" t="s">
        <v>1497</v>
      </c>
    </row>
    <row r="1204" spans="1:5" ht="27" x14ac:dyDescent="0.25">
      <c r="A1204" s="508">
        <v>92712</v>
      </c>
      <c r="B1204" s="509" t="s">
        <v>5089</v>
      </c>
      <c r="C1204" s="508" t="s">
        <v>160</v>
      </c>
      <c r="D1204" s="508">
        <v>0.14000000000000001</v>
      </c>
      <c r="E1204" s="461" t="s">
        <v>1497</v>
      </c>
    </row>
    <row r="1205" spans="1:5" ht="27" x14ac:dyDescent="0.25">
      <c r="A1205" s="508">
        <v>92713</v>
      </c>
      <c r="B1205" s="509" t="s">
        <v>5090</v>
      </c>
      <c r="C1205" s="508" t="s">
        <v>160</v>
      </c>
      <c r="D1205" s="508">
        <v>0.03</v>
      </c>
      <c r="E1205" s="461" t="s">
        <v>1497</v>
      </c>
    </row>
    <row r="1206" spans="1:5" ht="27" x14ac:dyDescent="0.25">
      <c r="A1206" s="508">
        <v>92714</v>
      </c>
      <c r="B1206" s="509" t="s">
        <v>5091</v>
      </c>
      <c r="C1206" s="508" t="s">
        <v>160</v>
      </c>
      <c r="D1206" s="508">
        <v>0.18</v>
      </c>
      <c r="E1206" s="461" t="s">
        <v>1497</v>
      </c>
    </row>
    <row r="1207" spans="1:5" ht="27" x14ac:dyDescent="0.25">
      <c r="A1207" s="508">
        <v>92715</v>
      </c>
      <c r="B1207" s="509" t="s">
        <v>5092</v>
      </c>
      <c r="C1207" s="508" t="s">
        <v>160</v>
      </c>
      <c r="D1207" s="508">
        <v>93.34</v>
      </c>
      <c r="E1207" s="461" t="s">
        <v>1497</v>
      </c>
    </row>
    <row r="1208" spans="1:5" ht="27" x14ac:dyDescent="0.25">
      <c r="A1208" s="508">
        <v>92956</v>
      </c>
      <c r="B1208" s="509" t="s">
        <v>745</v>
      </c>
      <c r="C1208" s="508" t="s">
        <v>160</v>
      </c>
      <c r="D1208" s="508">
        <v>4.3</v>
      </c>
      <c r="E1208" s="461" t="s">
        <v>1497</v>
      </c>
    </row>
    <row r="1209" spans="1:5" ht="27" x14ac:dyDescent="0.25">
      <c r="A1209" s="508">
        <v>92957</v>
      </c>
      <c r="B1209" s="509" t="s">
        <v>746</v>
      </c>
      <c r="C1209" s="508" t="s">
        <v>160</v>
      </c>
      <c r="D1209" s="508">
        <v>0.99</v>
      </c>
      <c r="E1209" s="461" t="s">
        <v>1497</v>
      </c>
    </row>
    <row r="1210" spans="1:5" ht="27" x14ac:dyDescent="0.25">
      <c r="A1210" s="508">
        <v>92958</v>
      </c>
      <c r="B1210" s="509" t="s">
        <v>747</v>
      </c>
      <c r="C1210" s="508" t="s">
        <v>160</v>
      </c>
      <c r="D1210" s="508">
        <v>4.7</v>
      </c>
      <c r="E1210" s="461" t="s">
        <v>1497</v>
      </c>
    </row>
    <row r="1211" spans="1:5" ht="27" x14ac:dyDescent="0.25">
      <c r="A1211" s="508">
        <v>92959</v>
      </c>
      <c r="B1211" s="509" t="s">
        <v>748</v>
      </c>
      <c r="C1211" s="508" t="s">
        <v>160</v>
      </c>
      <c r="D1211" s="508">
        <v>9</v>
      </c>
      <c r="E1211" s="461" t="s">
        <v>1497</v>
      </c>
    </row>
    <row r="1212" spans="1:5" ht="27" x14ac:dyDescent="0.25">
      <c r="A1212" s="508">
        <v>92963</v>
      </c>
      <c r="B1212" s="509" t="s">
        <v>749</v>
      </c>
      <c r="C1212" s="508" t="s">
        <v>160</v>
      </c>
      <c r="D1212" s="508">
        <v>1.66</v>
      </c>
      <c r="E1212" s="461" t="s">
        <v>1497</v>
      </c>
    </row>
    <row r="1213" spans="1:5" ht="15" x14ac:dyDescent="0.25">
      <c r="A1213" s="508">
        <v>92964</v>
      </c>
      <c r="B1213" s="509" t="s">
        <v>750</v>
      </c>
      <c r="C1213" s="508" t="s">
        <v>160</v>
      </c>
      <c r="D1213" s="508">
        <v>0.38</v>
      </c>
      <c r="E1213" s="461" t="s">
        <v>1497</v>
      </c>
    </row>
    <row r="1214" spans="1:5" ht="27" x14ac:dyDescent="0.25">
      <c r="A1214" s="508">
        <v>92965</v>
      </c>
      <c r="B1214" s="509" t="s">
        <v>751</v>
      </c>
      <c r="C1214" s="508" t="s">
        <v>160</v>
      </c>
      <c r="D1214" s="508">
        <v>2.08</v>
      </c>
      <c r="E1214" s="461" t="s">
        <v>1497</v>
      </c>
    </row>
    <row r="1215" spans="1:5" ht="40.5" x14ac:dyDescent="0.25">
      <c r="A1215" s="508">
        <v>93220</v>
      </c>
      <c r="B1215" s="509" t="s">
        <v>752</v>
      </c>
      <c r="C1215" s="508" t="s">
        <v>160</v>
      </c>
      <c r="D1215" s="508">
        <v>329.47</v>
      </c>
      <c r="E1215" s="461" t="s">
        <v>1497</v>
      </c>
    </row>
    <row r="1216" spans="1:5" ht="40.5" x14ac:dyDescent="0.25">
      <c r="A1216" s="508">
        <v>93221</v>
      </c>
      <c r="B1216" s="509" t="s">
        <v>753</v>
      </c>
      <c r="C1216" s="508" t="s">
        <v>160</v>
      </c>
      <c r="D1216" s="508">
        <v>88.39</v>
      </c>
      <c r="E1216" s="461" t="s">
        <v>1497</v>
      </c>
    </row>
    <row r="1217" spans="1:5" ht="40.5" x14ac:dyDescent="0.25">
      <c r="A1217" s="508">
        <v>93222</v>
      </c>
      <c r="B1217" s="509" t="s">
        <v>754</v>
      </c>
      <c r="C1217" s="508" t="s">
        <v>160</v>
      </c>
      <c r="D1217" s="508">
        <v>412.31</v>
      </c>
      <c r="E1217" s="461" t="s">
        <v>1497</v>
      </c>
    </row>
    <row r="1218" spans="1:5" ht="40.5" x14ac:dyDescent="0.25">
      <c r="A1218" s="508">
        <v>93223</v>
      </c>
      <c r="B1218" s="509" t="s">
        <v>5093</v>
      </c>
      <c r="C1218" s="508" t="s">
        <v>160</v>
      </c>
      <c r="D1218" s="508">
        <v>151.69</v>
      </c>
      <c r="E1218" s="461" t="s">
        <v>1497</v>
      </c>
    </row>
    <row r="1219" spans="1:5" ht="27" x14ac:dyDescent="0.25">
      <c r="A1219" s="508">
        <v>93229</v>
      </c>
      <c r="B1219" s="509" t="s">
        <v>4354</v>
      </c>
      <c r="C1219" s="508" t="s">
        <v>160</v>
      </c>
      <c r="D1219" s="508">
        <v>0.43</v>
      </c>
      <c r="E1219" s="461" t="s">
        <v>1497</v>
      </c>
    </row>
    <row r="1220" spans="1:5" ht="27" x14ac:dyDescent="0.25">
      <c r="A1220" s="508">
        <v>93230</v>
      </c>
      <c r="B1220" s="509" t="s">
        <v>4355</v>
      </c>
      <c r="C1220" s="508" t="s">
        <v>160</v>
      </c>
      <c r="D1220" s="508">
        <v>0.1</v>
      </c>
      <c r="E1220" s="461" t="s">
        <v>1497</v>
      </c>
    </row>
    <row r="1221" spans="1:5" ht="27" x14ac:dyDescent="0.25">
      <c r="A1221" s="508">
        <v>93231</v>
      </c>
      <c r="B1221" s="509" t="s">
        <v>4356</v>
      </c>
      <c r="C1221" s="508" t="s">
        <v>160</v>
      </c>
      <c r="D1221" s="508">
        <v>0.54</v>
      </c>
      <c r="E1221" s="461" t="s">
        <v>1497</v>
      </c>
    </row>
    <row r="1222" spans="1:5" ht="27" x14ac:dyDescent="0.25">
      <c r="A1222" s="508">
        <v>93232</v>
      </c>
      <c r="B1222" s="509" t="s">
        <v>4357</v>
      </c>
      <c r="C1222" s="508" t="s">
        <v>160</v>
      </c>
      <c r="D1222" s="508">
        <v>4.49</v>
      </c>
      <c r="E1222" s="461" t="s">
        <v>1497</v>
      </c>
    </row>
    <row r="1223" spans="1:5" ht="15" x14ac:dyDescent="0.25">
      <c r="A1223" s="508">
        <v>93235</v>
      </c>
      <c r="B1223" s="509" t="s">
        <v>755</v>
      </c>
      <c r="C1223" s="508" t="s">
        <v>160</v>
      </c>
      <c r="D1223" s="508">
        <v>2.52</v>
      </c>
      <c r="E1223" s="461" t="s">
        <v>1497</v>
      </c>
    </row>
    <row r="1224" spans="1:5" ht="40.5" x14ac:dyDescent="0.25">
      <c r="A1224" s="508">
        <v>93238</v>
      </c>
      <c r="B1224" s="509" t="s">
        <v>756</v>
      </c>
      <c r="C1224" s="508" t="s">
        <v>160</v>
      </c>
      <c r="D1224" s="508">
        <v>2.5099999999999998</v>
      </c>
      <c r="E1224" s="461" t="s">
        <v>1497</v>
      </c>
    </row>
    <row r="1225" spans="1:5" ht="27" x14ac:dyDescent="0.25">
      <c r="A1225" s="508">
        <v>93239</v>
      </c>
      <c r="B1225" s="509" t="s">
        <v>757</v>
      </c>
      <c r="C1225" s="508" t="s">
        <v>160</v>
      </c>
      <c r="D1225" s="508">
        <v>11.4</v>
      </c>
      <c r="E1225" s="461" t="s">
        <v>1497</v>
      </c>
    </row>
    <row r="1226" spans="1:5" ht="40.5" x14ac:dyDescent="0.25">
      <c r="A1226" s="508">
        <v>93240</v>
      </c>
      <c r="B1226" s="509" t="s">
        <v>758</v>
      </c>
      <c r="C1226" s="508" t="s">
        <v>160</v>
      </c>
      <c r="D1226" s="508">
        <v>11.62</v>
      </c>
      <c r="E1226" s="461" t="s">
        <v>1497</v>
      </c>
    </row>
    <row r="1227" spans="1:5" ht="27" x14ac:dyDescent="0.25">
      <c r="A1227" s="508">
        <v>93267</v>
      </c>
      <c r="B1227" s="509" t="s">
        <v>5094</v>
      </c>
      <c r="C1227" s="508" t="s">
        <v>160</v>
      </c>
      <c r="D1227" s="508">
        <v>28.78</v>
      </c>
      <c r="E1227" s="461" t="s">
        <v>1497</v>
      </c>
    </row>
    <row r="1228" spans="1:5" ht="27" x14ac:dyDescent="0.25">
      <c r="A1228" s="508">
        <v>93269</v>
      </c>
      <c r="B1228" s="509" t="s">
        <v>5095</v>
      </c>
      <c r="C1228" s="508" t="s">
        <v>160</v>
      </c>
      <c r="D1228" s="508">
        <v>9.7100000000000009</v>
      </c>
      <c r="E1228" s="461" t="s">
        <v>1497</v>
      </c>
    </row>
    <row r="1229" spans="1:5" ht="27" x14ac:dyDescent="0.25">
      <c r="A1229" s="508">
        <v>93270</v>
      </c>
      <c r="B1229" s="509" t="s">
        <v>5096</v>
      </c>
      <c r="C1229" s="508" t="s">
        <v>160</v>
      </c>
      <c r="D1229" s="510">
        <v>28.78</v>
      </c>
      <c r="E1229" s="461" t="s">
        <v>1497</v>
      </c>
    </row>
    <row r="1230" spans="1:5" ht="27" x14ac:dyDescent="0.25">
      <c r="A1230" s="508">
        <v>93271</v>
      </c>
      <c r="B1230" s="509" t="s">
        <v>5097</v>
      </c>
      <c r="C1230" s="508" t="s">
        <v>160</v>
      </c>
      <c r="D1230" s="508">
        <v>6.91</v>
      </c>
      <c r="E1230" s="461" t="s">
        <v>1497</v>
      </c>
    </row>
    <row r="1231" spans="1:5" ht="27" x14ac:dyDescent="0.25">
      <c r="A1231" s="508">
        <v>93277</v>
      </c>
      <c r="B1231" s="509" t="s">
        <v>759</v>
      </c>
      <c r="C1231" s="508" t="s">
        <v>160</v>
      </c>
      <c r="D1231" s="508">
        <v>0.28999999999999998</v>
      </c>
      <c r="E1231" s="461" t="s">
        <v>1497</v>
      </c>
    </row>
    <row r="1232" spans="1:5" ht="27" x14ac:dyDescent="0.25">
      <c r="A1232" s="508">
        <v>93278</v>
      </c>
      <c r="B1232" s="509" t="s">
        <v>760</v>
      </c>
      <c r="C1232" s="508" t="s">
        <v>160</v>
      </c>
      <c r="D1232" s="508">
        <v>0.06</v>
      </c>
      <c r="E1232" s="461" t="s">
        <v>1497</v>
      </c>
    </row>
    <row r="1233" spans="1:5" ht="27" x14ac:dyDescent="0.25">
      <c r="A1233" s="508">
        <v>93279</v>
      </c>
      <c r="B1233" s="509" t="s">
        <v>761</v>
      </c>
      <c r="C1233" s="508" t="s">
        <v>160</v>
      </c>
      <c r="D1233" s="510">
        <v>0.27</v>
      </c>
      <c r="E1233" s="461" t="s">
        <v>1497</v>
      </c>
    </row>
    <row r="1234" spans="1:5" ht="27" x14ac:dyDescent="0.25">
      <c r="A1234" s="508">
        <v>93280</v>
      </c>
      <c r="B1234" s="509" t="s">
        <v>762</v>
      </c>
      <c r="C1234" s="508" t="s">
        <v>160</v>
      </c>
      <c r="D1234" s="508">
        <v>0.56999999999999995</v>
      </c>
      <c r="E1234" s="461" t="s">
        <v>1497</v>
      </c>
    </row>
    <row r="1235" spans="1:5" ht="27" x14ac:dyDescent="0.25">
      <c r="A1235" s="508">
        <v>93283</v>
      </c>
      <c r="B1235" s="509" t="s">
        <v>763</v>
      </c>
      <c r="C1235" s="508" t="s">
        <v>160</v>
      </c>
      <c r="D1235" s="508">
        <v>96.78</v>
      </c>
      <c r="E1235" s="461" t="s">
        <v>1497</v>
      </c>
    </row>
    <row r="1236" spans="1:5" ht="27" x14ac:dyDescent="0.25">
      <c r="A1236" s="508">
        <v>93284</v>
      </c>
      <c r="B1236" s="509" t="s">
        <v>764</v>
      </c>
      <c r="C1236" s="508" t="s">
        <v>160</v>
      </c>
      <c r="D1236" s="508">
        <v>34.11</v>
      </c>
      <c r="E1236" s="461" t="s">
        <v>1497</v>
      </c>
    </row>
    <row r="1237" spans="1:5" ht="27" x14ac:dyDescent="0.25">
      <c r="A1237" s="508">
        <v>93285</v>
      </c>
      <c r="B1237" s="509" t="s">
        <v>765</v>
      </c>
      <c r="C1237" s="508" t="s">
        <v>160</v>
      </c>
      <c r="D1237" s="508">
        <v>155.57</v>
      </c>
      <c r="E1237" s="461" t="s">
        <v>1497</v>
      </c>
    </row>
    <row r="1238" spans="1:5" ht="27" x14ac:dyDescent="0.25">
      <c r="A1238" s="508">
        <v>93286</v>
      </c>
      <c r="B1238" s="509" t="s">
        <v>766</v>
      </c>
      <c r="C1238" s="508" t="s">
        <v>160</v>
      </c>
      <c r="D1238" s="508">
        <v>9.6199999999999992</v>
      </c>
      <c r="E1238" s="461" t="s">
        <v>1497</v>
      </c>
    </row>
    <row r="1239" spans="1:5" ht="27" x14ac:dyDescent="0.25">
      <c r="A1239" s="508">
        <v>93296</v>
      </c>
      <c r="B1239" s="509" t="s">
        <v>767</v>
      </c>
      <c r="C1239" s="508" t="s">
        <v>160</v>
      </c>
      <c r="D1239" s="508">
        <v>13.79</v>
      </c>
      <c r="E1239" s="461" t="s">
        <v>1497</v>
      </c>
    </row>
    <row r="1240" spans="1:5" ht="40.5" x14ac:dyDescent="0.25">
      <c r="A1240" s="508">
        <v>93397</v>
      </c>
      <c r="B1240" s="509" t="s">
        <v>768</v>
      </c>
      <c r="C1240" s="508" t="s">
        <v>160</v>
      </c>
      <c r="D1240" s="508">
        <v>24.8</v>
      </c>
      <c r="E1240" s="461" t="s">
        <v>1497</v>
      </c>
    </row>
    <row r="1241" spans="1:5" ht="40.5" x14ac:dyDescent="0.25">
      <c r="A1241" s="508">
        <v>93398</v>
      </c>
      <c r="B1241" s="509" t="s">
        <v>769</v>
      </c>
      <c r="C1241" s="508" t="s">
        <v>160</v>
      </c>
      <c r="D1241" s="508">
        <v>9.3699999999999992</v>
      </c>
      <c r="E1241" s="461" t="s">
        <v>1497</v>
      </c>
    </row>
    <row r="1242" spans="1:5" ht="40.5" x14ac:dyDescent="0.25">
      <c r="A1242" s="508">
        <v>93399</v>
      </c>
      <c r="B1242" s="509" t="s">
        <v>5098</v>
      </c>
      <c r="C1242" s="508" t="s">
        <v>160</v>
      </c>
      <c r="D1242" s="508">
        <v>3.78</v>
      </c>
      <c r="E1242" s="461" t="s">
        <v>1497</v>
      </c>
    </row>
    <row r="1243" spans="1:5" ht="40.5" x14ac:dyDescent="0.25">
      <c r="A1243" s="508">
        <v>93400</v>
      </c>
      <c r="B1243" s="509" t="s">
        <v>770</v>
      </c>
      <c r="C1243" s="508" t="s">
        <v>160</v>
      </c>
      <c r="D1243" s="508">
        <v>43.09</v>
      </c>
      <c r="E1243" s="461" t="s">
        <v>1497</v>
      </c>
    </row>
    <row r="1244" spans="1:5" ht="40.5" x14ac:dyDescent="0.25">
      <c r="A1244" s="508">
        <v>93401</v>
      </c>
      <c r="B1244" s="509" t="s">
        <v>771</v>
      </c>
      <c r="C1244" s="508" t="s">
        <v>160</v>
      </c>
      <c r="D1244" s="508">
        <v>153.55000000000001</v>
      </c>
      <c r="E1244" s="461" t="s">
        <v>1497</v>
      </c>
    </row>
    <row r="1245" spans="1:5" ht="40.5" x14ac:dyDescent="0.25">
      <c r="A1245" s="508">
        <v>93404</v>
      </c>
      <c r="B1245" s="509" t="s">
        <v>5099</v>
      </c>
      <c r="C1245" s="508" t="s">
        <v>160</v>
      </c>
      <c r="D1245" s="508">
        <v>6.93</v>
      </c>
      <c r="E1245" s="461" t="s">
        <v>1497</v>
      </c>
    </row>
    <row r="1246" spans="1:5" ht="40.5" x14ac:dyDescent="0.25">
      <c r="A1246" s="508">
        <v>93405</v>
      </c>
      <c r="B1246" s="509" t="s">
        <v>5100</v>
      </c>
      <c r="C1246" s="508" t="s">
        <v>160</v>
      </c>
      <c r="D1246" s="508">
        <v>1.89</v>
      </c>
      <c r="E1246" s="461" t="s">
        <v>1497</v>
      </c>
    </row>
    <row r="1247" spans="1:5" ht="40.5" x14ac:dyDescent="0.25">
      <c r="A1247" s="508">
        <v>93406</v>
      </c>
      <c r="B1247" s="509" t="s">
        <v>5101</v>
      </c>
      <c r="C1247" s="508" t="s">
        <v>160</v>
      </c>
      <c r="D1247" s="508">
        <v>9.19</v>
      </c>
      <c r="E1247" s="461" t="s">
        <v>1497</v>
      </c>
    </row>
    <row r="1248" spans="1:5" ht="40.5" x14ac:dyDescent="0.25">
      <c r="A1248" s="508">
        <v>93407</v>
      </c>
      <c r="B1248" s="509" t="s">
        <v>5102</v>
      </c>
      <c r="C1248" s="508" t="s">
        <v>160</v>
      </c>
      <c r="D1248" s="508">
        <v>45.79</v>
      </c>
      <c r="E1248" s="461" t="s">
        <v>1497</v>
      </c>
    </row>
    <row r="1249" spans="1:5" ht="27" x14ac:dyDescent="0.25">
      <c r="A1249" s="508">
        <v>93411</v>
      </c>
      <c r="B1249" s="509" t="s">
        <v>772</v>
      </c>
      <c r="C1249" s="508" t="s">
        <v>160</v>
      </c>
      <c r="D1249" s="508">
        <v>0.34</v>
      </c>
      <c r="E1249" s="461" t="s">
        <v>1497</v>
      </c>
    </row>
    <row r="1250" spans="1:5" ht="27" x14ac:dyDescent="0.25">
      <c r="A1250" s="508">
        <v>93412</v>
      </c>
      <c r="B1250" s="509" t="s">
        <v>773</v>
      </c>
      <c r="C1250" s="508" t="s">
        <v>160</v>
      </c>
      <c r="D1250" s="508">
        <v>0.12</v>
      </c>
      <c r="E1250" s="461" t="s">
        <v>1497</v>
      </c>
    </row>
    <row r="1251" spans="1:5" ht="27" x14ac:dyDescent="0.25">
      <c r="A1251" s="508">
        <v>93413</v>
      </c>
      <c r="B1251" s="509" t="s">
        <v>774</v>
      </c>
      <c r="C1251" s="508" t="s">
        <v>160</v>
      </c>
      <c r="D1251" s="508">
        <v>0.3</v>
      </c>
      <c r="E1251" s="461" t="s">
        <v>1497</v>
      </c>
    </row>
    <row r="1252" spans="1:5" ht="27" x14ac:dyDescent="0.25">
      <c r="A1252" s="508">
        <v>93414</v>
      </c>
      <c r="B1252" s="509" t="s">
        <v>775</v>
      </c>
      <c r="C1252" s="508" t="s">
        <v>160</v>
      </c>
      <c r="D1252" s="508">
        <v>14.54</v>
      </c>
      <c r="E1252" s="461" t="s">
        <v>1497</v>
      </c>
    </row>
    <row r="1253" spans="1:5" ht="15" x14ac:dyDescent="0.25">
      <c r="A1253" s="508">
        <v>93417</v>
      </c>
      <c r="B1253" s="509" t="s">
        <v>776</v>
      </c>
      <c r="C1253" s="508" t="s">
        <v>160</v>
      </c>
      <c r="D1253" s="508">
        <v>4.49</v>
      </c>
      <c r="E1253" s="461" t="s">
        <v>1497</v>
      </c>
    </row>
    <row r="1254" spans="1:5" ht="15" x14ac:dyDescent="0.25">
      <c r="A1254" s="508">
        <v>93418</v>
      </c>
      <c r="B1254" s="509" t="s">
        <v>777</v>
      </c>
      <c r="C1254" s="508" t="s">
        <v>160</v>
      </c>
      <c r="D1254" s="508">
        <v>1.58</v>
      </c>
      <c r="E1254" s="461" t="s">
        <v>1497</v>
      </c>
    </row>
    <row r="1255" spans="1:5" ht="15" x14ac:dyDescent="0.25">
      <c r="A1255" s="508">
        <v>93419</v>
      </c>
      <c r="B1255" s="509" t="s">
        <v>778</v>
      </c>
      <c r="C1255" s="508" t="s">
        <v>160</v>
      </c>
      <c r="D1255" s="508">
        <v>4.01</v>
      </c>
      <c r="E1255" s="461" t="s">
        <v>1497</v>
      </c>
    </row>
    <row r="1256" spans="1:5" ht="27" x14ac:dyDescent="0.25">
      <c r="A1256" s="508">
        <v>93420</v>
      </c>
      <c r="B1256" s="509" t="s">
        <v>779</v>
      </c>
      <c r="C1256" s="508" t="s">
        <v>160</v>
      </c>
      <c r="D1256" s="508">
        <v>65.13</v>
      </c>
      <c r="E1256" s="461" t="s">
        <v>1497</v>
      </c>
    </row>
    <row r="1257" spans="1:5" ht="15" x14ac:dyDescent="0.25">
      <c r="A1257" s="508">
        <v>93423</v>
      </c>
      <c r="B1257" s="509" t="s">
        <v>780</v>
      </c>
      <c r="C1257" s="508" t="s">
        <v>160</v>
      </c>
      <c r="D1257" s="508">
        <v>6.36</v>
      </c>
      <c r="E1257" s="461" t="s">
        <v>1497</v>
      </c>
    </row>
    <row r="1258" spans="1:5" ht="15" x14ac:dyDescent="0.25">
      <c r="A1258" s="508">
        <v>93424</v>
      </c>
      <c r="B1258" s="509" t="s">
        <v>781</v>
      </c>
      <c r="C1258" s="508" t="s">
        <v>160</v>
      </c>
      <c r="D1258" s="508">
        <v>2.2400000000000002</v>
      </c>
      <c r="E1258" s="461" t="s">
        <v>1497</v>
      </c>
    </row>
    <row r="1259" spans="1:5" ht="15" x14ac:dyDescent="0.25">
      <c r="A1259" s="508">
        <v>93425</v>
      </c>
      <c r="B1259" s="509" t="s">
        <v>782</v>
      </c>
      <c r="C1259" s="508" t="s">
        <v>160</v>
      </c>
      <c r="D1259" s="508">
        <v>5.68</v>
      </c>
      <c r="E1259" s="461" t="s">
        <v>1497</v>
      </c>
    </row>
    <row r="1260" spans="1:5" ht="27" x14ac:dyDescent="0.25">
      <c r="A1260" s="508">
        <v>93426</v>
      </c>
      <c r="B1260" s="509" t="s">
        <v>783</v>
      </c>
      <c r="C1260" s="508" t="s">
        <v>160</v>
      </c>
      <c r="D1260" s="508">
        <v>155.63999999999999</v>
      </c>
      <c r="E1260" s="461" t="s">
        <v>1497</v>
      </c>
    </row>
    <row r="1261" spans="1:5" ht="27" x14ac:dyDescent="0.25">
      <c r="A1261" s="508">
        <v>93429</v>
      </c>
      <c r="B1261" s="509" t="s">
        <v>5103</v>
      </c>
      <c r="C1261" s="508" t="s">
        <v>160</v>
      </c>
      <c r="D1261" s="508">
        <v>170</v>
      </c>
      <c r="E1261" s="461" t="s">
        <v>1497</v>
      </c>
    </row>
    <row r="1262" spans="1:5" ht="27" x14ac:dyDescent="0.25">
      <c r="A1262" s="508">
        <v>93430</v>
      </c>
      <c r="B1262" s="509" t="s">
        <v>5104</v>
      </c>
      <c r="C1262" s="508" t="s">
        <v>160</v>
      </c>
      <c r="D1262" s="508">
        <v>53.72</v>
      </c>
      <c r="E1262" s="461" t="s">
        <v>1497</v>
      </c>
    </row>
    <row r="1263" spans="1:5" ht="27" x14ac:dyDescent="0.25">
      <c r="A1263" s="508">
        <v>93431</v>
      </c>
      <c r="B1263" s="509" t="s">
        <v>5105</v>
      </c>
      <c r="C1263" s="508" t="s">
        <v>160</v>
      </c>
      <c r="D1263" s="508">
        <v>204</v>
      </c>
      <c r="E1263" s="461" t="s">
        <v>1497</v>
      </c>
    </row>
    <row r="1264" spans="1:5" ht="27" x14ac:dyDescent="0.25">
      <c r="A1264" s="508">
        <v>93432</v>
      </c>
      <c r="B1264" s="509" t="s">
        <v>5106</v>
      </c>
      <c r="C1264" s="508" t="s">
        <v>160</v>
      </c>
      <c r="D1264" s="508">
        <v>2091.6</v>
      </c>
      <c r="E1264" s="461" t="s">
        <v>1497</v>
      </c>
    </row>
    <row r="1265" spans="1:5" ht="27" x14ac:dyDescent="0.25">
      <c r="A1265" s="508">
        <v>93435</v>
      </c>
      <c r="B1265" s="509" t="s">
        <v>5107</v>
      </c>
      <c r="C1265" s="508" t="s">
        <v>160</v>
      </c>
      <c r="D1265" s="508">
        <v>10.73</v>
      </c>
      <c r="E1265" s="461" t="s">
        <v>1497</v>
      </c>
    </row>
    <row r="1266" spans="1:5" ht="27" x14ac:dyDescent="0.25">
      <c r="A1266" s="508">
        <v>93436</v>
      </c>
      <c r="B1266" s="509" t="s">
        <v>5108</v>
      </c>
      <c r="C1266" s="508" t="s">
        <v>160</v>
      </c>
      <c r="D1266" s="508">
        <v>3.02</v>
      </c>
      <c r="E1266" s="461" t="s">
        <v>1497</v>
      </c>
    </row>
    <row r="1267" spans="1:5" ht="27" x14ac:dyDescent="0.25">
      <c r="A1267" s="508">
        <v>93437</v>
      </c>
      <c r="B1267" s="509" t="s">
        <v>5109</v>
      </c>
      <c r="C1267" s="508" t="s">
        <v>160</v>
      </c>
      <c r="D1267" s="508">
        <v>10.73</v>
      </c>
      <c r="E1267" s="461" t="s">
        <v>1497</v>
      </c>
    </row>
    <row r="1268" spans="1:5" ht="27" x14ac:dyDescent="0.25">
      <c r="A1268" s="508">
        <v>93438</v>
      </c>
      <c r="B1268" s="509" t="s">
        <v>5110</v>
      </c>
      <c r="C1268" s="508" t="s">
        <v>160</v>
      </c>
      <c r="D1268" s="508">
        <v>109.05</v>
      </c>
      <c r="E1268" s="461" t="s">
        <v>1497</v>
      </c>
    </row>
    <row r="1269" spans="1:5" ht="27" x14ac:dyDescent="0.25">
      <c r="A1269" s="508">
        <v>95114</v>
      </c>
      <c r="B1269" s="509" t="s">
        <v>784</v>
      </c>
      <c r="C1269" s="508" t="s">
        <v>160</v>
      </c>
      <c r="D1269" s="508">
        <v>1.62</v>
      </c>
      <c r="E1269" s="461" t="s">
        <v>1497</v>
      </c>
    </row>
    <row r="1270" spans="1:5" ht="15" x14ac:dyDescent="0.25">
      <c r="A1270" s="508">
        <v>95115</v>
      </c>
      <c r="B1270" s="509" t="s">
        <v>785</v>
      </c>
      <c r="C1270" s="508" t="s">
        <v>160</v>
      </c>
      <c r="D1270" s="508">
        <v>0.37</v>
      </c>
      <c r="E1270" s="461" t="s">
        <v>1497</v>
      </c>
    </row>
    <row r="1271" spans="1:5" ht="27" x14ac:dyDescent="0.25">
      <c r="A1271" s="508">
        <v>95116</v>
      </c>
      <c r="B1271" s="509" t="s">
        <v>786</v>
      </c>
      <c r="C1271" s="508" t="s">
        <v>160</v>
      </c>
      <c r="D1271" s="508">
        <v>32.549999999999997</v>
      </c>
      <c r="E1271" s="461" t="s">
        <v>1497</v>
      </c>
    </row>
    <row r="1272" spans="1:5" ht="27" x14ac:dyDescent="0.25">
      <c r="A1272" s="508">
        <v>95117</v>
      </c>
      <c r="B1272" s="509" t="s">
        <v>787</v>
      </c>
      <c r="C1272" s="508" t="s">
        <v>160</v>
      </c>
      <c r="D1272" s="508">
        <v>10.039999999999999</v>
      </c>
      <c r="E1272" s="461" t="s">
        <v>1497</v>
      </c>
    </row>
    <row r="1273" spans="1:5" ht="27" x14ac:dyDescent="0.25">
      <c r="A1273" s="508">
        <v>95118</v>
      </c>
      <c r="B1273" s="509" t="s">
        <v>788</v>
      </c>
      <c r="C1273" s="508" t="s">
        <v>160</v>
      </c>
      <c r="D1273" s="508">
        <v>80.150000000000006</v>
      </c>
      <c r="E1273" s="461" t="s">
        <v>1497</v>
      </c>
    </row>
    <row r="1274" spans="1:5" ht="27" x14ac:dyDescent="0.25">
      <c r="A1274" s="508">
        <v>95119</v>
      </c>
      <c r="B1274" s="509" t="s">
        <v>789</v>
      </c>
      <c r="C1274" s="508" t="s">
        <v>160</v>
      </c>
      <c r="D1274" s="508">
        <v>24.72</v>
      </c>
      <c r="E1274" s="461" t="s">
        <v>1497</v>
      </c>
    </row>
    <row r="1275" spans="1:5" ht="27" x14ac:dyDescent="0.25">
      <c r="A1275" s="508">
        <v>95120</v>
      </c>
      <c r="B1275" s="509" t="s">
        <v>790</v>
      </c>
      <c r="C1275" s="508" t="s">
        <v>160</v>
      </c>
      <c r="D1275" s="508">
        <v>47.17</v>
      </c>
      <c r="E1275" s="461" t="s">
        <v>1497</v>
      </c>
    </row>
    <row r="1276" spans="1:5" ht="27" x14ac:dyDescent="0.25">
      <c r="A1276" s="508">
        <v>95123</v>
      </c>
      <c r="B1276" s="509" t="s">
        <v>791</v>
      </c>
      <c r="C1276" s="508" t="s">
        <v>160</v>
      </c>
      <c r="D1276" s="508">
        <v>17.87</v>
      </c>
      <c r="E1276" s="461" t="s">
        <v>1497</v>
      </c>
    </row>
    <row r="1277" spans="1:5" ht="27" x14ac:dyDescent="0.25">
      <c r="A1277" s="508">
        <v>95124</v>
      </c>
      <c r="B1277" s="509" t="s">
        <v>792</v>
      </c>
      <c r="C1277" s="508" t="s">
        <v>160</v>
      </c>
      <c r="D1277" s="508">
        <v>5.51</v>
      </c>
      <c r="E1277" s="461" t="s">
        <v>1497</v>
      </c>
    </row>
    <row r="1278" spans="1:5" ht="27" x14ac:dyDescent="0.25">
      <c r="A1278" s="508">
        <v>95125</v>
      </c>
      <c r="B1278" s="509" t="s">
        <v>793</v>
      </c>
      <c r="C1278" s="508" t="s">
        <v>160</v>
      </c>
      <c r="D1278" s="508">
        <v>19.559999999999999</v>
      </c>
      <c r="E1278" s="461" t="s">
        <v>1497</v>
      </c>
    </row>
    <row r="1279" spans="1:5" ht="27" x14ac:dyDescent="0.25">
      <c r="A1279" s="508">
        <v>95126</v>
      </c>
      <c r="B1279" s="509" t="s">
        <v>5111</v>
      </c>
      <c r="C1279" s="508" t="s">
        <v>160</v>
      </c>
      <c r="D1279" s="508">
        <v>142.97999999999999</v>
      </c>
      <c r="E1279" s="461" t="s">
        <v>1497</v>
      </c>
    </row>
    <row r="1280" spans="1:5" ht="27" x14ac:dyDescent="0.25">
      <c r="A1280" s="508">
        <v>95129</v>
      </c>
      <c r="B1280" s="509" t="s">
        <v>794</v>
      </c>
      <c r="C1280" s="508" t="s">
        <v>160</v>
      </c>
      <c r="D1280" s="508">
        <v>47.9</v>
      </c>
      <c r="E1280" s="461" t="s">
        <v>1497</v>
      </c>
    </row>
    <row r="1281" spans="1:5" ht="27" x14ac:dyDescent="0.25">
      <c r="A1281" s="508">
        <v>95130</v>
      </c>
      <c r="B1281" s="509" t="s">
        <v>795</v>
      </c>
      <c r="C1281" s="508" t="s">
        <v>160</v>
      </c>
      <c r="D1281" s="508">
        <v>17.36</v>
      </c>
      <c r="E1281" s="461" t="s">
        <v>1497</v>
      </c>
    </row>
    <row r="1282" spans="1:5" ht="27" x14ac:dyDescent="0.25">
      <c r="A1282" s="508">
        <v>95131</v>
      </c>
      <c r="B1282" s="509" t="s">
        <v>796</v>
      </c>
      <c r="C1282" s="508" t="s">
        <v>160</v>
      </c>
      <c r="D1282" s="508">
        <v>56.38</v>
      </c>
      <c r="E1282" s="461" t="s">
        <v>1497</v>
      </c>
    </row>
    <row r="1283" spans="1:5" ht="27" x14ac:dyDescent="0.25">
      <c r="A1283" s="508">
        <v>95132</v>
      </c>
      <c r="B1283" s="509" t="s">
        <v>797</v>
      </c>
      <c r="C1283" s="508" t="s">
        <v>160</v>
      </c>
      <c r="D1283" s="508">
        <v>31.31</v>
      </c>
      <c r="E1283" s="461" t="s">
        <v>1497</v>
      </c>
    </row>
    <row r="1284" spans="1:5" ht="27" x14ac:dyDescent="0.25">
      <c r="A1284" s="508">
        <v>95136</v>
      </c>
      <c r="B1284" s="509" t="s">
        <v>798</v>
      </c>
      <c r="C1284" s="508" t="s">
        <v>160</v>
      </c>
      <c r="D1284" s="508">
        <v>0.03</v>
      </c>
      <c r="E1284" s="461" t="s">
        <v>1497</v>
      </c>
    </row>
    <row r="1285" spans="1:5" ht="27" x14ac:dyDescent="0.25">
      <c r="A1285" s="508">
        <v>95137</v>
      </c>
      <c r="B1285" s="509" t="s">
        <v>799</v>
      </c>
      <c r="C1285" s="508" t="s">
        <v>160</v>
      </c>
      <c r="D1285" s="508">
        <v>0.01</v>
      </c>
      <c r="E1285" s="461" t="s">
        <v>1497</v>
      </c>
    </row>
    <row r="1286" spans="1:5" ht="27" x14ac:dyDescent="0.25">
      <c r="A1286" s="508">
        <v>95138</v>
      </c>
      <c r="B1286" s="509" t="s">
        <v>800</v>
      </c>
      <c r="C1286" s="508" t="s">
        <v>160</v>
      </c>
      <c r="D1286" s="508">
        <v>0.02</v>
      </c>
      <c r="E1286" s="461" t="s">
        <v>1497</v>
      </c>
    </row>
    <row r="1287" spans="1:5" ht="27" x14ac:dyDescent="0.25">
      <c r="A1287" s="508">
        <v>95208</v>
      </c>
      <c r="B1287" s="509" t="s">
        <v>5112</v>
      </c>
      <c r="C1287" s="508" t="s">
        <v>160</v>
      </c>
      <c r="D1287" s="508">
        <v>32.6</v>
      </c>
      <c r="E1287" s="461" t="s">
        <v>1497</v>
      </c>
    </row>
    <row r="1288" spans="1:5" ht="27" x14ac:dyDescent="0.25">
      <c r="A1288" s="508">
        <v>95209</v>
      </c>
      <c r="B1288" s="509" t="s">
        <v>5113</v>
      </c>
      <c r="C1288" s="508" t="s">
        <v>160</v>
      </c>
      <c r="D1288" s="508">
        <v>12.06</v>
      </c>
      <c r="E1288" s="461" t="s">
        <v>1497</v>
      </c>
    </row>
    <row r="1289" spans="1:5" ht="27" x14ac:dyDescent="0.25">
      <c r="A1289" s="508">
        <v>95210</v>
      </c>
      <c r="B1289" s="509" t="s">
        <v>5114</v>
      </c>
      <c r="C1289" s="508" t="s">
        <v>160</v>
      </c>
      <c r="D1289" s="508">
        <v>32.6</v>
      </c>
      <c r="E1289" s="461" t="s">
        <v>1497</v>
      </c>
    </row>
    <row r="1290" spans="1:5" ht="27" x14ac:dyDescent="0.25">
      <c r="A1290" s="508">
        <v>95211</v>
      </c>
      <c r="B1290" s="509" t="s">
        <v>5115</v>
      </c>
      <c r="C1290" s="508" t="s">
        <v>160</v>
      </c>
      <c r="D1290" s="508">
        <v>6.91</v>
      </c>
      <c r="E1290" s="461" t="s">
        <v>1497</v>
      </c>
    </row>
    <row r="1291" spans="1:5" ht="27" x14ac:dyDescent="0.25">
      <c r="A1291" s="508">
        <v>95217</v>
      </c>
      <c r="B1291" s="509" t="s">
        <v>5116</v>
      </c>
      <c r="C1291" s="508" t="s">
        <v>160</v>
      </c>
      <c r="D1291" s="510">
        <v>0.56000000000000005</v>
      </c>
      <c r="E1291" s="461" t="s">
        <v>1497</v>
      </c>
    </row>
    <row r="1292" spans="1:5" ht="15" x14ac:dyDescent="0.25">
      <c r="A1292" s="508">
        <v>95255</v>
      </c>
      <c r="B1292" s="509" t="s">
        <v>801</v>
      </c>
      <c r="C1292" s="508" t="s">
        <v>160</v>
      </c>
      <c r="D1292" s="508">
        <v>1.44</v>
      </c>
      <c r="E1292" s="461" t="s">
        <v>1497</v>
      </c>
    </row>
    <row r="1293" spans="1:5" ht="15" x14ac:dyDescent="0.25">
      <c r="A1293" s="508">
        <v>95256</v>
      </c>
      <c r="B1293" s="509" t="s">
        <v>802</v>
      </c>
      <c r="C1293" s="508" t="s">
        <v>160</v>
      </c>
      <c r="D1293" s="508">
        <v>0.33</v>
      </c>
      <c r="E1293" s="461" t="s">
        <v>1497</v>
      </c>
    </row>
    <row r="1294" spans="1:5" ht="15" x14ac:dyDescent="0.25">
      <c r="A1294" s="508">
        <v>95257</v>
      </c>
      <c r="B1294" s="509" t="s">
        <v>803</v>
      </c>
      <c r="C1294" s="508" t="s">
        <v>160</v>
      </c>
      <c r="D1294" s="508">
        <v>1.8</v>
      </c>
      <c r="E1294" s="461" t="s">
        <v>1497</v>
      </c>
    </row>
    <row r="1295" spans="1:5" ht="27" x14ac:dyDescent="0.25">
      <c r="A1295" s="508">
        <v>95260</v>
      </c>
      <c r="B1295" s="509" t="s">
        <v>804</v>
      </c>
      <c r="C1295" s="508" t="s">
        <v>160</v>
      </c>
      <c r="D1295" s="508">
        <v>0.64</v>
      </c>
      <c r="E1295" s="461" t="s">
        <v>1497</v>
      </c>
    </row>
    <row r="1296" spans="1:5" ht="27" x14ac:dyDescent="0.25">
      <c r="A1296" s="508">
        <v>95261</v>
      </c>
      <c r="B1296" s="509" t="s">
        <v>805</v>
      </c>
      <c r="C1296" s="508" t="s">
        <v>160</v>
      </c>
      <c r="D1296" s="508">
        <v>0.17</v>
      </c>
      <c r="E1296" s="461" t="s">
        <v>1497</v>
      </c>
    </row>
    <row r="1297" spans="1:5" ht="27" x14ac:dyDescent="0.25">
      <c r="A1297" s="508">
        <v>95262</v>
      </c>
      <c r="B1297" s="509" t="s">
        <v>806</v>
      </c>
      <c r="C1297" s="508" t="s">
        <v>160</v>
      </c>
      <c r="D1297" s="508">
        <v>0.8</v>
      </c>
      <c r="E1297" s="461" t="s">
        <v>1497</v>
      </c>
    </row>
    <row r="1298" spans="1:5" ht="27" x14ac:dyDescent="0.25">
      <c r="A1298" s="508">
        <v>95263</v>
      </c>
      <c r="B1298" s="509" t="s">
        <v>807</v>
      </c>
      <c r="C1298" s="508" t="s">
        <v>160</v>
      </c>
      <c r="D1298" s="508">
        <v>4.55</v>
      </c>
      <c r="E1298" s="461" t="s">
        <v>1497</v>
      </c>
    </row>
    <row r="1299" spans="1:5" ht="27" x14ac:dyDescent="0.25">
      <c r="A1299" s="508">
        <v>95266</v>
      </c>
      <c r="B1299" s="509" t="s">
        <v>808</v>
      </c>
      <c r="C1299" s="508" t="s">
        <v>160</v>
      </c>
      <c r="D1299" s="508">
        <v>0.44</v>
      </c>
      <c r="E1299" s="461" t="s">
        <v>1497</v>
      </c>
    </row>
    <row r="1300" spans="1:5" ht="27" x14ac:dyDescent="0.25">
      <c r="A1300" s="508">
        <v>95267</v>
      </c>
      <c r="B1300" s="509" t="s">
        <v>809</v>
      </c>
      <c r="C1300" s="508" t="s">
        <v>160</v>
      </c>
      <c r="D1300" s="508">
        <v>0.09</v>
      </c>
      <c r="E1300" s="461" t="s">
        <v>1497</v>
      </c>
    </row>
    <row r="1301" spans="1:5" ht="27" x14ac:dyDescent="0.25">
      <c r="A1301" s="508">
        <v>95268</v>
      </c>
      <c r="B1301" s="509" t="s">
        <v>810</v>
      </c>
      <c r="C1301" s="508" t="s">
        <v>160</v>
      </c>
      <c r="D1301" s="508">
        <v>0.43</v>
      </c>
      <c r="E1301" s="461" t="s">
        <v>1497</v>
      </c>
    </row>
    <row r="1302" spans="1:5" ht="27" x14ac:dyDescent="0.25">
      <c r="A1302" s="508">
        <v>95269</v>
      </c>
      <c r="B1302" s="509" t="s">
        <v>5117</v>
      </c>
      <c r="C1302" s="508" t="s">
        <v>160</v>
      </c>
      <c r="D1302" s="508">
        <v>8.4</v>
      </c>
      <c r="E1302" s="461" t="s">
        <v>1497</v>
      </c>
    </row>
    <row r="1303" spans="1:5" ht="27" x14ac:dyDescent="0.25">
      <c r="A1303" s="508">
        <v>95272</v>
      </c>
      <c r="B1303" s="509" t="s">
        <v>5118</v>
      </c>
      <c r="C1303" s="508" t="s">
        <v>160</v>
      </c>
      <c r="D1303" s="508">
        <v>0.4</v>
      </c>
      <c r="E1303" s="461" t="s">
        <v>1497</v>
      </c>
    </row>
    <row r="1304" spans="1:5" ht="27" x14ac:dyDescent="0.25">
      <c r="A1304" s="508">
        <v>95273</v>
      </c>
      <c r="B1304" s="509" t="s">
        <v>5119</v>
      </c>
      <c r="C1304" s="508" t="s">
        <v>160</v>
      </c>
      <c r="D1304" s="508">
        <v>0.1</v>
      </c>
      <c r="E1304" s="461" t="s">
        <v>1497</v>
      </c>
    </row>
    <row r="1305" spans="1:5" ht="27" x14ac:dyDescent="0.25">
      <c r="A1305" s="508">
        <v>95274</v>
      </c>
      <c r="B1305" s="509" t="s">
        <v>5120</v>
      </c>
      <c r="C1305" s="508" t="s">
        <v>160</v>
      </c>
      <c r="D1305" s="510">
        <v>0.33</v>
      </c>
      <c r="E1305" s="461" t="s">
        <v>1497</v>
      </c>
    </row>
    <row r="1306" spans="1:5" ht="27" x14ac:dyDescent="0.25">
      <c r="A1306" s="508">
        <v>95275</v>
      </c>
      <c r="B1306" s="509" t="s">
        <v>5121</v>
      </c>
      <c r="C1306" s="508" t="s">
        <v>160</v>
      </c>
      <c r="D1306" s="510">
        <v>1.87</v>
      </c>
      <c r="E1306" s="461" t="s">
        <v>1497</v>
      </c>
    </row>
    <row r="1307" spans="1:5" ht="27" x14ac:dyDescent="0.25">
      <c r="A1307" s="508">
        <v>95278</v>
      </c>
      <c r="B1307" s="509" t="s">
        <v>5122</v>
      </c>
      <c r="C1307" s="508" t="s">
        <v>160</v>
      </c>
      <c r="D1307" s="510">
        <v>0.51</v>
      </c>
      <c r="E1307" s="461" t="s">
        <v>1497</v>
      </c>
    </row>
    <row r="1308" spans="1:5" ht="27" x14ac:dyDescent="0.25">
      <c r="A1308" s="508">
        <v>95279</v>
      </c>
      <c r="B1308" s="509" t="s">
        <v>5123</v>
      </c>
      <c r="C1308" s="508" t="s">
        <v>160</v>
      </c>
      <c r="D1308" s="510">
        <v>0.1</v>
      </c>
      <c r="E1308" s="461" t="s">
        <v>1497</v>
      </c>
    </row>
    <row r="1309" spans="1:5" ht="27" x14ac:dyDescent="0.25">
      <c r="A1309" s="508">
        <v>95280</v>
      </c>
      <c r="B1309" s="509" t="s">
        <v>5124</v>
      </c>
      <c r="C1309" s="508" t="s">
        <v>160</v>
      </c>
      <c r="D1309" s="510">
        <v>0.51</v>
      </c>
      <c r="E1309" s="461" t="s">
        <v>1497</v>
      </c>
    </row>
    <row r="1310" spans="1:5" ht="27" x14ac:dyDescent="0.25">
      <c r="A1310" s="508">
        <v>95281</v>
      </c>
      <c r="B1310" s="509" t="s">
        <v>5125</v>
      </c>
      <c r="C1310" s="508" t="s">
        <v>160</v>
      </c>
      <c r="D1310" s="510">
        <v>8.3800000000000008</v>
      </c>
      <c r="E1310" s="461" t="s">
        <v>1497</v>
      </c>
    </row>
    <row r="1311" spans="1:5" ht="27" x14ac:dyDescent="0.25">
      <c r="A1311" s="508">
        <v>95617</v>
      </c>
      <c r="B1311" s="509" t="s">
        <v>811</v>
      </c>
      <c r="C1311" s="508" t="s">
        <v>160</v>
      </c>
      <c r="D1311" s="510">
        <v>1.18</v>
      </c>
      <c r="E1311" s="461" t="s">
        <v>1497</v>
      </c>
    </row>
    <row r="1312" spans="1:5" ht="27" x14ac:dyDescent="0.25">
      <c r="A1312" s="508">
        <v>95618</v>
      </c>
      <c r="B1312" s="509" t="s">
        <v>812</v>
      </c>
      <c r="C1312" s="508" t="s">
        <v>160</v>
      </c>
      <c r="D1312" s="510">
        <v>0.27</v>
      </c>
      <c r="E1312" s="461" t="s">
        <v>1497</v>
      </c>
    </row>
    <row r="1313" spans="1:5" ht="27" x14ac:dyDescent="0.25">
      <c r="A1313" s="508">
        <v>95619</v>
      </c>
      <c r="B1313" s="509" t="s">
        <v>813</v>
      </c>
      <c r="C1313" s="508" t="s">
        <v>160</v>
      </c>
      <c r="D1313" s="510">
        <v>1.47</v>
      </c>
      <c r="E1313" s="461" t="s">
        <v>1497</v>
      </c>
    </row>
    <row r="1314" spans="1:5" ht="27" x14ac:dyDescent="0.25">
      <c r="A1314" s="508">
        <v>95627</v>
      </c>
      <c r="B1314" s="509" t="s">
        <v>814</v>
      </c>
      <c r="C1314" s="508" t="s">
        <v>160</v>
      </c>
      <c r="D1314" s="510">
        <v>46.52</v>
      </c>
      <c r="E1314" s="461" t="s">
        <v>1497</v>
      </c>
    </row>
    <row r="1315" spans="1:5" ht="27" x14ac:dyDescent="0.25">
      <c r="A1315" s="508">
        <v>95628</v>
      </c>
      <c r="B1315" s="509" t="s">
        <v>815</v>
      </c>
      <c r="C1315" s="508" t="s">
        <v>160</v>
      </c>
      <c r="D1315" s="510">
        <v>12.48</v>
      </c>
      <c r="E1315" s="461" t="s">
        <v>1497</v>
      </c>
    </row>
    <row r="1316" spans="1:5" ht="27" x14ac:dyDescent="0.25">
      <c r="A1316" s="508">
        <v>95629</v>
      </c>
      <c r="B1316" s="509" t="s">
        <v>816</v>
      </c>
      <c r="C1316" s="508" t="s">
        <v>160</v>
      </c>
      <c r="D1316" s="510">
        <v>58.22</v>
      </c>
      <c r="E1316" s="461" t="s">
        <v>1497</v>
      </c>
    </row>
    <row r="1317" spans="1:5" ht="27" x14ac:dyDescent="0.25">
      <c r="A1317" s="508">
        <v>95630</v>
      </c>
      <c r="B1317" s="509" t="s">
        <v>817</v>
      </c>
      <c r="C1317" s="508" t="s">
        <v>160</v>
      </c>
      <c r="D1317" s="510">
        <v>86.68</v>
      </c>
      <c r="E1317" s="461" t="s">
        <v>1497</v>
      </c>
    </row>
    <row r="1318" spans="1:5" ht="27" x14ac:dyDescent="0.25">
      <c r="A1318" s="508">
        <v>95698</v>
      </c>
      <c r="B1318" s="509" t="s">
        <v>818</v>
      </c>
      <c r="C1318" s="508" t="s">
        <v>160</v>
      </c>
      <c r="D1318" s="510">
        <v>4.78</v>
      </c>
      <c r="E1318" s="461" t="s">
        <v>1497</v>
      </c>
    </row>
    <row r="1319" spans="1:5" ht="27" x14ac:dyDescent="0.25">
      <c r="A1319" s="508">
        <v>95699</v>
      </c>
      <c r="B1319" s="509" t="s">
        <v>819</v>
      </c>
      <c r="C1319" s="508" t="s">
        <v>160</v>
      </c>
      <c r="D1319" s="510">
        <v>1.1000000000000001</v>
      </c>
      <c r="E1319" s="461" t="s">
        <v>1497</v>
      </c>
    </row>
    <row r="1320" spans="1:5" ht="27" x14ac:dyDescent="0.25">
      <c r="A1320" s="508">
        <v>95700</v>
      </c>
      <c r="B1320" s="509" t="s">
        <v>820</v>
      </c>
      <c r="C1320" s="508" t="s">
        <v>160</v>
      </c>
      <c r="D1320" s="510">
        <v>5.98</v>
      </c>
      <c r="E1320" s="461" t="s">
        <v>1497</v>
      </c>
    </row>
    <row r="1321" spans="1:5" ht="27" x14ac:dyDescent="0.25">
      <c r="A1321" s="508">
        <v>95701</v>
      </c>
      <c r="B1321" s="509" t="s">
        <v>821</v>
      </c>
      <c r="C1321" s="508" t="s">
        <v>160</v>
      </c>
      <c r="D1321" s="510">
        <v>2.31</v>
      </c>
      <c r="E1321" s="461" t="s">
        <v>1497</v>
      </c>
    </row>
    <row r="1322" spans="1:5" ht="27" x14ac:dyDescent="0.25">
      <c r="A1322" s="508">
        <v>95704</v>
      </c>
      <c r="B1322" s="509" t="s">
        <v>5126</v>
      </c>
      <c r="C1322" s="508" t="s">
        <v>160</v>
      </c>
      <c r="D1322" s="510">
        <v>44.25</v>
      </c>
      <c r="E1322" s="461" t="s">
        <v>1497</v>
      </c>
    </row>
    <row r="1323" spans="1:5" ht="27" x14ac:dyDescent="0.25">
      <c r="A1323" s="508">
        <v>95705</v>
      </c>
      <c r="B1323" s="509" t="s">
        <v>5127</v>
      </c>
      <c r="C1323" s="508" t="s">
        <v>160</v>
      </c>
      <c r="D1323" s="510">
        <v>11.87</v>
      </c>
      <c r="E1323" s="461" t="s">
        <v>1497</v>
      </c>
    </row>
    <row r="1324" spans="1:5" ht="27" x14ac:dyDescent="0.25">
      <c r="A1324" s="508">
        <v>95706</v>
      </c>
      <c r="B1324" s="509" t="s">
        <v>5128</v>
      </c>
      <c r="C1324" s="508" t="s">
        <v>160</v>
      </c>
      <c r="D1324" s="510">
        <v>55.37</v>
      </c>
      <c r="E1324" s="461" t="s">
        <v>1497</v>
      </c>
    </row>
    <row r="1325" spans="1:5" ht="27" x14ac:dyDescent="0.25">
      <c r="A1325" s="508">
        <v>95707</v>
      </c>
      <c r="B1325" s="509" t="s">
        <v>5129</v>
      </c>
      <c r="C1325" s="508" t="s">
        <v>160</v>
      </c>
      <c r="D1325" s="508">
        <v>3.03</v>
      </c>
      <c r="E1325" s="461" t="s">
        <v>1497</v>
      </c>
    </row>
    <row r="1326" spans="1:5" ht="40.5" x14ac:dyDescent="0.25">
      <c r="A1326" s="508">
        <v>95710</v>
      </c>
      <c r="B1326" s="509" t="s">
        <v>822</v>
      </c>
      <c r="C1326" s="508" t="s">
        <v>160</v>
      </c>
      <c r="D1326" s="508">
        <v>53.18</v>
      </c>
      <c r="E1326" s="461" t="s">
        <v>1497</v>
      </c>
    </row>
    <row r="1327" spans="1:5" ht="40.5" x14ac:dyDescent="0.25">
      <c r="A1327" s="508">
        <v>95711</v>
      </c>
      <c r="B1327" s="509" t="s">
        <v>823</v>
      </c>
      <c r="C1327" s="508" t="s">
        <v>160</v>
      </c>
      <c r="D1327" s="508">
        <v>14.05</v>
      </c>
      <c r="E1327" s="461" t="s">
        <v>1497</v>
      </c>
    </row>
    <row r="1328" spans="1:5" ht="40.5" x14ac:dyDescent="0.25">
      <c r="A1328" s="508">
        <v>95712</v>
      </c>
      <c r="B1328" s="509" t="s">
        <v>824</v>
      </c>
      <c r="C1328" s="508" t="s">
        <v>160</v>
      </c>
      <c r="D1328" s="508">
        <v>66.48</v>
      </c>
      <c r="E1328" s="461" t="s">
        <v>1497</v>
      </c>
    </row>
    <row r="1329" spans="1:5" ht="40.5" x14ac:dyDescent="0.25">
      <c r="A1329" s="508">
        <v>95713</v>
      </c>
      <c r="B1329" s="509" t="s">
        <v>825</v>
      </c>
      <c r="C1329" s="508" t="s">
        <v>160</v>
      </c>
      <c r="D1329" s="508">
        <v>87.32</v>
      </c>
      <c r="E1329" s="461" t="s">
        <v>1497</v>
      </c>
    </row>
    <row r="1330" spans="1:5" ht="40.5" x14ac:dyDescent="0.25">
      <c r="A1330" s="508">
        <v>95716</v>
      </c>
      <c r="B1330" s="509" t="s">
        <v>826</v>
      </c>
      <c r="C1330" s="508" t="s">
        <v>160</v>
      </c>
      <c r="D1330" s="508">
        <v>51.2</v>
      </c>
      <c r="E1330" s="461" t="s">
        <v>1497</v>
      </c>
    </row>
    <row r="1331" spans="1:5" ht="40.5" x14ac:dyDescent="0.25">
      <c r="A1331" s="508">
        <v>95717</v>
      </c>
      <c r="B1331" s="509" t="s">
        <v>827</v>
      </c>
      <c r="C1331" s="508" t="s">
        <v>160</v>
      </c>
      <c r="D1331" s="508">
        <v>13.53</v>
      </c>
      <c r="E1331" s="461" t="s">
        <v>1497</v>
      </c>
    </row>
    <row r="1332" spans="1:5" ht="40.5" x14ac:dyDescent="0.25">
      <c r="A1332" s="508">
        <v>95718</v>
      </c>
      <c r="B1332" s="509" t="s">
        <v>828</v>
      </c>
      <c r="C1332" s="508" t="s">
        <v>160</v>
      </c>
      <c r="D1332" s="508">
        <v>64</v>
      </c>
      <c r="E1332" s="461" t="s">
        <v>1497</v>
      </c>
    </row>
    <row r="1333" spans="1:5" ht="40.5" x14ac:dyDescent="0.25">
      <c r="A1333" s="508">
        <v>95719</v>
      </c>
      <c r="B1333" s="509" t="s">
        <v>829</v>
      </c>
      <c r="C1333" s="508" t="s">
        <v>160</v>
      </c>
      <c r="D1333" s="508">
        <v>87.32</v>
      </c>
      <c r="E1333" s="461" t="s">
        <v>1497</v>
      </c>
    </row>
    <row r="1334" spans="1:5" ht="27" x14ac:dyDescent="0.25">
      <c r="A1334" s="508">
        <v>95869</v>
      </c>
      <c r="B1334" s="509" t="s">
        <v>830</v>
      </c>
      <c r="C1334" s="508" t="s">
        <v>160</v>
      </c>
      <c r="D1334" s="508">
        <v>3.58</v>
      </c>
      <c r="E1334" s="461" t="s">
        <v>1497</v>
      </c>
    </row>
    <row r="1335" spans="1:5" ht="27" x14ac:dyDescent="0.25">
      <c r="A1335" s="508">
        <v>95870</v>
      </c>
      <c r="B1335" s="509" t="s">
        <v>831</v>
      </c>
      <c r="C1335" s="508" t="s">
        <v>160</v>
      </c>
      <c r="D1335" s="508">
        <v>9.08</v>
      </c>
      <c r="E1335" s="461" t="s">
        <v>1497</v>
      </c>
    </row>
    <row r="1336" spans="1:5" ht="27" x14ac:dyDescent="0.25">
      <c r="A1336" s="508">
        <v>95871</v>
      </c>
      <c r="B1336" s="509" t="s">
        <v>832</v>
      </c>
      <c r="C1336" s="508" t="s">
        <v>160</v>
      </c>
      <c r="D1336" s="508">
        <v>265.16000000000003</v>
      </c>
      <c r="E1336" s="461" t="s">
        <v>1497</v>
      </c>
    </row>
    <row r="1337" spans="1:5" ht="27" x14ac:dyDescent="0.25">
      <c r="A1337" s="508">
        <v>95874</v>
      </c>
      <c r="B1337" s="509" t="s">
        <v>833</v>
      </c>
      <c r="C1337" s="508" t="s">
        <v>160</v>
      </c>
      <c r="D1337" s="508">
        <v>10.17</v>
      </c>
      <c r="E1337" s="461" t="s">
        <v>1497</v>
      </c>
    </row>
    <row r="1338" spans="1:5" ht="27" x14ac:dyDescent="0.25">
      <c r="A1338" s="508">
        <v>96008</v>
      </c>
      <c r="B1338" s="509" t="s">
        <v>834</v>
      </c>
      <c r="C1338" s="508" t="s">
        <v>160</v>
      </c>
      <c r="D1338" s="508">
        <v>21.58</v>
      </c>
      <c r="E1338" s="461" t="s">
        <v>1497</v>
      </c>
    </row>
    <row r="1339" spans="1:5" ht="27" x14ac:dyDescent="0.25">
      <c r="A1339" s="508">
        <v>96009</v>
      </c>
      <c r="B1339" s="509" t="s">
        <v>835</v>
      </c>
      <c r="C1339" s="508" t="s">
        <v>160</v>
      </c>
      <c r="D1339" s="508">
        <v>5.78</v>
      </c>
      <c r="E1339" s="461" t="s">
        <v>1497</v>
      </c>
    </row>
    <row r="1340" spans="1:5" ht="27" x14ac:dyDescent="0.25">
      <c r="A1340" s="508">
        <v>96011</v>
      </c>
      <c r="B1340" s="509" t="s">
        <v>836</v>
      </c>
      <c r="C1340" s="508" t="s">
        <v>160</v>
      </c>
      <c r="D1340" s="508">
        <v>23.6</v>
      </c>
      <c r="E1340" s="461" t="s">
        <v>1497</v>
      </c>
    </row>
    <row r="1341" spans="1:5" ht="27" x14ac:dyDescent="0.25">
      <c r="A1341" s="508">
        <v>96012</v>
      </c>
      <c r="B1341" s="509" t="s">
        <v>837</v>
      </c>
      <c r="C1341" s="508" t="s">
        <v>160</v>
      </c>
      <c r="D1341" s="508">
        <v>93.88</v>
      </c>
      <c r="E1341" s="461" t="s">
        <v>1497</v>
      </c>
    </row>
    <row r="1342" spans="1:5" ht="27" x14ac:dyDescent="0.25">
      <c r="A1342" s="508">
        <v>96015</v>
      </c>
      <c r="B1342" s="509" t="s">
        <v>838</v>
      </c>
      <c r="C1342" s="508" t="s">
        <v>160</v>
      </c>
      <c r="D1342" s="508">
        <v>21.38</v>
      </c>
      <c r="E1342" s="461" t="s">
        <v>1497</v>
      </c>
    </row>
    <row r="1343" spans="1:5" ht="27" x14ac:dyDescent="0.25">
      <c r="A1343" s="508">
        <v>96016</v>
      </c>
      <c r="B1343" s="509" t="s">
        <v>839</v>
      </c>
      <c r="C1343" s="508" t="s">
        <v>160</v>
      </c>
      <c r="D1343" s="508">
        <v>5.73</v>
      </c>
      <c r="E1343" s="461" t="s">
        <v>1497</v>
      </c>
    </row>
    <row r="1344" spans="1:5" ht="27" x14ac:dyDescent="0.25">
      <c r="A1344" s="508">
        <v>96018</v>
      </c>
      <c r="B1344" s="509" t="s">
        <v>840</v>
      </c>
      <c r="C1344" s="508" t="s">
        <v>160</v>
      </c>
      <c r="D1344" s="508">
        <v>23.38</v>
      </c>
      <c r="E1344" s="461" t="s">
        <v>1497</v>
      </c>
    </row>
    <row r="1345" spans="1:5" ht="27" x14ac:dyDescent="0.25">
      <c r="A1345" s="508">
        <v>96019</v>
      </c>
      <c r="B1345" s="509" t="s">
        <v>841</v>
      </c>
      <c r="C1345" s="508" t="s">
        <v>160</v>
      </c>
      <c r="D1345" s="508">
        <v>93.88</v>
      </c>
      <c r="E1345" s="461" t="s">
        <v>1497</v>
      </c>
    </row>
    <row r="1346" spans="1:5" ht="27" x14ac:dyDescent="0.25">
      <c r="A1346" s="508">
        <v>96023</v>
      </c>
      <c r="B1346" s="509" t="s">
        <v>842</v>
      </c>
      <c r="C1346" s="508" t="s">
        <v>160</v>
      </c>
      <c r="D1346" s="508">
        <v>16.55</v>
      </c>
      <c r="E1346" s="461" t="s">
        <v>1497</v>
      </c>
    </row>
    <row r="1347" spans="1:5" ht="27" x14ac:dyDescent="0.25">
      <c r="A1347" s="508">
        <v>96024</v>
      </c>
      <c r="B1347" s="509" t="s">
        <v>843</v>
      </c>
      <c r="C1347" s="508" t="s">
        <v>160</v>
      </c>
      <c r="D1347" s="508">
        <v>4.43</v>
      </c>
      <c r="E1347" s="461" t="s">
        <v>1497</v>
      </c>
    </row>
    <row r="1348" spans="1:5" ht="27" x14ac:dyDescent="0.25">
      <c r="A1348" s="508">
        <v>96026</v>
      </c>
      <c r="B1348" s="509" t="s">
        <v>844</v>
      </c>
      <c r="C1348" s="508" t="s">
        <v>160</v>
      </c>
      <c r="D1348" s="508">
        <v>18.100000000000001</v>
      </c>
      <c r="E1348" s="461" t="s">
        <v>1497</v>
      </c>
    </row>
    <row r="1349" spans="1:5" ht="27" x14ac:dyDescent="0.25">
      <c r="A1349" s="508">
        <v>96027</v>
      </c>
      <c r="B1349" s="509" t="s">
        <v>845</v>
      </c>
      <c r="C1349" s="508" t="s">
        <v>160</v>
      </c>
      <c r="D1349" s="508">
        <v>65.42</v>
      </c>
      <c r="E1349" s="461" t="s">
        <v>1497</v>
      </c>
    </row>
    <row r="1350" spans="1:5" ht="27" x14ac:dyDescent="0.25">
      <c r="A1350" s="508">
        <v>96030</v>
      </c>
      <c r="B1350" s="509" t="s">
        <v>846</v>
      </c>
      <c r="C1350" s="508" t="s">
        <v>160</v>
      </c>
      <c r="D1350" s="508">
        <v>32.89</v>
      </c>
      <c r="E1350" s="461" t="s">
        <v>1497</v>
      </c>
    </row>
    <row r="1351" spans="1:5" ht="27" x14ac:dyDescent="0.25">
      <c r="A1351" s="508">
        <v>96031</v>
      </c>
      <c r="B1351" s="509" t="s">
        <v>847</v>
      </c>
      <c r="C1351" s="508" t="s">
        <v>160</v>
      </c>
      <c r="D1351" s="508">
        <v>12.43</v>
      </c>
      <c r="E1351" s="461" t="s">
        <v>1497</v>
      </c>
    </row>
    <row r="1352" spans="1:5" ht="27" x14ac:dyDescent="0.25">
      <c r="A1352" s="508">
        <v>96032</v>
      </c>
      <c r="B1352" s="509" t="s">
        <v>848</v>
      </c>
      <c r="C1352" s="508" t="s">
        <v>160</v>
      </c>
      <c r="D1352" s="508">
        <v>4.99</v>
      </c>
      <c r="E1352" s="461" t="s">
        <v>1497</v>
      </c>
    </row>
    <row r="1353" spans="1:5" ht="27" x14ac:dyDescent="0.25">
      <c r="A1353" s="508">
        <v>96033</v>
      </c>
      <c r="B1353" s="509" t="s">
        <v>849</v>
      </c>
      <c r="C1353" s="508" t="s">
        <v>160</v>
      </c>
      <c r="D1353" s="508">
        <v>56.43</v>
      </c>
      <c r="E1353" s="461" t="s">
        <v>1497</v>
      </c>
    </row>
    <row r="1354" spans="1:5" ht="27" x14ac:dyDescent="0.25">
      <c r="A1354" s="508">
        <v>96034</v>
      </c>
      <c r="B1354" s="509" t="s">
        <v>850</v>
      </c>
      <c r="C1354" s="508" t="s">
        <v>160</v>
      </c>
      <c r="D1354" s="508">
        <v>137.69</v>
      </c>
      <c r="E1354" s="461" t="s">
        <v>1497</v>
      </c>
    </row>
    <row r="1355" spans="1:5" ht="27" x14ac:dyDescent="0.25">
      <c r="A1355" s="508">
        <v>96053</v>
      </c>
      <c r="B1355" s="509" t="s">
        <v>851</v>
      </c>
      <c r="C1355" s="508" t="s">
        <v>160</v>
      </c>
      <c r="D1355" s="508">
        <v>16.75</v>
      </c>
      <c r="E1355" s="461" t="s">
        <v>1497</v>
      </c>
    </row>
    <row r="1356" spans="1:5" ht="27" x14ac:dyDescent="0.25">
      <c r="A1356" s="508">
        <v>96054</v>
      </c>
      <c r="B1356" s="509" t="s">
        <v>852</v>
      </c>
      <c r="C1356" s="508" t="s">
        <v>160</v>
      </c>
      <c r="D1356" s="508">
        <v>31.85</v>
      </c>
      <c r="E1356" s="461" t="s">
        <v>1497</v>
      </c>
    </row>
    <row r="1357" spans="1:5" ht="27" x14ac:dyDescent="0.25">
      <c r="A1357" s="508">
        <v>96055</v>
      </c>
      <c r="B1357" s="509" t="s">
        <v>853</v>
      </c>
      <c r="C1357" s="508" t="s">
        <v>160</v>
      </c>
      <c r="D1357" s="508">
        <v>4.4800000000000004</v>
      </c>
      <c r="E1357" s="461" t="s">
        <v>1497</v>
      </c>
    </row>
    <row r="1358" spans="1:5" ht="27" x14ac:dyDescent="0.25">
      <c r="A1358" s="508">
        <v>96056</v>
      </c>
      <c r="B1358" s="509" t="s">
        <v>854</v>
      </c>
      <c r="C1358" s="508" t="s">
        <v>160</v>
      </c>
      <c r="D1358" s="508">
        <v>18.32</v>
      </c>
      <c r="E1358" s="461" t="s">
        <v>1497</v>
      </c>
    </row>
    <row r="1359" spans="1:5" ht="27" x14ac:dyDescent="0.25">
      <c r="A1359" s="508">
        <v>96057</v>
      </c>
      <c r="B1359" s="509" t="s">
        <v>855</v>
      </c>
      <c r="C1359" s="508" t="s">
        <v>160</v>
      </c>
      <c r="D1359" s="508">
        <v>65.42</v>
      </c>
      <c r="E1359" s="461" t="s">
        <v>1497</v>
      </c>
    </row>
    <row r="1360" spans="1:5" ht="27" x14ac:dyDescent="0.25">
      <c r="A1360" s="508">
        <v>96060</v>
      </c>
      <c r="B1360" s="509" t="s">
        <v>856</v>
      </c>
      <c r="C1360" s="508" t="s">
        <v>160</v>
      </c>
      <c r="D1360" s="508">
        <v>6.22</v>
      </c>
      <c r="E1360" s="461" t="s">
        <v>1497</v>
      </c>
    </row>
    <row r="1361" spans="1:5" ht="27" x14ac:dyDescent="0.25">
      <c r="A1361" s="508">
        <v>96061</v>
      </c>
      <c r="B1361" s="509" t="s">
        <v>857</v>
      </c>
      <c r="C1361" s="508" t="s">
        <v>160</v>
      </c>
      <c r="D1361" s="508">
        <v>39.82</v>
      </c>
      <c r="E1361" s="461" t="s">
        <v>1497</v>
      </c>
    </row>
    <row r="1362" spans="1:5" ht="27" x14ac:dyDescent="0.25">
      <c r="A1362" s="508">
        <v>96062</v>
      </c>
      <c r="B1362" s="509" t="s">
        <v>858</v>
      </c>
      <c r="C1362" s="508" t="s">
        <v>160</v>
      </c>
      <c r="D1362" s="508">
        <v>38.69</v>
      </c>
      <c r="E1362" s="461" t="s">
        <v>1497</v>
      </c>
    </row>
    <row r="1363" spans="1:5" ht="27" x14ac:dyDescent="0.25">
      <c r="A1363" s="508">
        <v>96241</v>
      </c>
      <c r="B1363" s="509" t="s">
        <v>859</v>
      </c>
      <c r="C1363" s="508" t="s">
        <v>160</v>
      </c>
      <c r="D1363" s="508">
        <v>28.22</v>
      </c>
      <c r="E1363" s="461" t="s">
        <v>1497</v>
      </c>
    </row>
    <row r="1364" spans="1:5" ht="27" x14ac:dyDescent="0.25">
      <c r="A1364" s="508">
        <v>96242</v>
      </c>
      <c r="B1364" s="509" t="s">
        <v>860</v>
      </c>
      <c r="C1364" s="508" t="s">
        <v>160</v>
      </c>
      <c r="D1364" s="508">
        <v>7.45</v>
      </c>
      <c r="E1364" s="461" t="s">
        <v>1497</v>
      </c>
    </row>
    <row r="1365" spans="1:5" ht="27" x14ac:dyDescent="0.25">
      <c r="A1365" s="508">
        <v>96243</v>
      </c>
      <c r="B1365" s="509" t="s">
        <v>861</v>
      </c>
      <c r="C1365" s="508" t="s">
        <v>160</v>
      </c>
      <c r="D1365" s="508">
        <v>35.270000000000003</v>
      </c>
      <c r="E1365" s="461" t="s">
        <v>1497</v>
      </c>
    </row>
    <row r="1366" spans="1:5" ht="27" x14ac:dyDescent="0.25">
      <c r="A1366" s="508">
        <v>96244</v>
      </c>
      <c r="B1366" s="509" t="s">
        <v>862</v>
      </c>
      <c r="C1366" s="508" t="s">
        <v>160</v>
      </c>
      <c r="D1366" s="508">
        <v>16.899999999999999</v>
      </c>
      <c r="E1366" s="461" t="s">
        <v>1497</v>
      </c>
    </row>
    <row r="1367" spans="1:5" ht="27" x14ac:dyDescent="0.25">
      <c r="A1367" s="508">
        <v>96301</v>
      </c>
      <c r="B1367" s="509" t="s">
        <v>863</v>
      </c>
      <c r="C1367" s="508" t="s">
        <v>160</v>
      </c>
      <c r="D1367" s="508">
        <v>47.7</v>
      </c>
      <c r="E1367" s="461" t="s">
        <v>1497</v>
      </c>
    </row>
    <row r="1368" spans="1:5" ht="27" x14ac:dyDescent="0.25">
      <c r="A1368" s="508">
        <v>96457</v>
      </c>
      <c r="B1368" s="509" t="s">
        <v>864</v>
      </c>
      <c r="C1368" s="508" t="s">
        <v>160</v>
      </c>
      <c r="D1368" s="508">
        <v>61.99</v>
      </c>
      <c r="E1368" s="461" t="s">
        <v>1497</v>
      </c>
    </row>
    <row r="1369" spans="1:5" ht="27" x14ac:dyDescent="0.25">
      <c r="A1369" s="508">
        <v>96458</v>
      </c>
      <c r="B1369" s="509" t="s">
        <v>865</v>
      </c>
      <c r="C1369" s="508" t="s">
        <v>160</v>
      </c>
      <c r="D1369" s="508">
        <v>64.569999999999993</v>
      </c>
      <c r="E1369" s="461" t="s">
        <v>1497</v>
      </c>
    </row>
    <row r="1370" spans="1:5" ht="27" x14ac:dyDescent="0.25">
      <c r="A1370" s="508">
        <v>96459</v>
      </c>
      <c r="B1370" s="509" t="s">
        <v>866</v>
      </c>
      <c r="C1370" s="508" t="s">
        <v>160</v>
      </c>
      <c r="D1370" s="508">
        <v>13.84</v>
      </c>
      <c r="E1370" s="461" t="s">
        <v>1497</v>
      </c>
    </row>
    <row r="1371" spans="1:5" ht="27" x14ac:dyDescent="0.25">
      <c r="A1371" s="508">
        <v>96460</v>
      </c>
      <c r="B1371" s="509" t="s">
        <v>867</v>
      </c>
      <c r="C1371" s="508" t="s">
        <v>160</v>
      </c>
      <c r="D1371" s="508">
        <v>51.59</v>
      </c>
      <c r="E1371" s="461" t="s">
        <v>1497</v>
      </c>
    </row>
    <row r="1372" spans="1:5" ht="27" x14ac:dyDescent="0.25">
      <c r="A1372" s="508">
        <v>98760</v>
      </c>
      <c r="B1372" s="509" t="s">
        <v>1183</v>
      </c>
      <c r="C1372" s="508" t="s">
        <v>160</v>
      </c>
      <c r="D1372" s="508">
        <v>0.05</v>
      </c>
      <c r="E1372" s="461" t="s">
        <v>1497</v>
      </c>
    </row>
    <row r="1373" spans="1:5" ht="27" x14ac:dyDescent="0.25">
      <c r="A1373" s="508">
        <v>98761</v>
      </c>
      <c r="B1373" s="509" t="s">
        <v>1184</v>
      </c>
      <c r="C1373" s="508" t="s">
        <v>160</v>
      </c>
      <c r="D1373" s="508">
        <v>0.01</v>
      </c>
      <c r="E1373" s="461" t="s">
        <v>1497</v>
      </c>
    </row>
    <row r="1374" spans="1:5" ht="27" x14ac:dyDescent="0.25">
      <c r="A1374" s="508">
        <v>98762</v>
      </c>
      <c r="B1374" s="509" t="s">
        <v>1185</v>
      </c>
      <c r="C1374" s="508" t="s">
        <v>160</v>
      </c>
      <c r="D1374" s="508">
        <v>7.0000000000000007E-2</v>
      </c>
      <c r="E1374" s="461" t="s">
        <v>1497</v>
      </c>
    </row>
    <row r="1375" spans="1:5" ht="40.5" x14ac:dyDescent="0.25">
      <c r="A1375" s="508">
        <v>98763</v>
      </c>
      <c r="B1375" s="509" t="s">
        <v>1186</v>
      </c>
      <c r="C1375" s="508" t="s">
        <v>160</v>
      </c>
      <c r="D1375" s="508">
        <v>3.39</v>
      </c>
      <c r="E1375" s="461" t="s">
        <v>1497</v>
      </c>
    </row>
    <row r="1376" spans="1:5" ht="27" x14ac:dyDescent="0.25">
      <c r="A1376" s="508">
        <v>99829</v>
      </c>
      <c r="B1376" s="509" t="s">
        <v>5130</v>
      </c>
      <c r="C1376" s="508" t="s">
        <v>160</v>
      </c>
      <c r="D1376" s="508">
        <v>0.21</v>
      </c>
      <c r="E1376" s="461" t="s">
        <v>1497</v>
      </c>
    </row>
    <row r="1377" spans="1:5" ht="27" x14ac:dyDescent="0.25">
      <c r="A1377" s="508">
        <v>99830</v>
      </c>
      <c r="B1377" s="509" t="s">
        <v>5131</v>
      </c>
      <c r="C1377" s="508" t="s">
        <v>160</v>
      </c>
      <c r="D1377" s="508">
        <v>0.04</v>
      </c>
      <c r="E1377" s="461" t="s">
        <v>1497</v>
      </c>
    </row>
    <row r="1378" spans="1:5" ht="27" x14ac:dyDescent="0.25">
      <c r="A1378" s="508">
        <v>99831</v>
      </c>
      <c r="B1378" s="509" t="s">
        <v>5132</v>
      </c>
      <c r="C1378" s="508" t="s">
        <v>160</v>
      </c>
      <c r="D1378" s="508">
        <v>0.15</v>
      </c>
      <c r="E1378" s="461" t="s">
        <v>1497</v>
      </c>
    </row>
    <row r="1379" spans="1:5" ht="27" x14ac:dyDescent="0.25">
      <c r="A1379" s="508">
        <v>99832</v>
      </c>
      <c r="B1379" s="509" t="s">
        <v>5133</v>
      </c>
      <c r="C1379" s="508" t="s">
        <v>160</v>
      </c>
      <c r="D1379" s="508">
        <v>1.38</v>
      </c>
      <c r="E1379" s="461" t="s">
        <v>1497</v>
      </c>
    </row>
    <row r="1380" spans="1:5" ht="27" x14ac:dyDescent="0.25">
      <c r="A1380" s="508">
        <v>100637</v>
      </c>
      <c r="B1380" s="509" t="s">
        <v>1519</v>
      </c>
      <c r="C1380" s="508" t="s">
        <v>160</v>
      </c>
      <c r="D1380" s="508">
        <v>214.66</v>
      </c>
      <c r="E1380" s="461" t="s">
        <v>1497</v>
      </c>
    </row>
    <row r="1381" spans="1:5" ht="27" x14ac:dyDescent="0.25">
      <c r="A1381" s="508">
        <v>100638</v>
      </c>
      <c r="B1381" s="509" t="s">
        <v>1520</v>
      </c>
      <c r="C1381" s="508" t="s">
        <v>160</v>
      </c>
      <c r="D1381" s="508">
        <v>65.98</v>
      </c>
      <c r="E1381" s="461" t="s">
        <v>1497</v>
      </c>
    </row>
    <row r="1382" spans="1:5" ht="27" x14ac:dyDescent="0.25">
      <c r="A1382" s="508">
        <v>100639</v>
      </c>
      <c r="B1382" s="509" t="s">
        <v>1521</v>
      </c>
      <c r="C1382" s="508" t="s">
        <v>160</v>
      </c>
      <c r="D1382" s="508">
        <v>268.52999999999997</v>
      </c>
      <c r="E1382" s="461" t="s">
        <v>1497</v>
      </c>
    </row>
    <row r="1383" spans="1:5" ht="27" x14ac:dyDescent="0.25">
      <c r="A1383" s="508">
        <v>100640</v>
      </c>
      <c r="B1383" s="509" t="s">
        <v>1522</v>
      </c>
      <c r="C1383" s="508" t="s">
        <v>160</v>
      </c>
      <c r="D1383" s="508">
        <v>4183.2</v>
      </c>
      <c r="E1383" s="461" t="s">
        <v>1497</v>
      </c>
    </row>
    <row r="1384" spans="1:5" ht="15" x14ac:dyDescent="0.25">
      <c r="A1384" s="508">
        <v>100643</v>
      </c>
      <c r="B1384" s="509" t="s">
        <v>1523</v>
      </c>
      <c r="C1384" s="508" t="s">
        <v>160</v>
      </c>
      <c r="D1384" s="508">
        <v>439.84</v>
      </c>
      <c r="E1384" s="461" t="s">
        <v>1497</v>
      </c>
    </row>
    <row r="1385" spans="1:5" ht="15" x14ac:dyDescent="0.25">
      <c r="A1385" s="508">
        <v>100644</v>
      </c>
      <c r="B1385" s="509" t="s">
        <v>1524</v>
      </c>
      <c r="C1385" s="508" t="s">
        <v>160</v>
      </c>
      <c r="D1385" s="508">
        <v>155.04</v>
      </c>
      <c r="E1385" s="461" t="s">
        <v>1497</v>
      </c>
    </row>
    <row r="1386" spans="1:5" ht="15" x14ac:dyDescent="0.25">
      <c r="A1386" s="508">
        <v>100645</v>
      </c>
      <c r="B1386" s="509" t="s">
        <v>1525</v>
      </c>
      <c r="C1386" s="508" t="s">
        <v>160</v>
      </c>
      <c r="D1386" s="508">
        <v>707.05</v>
      </c>
      <c r="E1386" s="461" t="s">
        <v>1497</v>
      </c>
    </row>
    <row r="1387" spans="1:5" ht="27" x14ac:dyDescent="0.25">
      <c r="A1387" s="508">
        <v>100646</v>
      </c>
      <c r="B1387" s="509" t="s">
        <v>1526</v>
      </c>
      <c r="C1387" s="508" t="s">
        <v>160</v>
      </c>
      <c r="D1387" s="508">
        <v>5229</v>
      </c>
      <c r="E1387" s="461" t="s">
        <v>1497</v>
      </c>
    </row>
    <row r="1388" spans="1:5" ht="27" x14ac:dyDescent="0.25">
      <c r="A1388" s="508">
        <v>102270</v>
      </c>
      <c r="B1388" s="509" t="s">
        <v>2211</v>
      </c>
      <c r="C1388" s="508" t="s">
        <v>160</v>
      </c>
      <c r="D1388" s="508">
        <v>0.71</v>
      </c>
      <c r="E1388" s="461" t="s">
        <v>1497</v>
      </c>
    </row>
    <row r="1389" spans="1:5" ht="27" x14ac:dyDescent="0.25">
      <c r="A1389" s="508">
        <v>102271</v>
      </c>
      <c r="B1389" s="509" t="s">
        <v>2212</v>
      </c>
      <c r="C1389" s="508" t="s">
        <v>160</v>
      </c>
      <c r="D1389" s="508">
        <v>0.16</v>
      </c>
      <c r="E1389" s="461" t="s">
        <v>1497</v>
      </c>
    </row>
    <row r="1390" spans="1:5" ht="27" x14ac:dyDescent="0.25">
      <c r="A1390" s="508">
        <v>102272</v>
      </c>
      <c r="B1390" s="509" t="s">
        <v>2213</v>
      </c>
      <c r="C1390" s="508" t="s">
        <v>160</v>
      </c>
      <c r="D1390" s="508">
        <v>0.88</v>
      </c>
      <c r="E1390" s="461" t="s">
        <v>1497</v>
      </c>
    </row>
    <row r="1391" spans="1:5" ht="27" x14ac:dyDescent="0.25">
      <c r="A1391" s="508">
        <v>102273</v>
      </c>
      <c r="B1391" s="509" t="s">
        <v>2214</v>
      </c>
      <c r="C1391" s="508" t="s">
        <v>160</v>
      </c>
      <c r="D1391" s="508">
        <v>1.25</v>
      </c>
      <c r="E1391" s="461" t="s">
        <v>1497</v>
      </c>
    </row>
    <row r="1392" spans="1:5" ht="27" x14ac:dyDescent="0.25">
      <c r="A1392" s="508">
        <v>102809</v>
      </c>
      <c r="B1392" s="509" t="s">
        <v>5134</v>
      </c>
      <c r="C1392" s="508" t="s">
        <v>160</v>
      </c>
      <c r="D1392" s="508">
        <v>15.74</v>
      </c>
      <c r="E1392" s="461" t="s">
        <v>1497</v>
      </c>
    </row>
    <row r="1393" spans="1:5" ht="40.5" x14ac:dyDescent="0.25">
      <c r="A1393" s="508">
        <v>102815</v>
      </c>
      <c r="B1393" s="509" t="s">
        <v>4358</v>
      </c>
      <c r="C1393" s="508" t="s">
        <v>160</v>
      </c>
      <c r="D1393" s="508">
        <v>2.5099999999999998</v>
      </c>
      <c r="E1393" s="461" t="s">
        <v>1497</v>
      </c>
    </row>
    <row r="1394" spans="1:5" ht="27" x14ac:dyDescent="0.25">
      <c r="A1394" s="508">
        <v>102826</v>
      </c>
      <c r="B1394" s="509" t="s">
        <v>5135</v>
      </c>
      <c r="C1394" s="508" t="s">
        <v>160</v>
      </c>
      <c r="D1394" s="508">
        <v>4.72</v>
      </c>
      <c r="E1394" s="461" t="s">
        <v>1497</v>
      </c>
    </row>
    <row r="1395" spans="1:5" ht="27" x14ac:dyDescent="0.25">
      <c r="A1395" s="508">
        <v>102832</v>
      </c>
      <c r="B1395" s="509" t="s">
        <v>5136</v>
      </c>
      <c r="C1395" s="508" t="s">
        <v>160</v>
      </c>
      <c r="D1395" s="508">
        <v>6.29</v>
      </c>
      <c r="E1395" s="461" t="s">
        <v>1497</v>
      </c>
    </row>
    <row r="1396" spans="1:5" ht="27" x14ac:dyDescent="0.25">
      <c r="A1396" s="508">
        <v>102843</v>
      </c>
      <c r="B1396" s="509" t="s">
        <v>4359</v>
      </c>
      <c r="C1396" s="508" t="s">
        <v>160</v>
      </c>
      <c r="D1396" s="508">
        <v>130.72</v>
      </c>
      <c r="E1396" s="461" t="s">
        <v>1497</v>
      </c>
    </row>
    <row r="1397" spans="1:5" ht="27" x14ac:dyDescent="0.25">
      <c r="A1397" s="508">
        <v>102849</v>
      </c>
      <c r="B1397" s="509" t="s">
        <v>4360</v>
      </c>
      <c r="C1397" s="508" t="s">
        <v>160</v>
      </c>
      <c r="D1397" s="508">
        <v>63.91</v>
      </c>
      <c r="E1397" s="461" t="s">
        <v>1497</v>
      </c>
    </row>
    <row r="1398" spans="1:5" ht="27" x14ac:dyDescent="0.25">
      <c r="A1398" s="508">
        <v>102855</v>
      </c>
      <c r="B1398" s="509" t="s">
        <v>4361</v>
      </c>
      <c r="C1398" s="508" t="s">
        <v>160</v>
      </c>
      <c r="D1398" s="508">
        <v>63.91</v>
      </c>
      <c r="E1398" s="461" t="s">
        <v>1497</v>
      </c>
    </row>
    <row r="1399" spans="1:5" ht="27" x14ac:dyDescent="0.25">
      <c r="A1399" s="508">
        <v>102861</v>
      </c>
      <c r="B1399" s="509" t="s">
        <v>5137</v>
      </c>
      <c r="C1399" s="508" t="s">
        <v>160</v>
      </c>
      <c r="D1399" s="508">
        <v>0.92</v>
      </c>
      <c r="E1399" s="461" t="s">
        <v>1497</v>
      </c>
    </row>
    <row r="1400" spans="1:5" ht="27" x14ac:dyDescent="0.25">
      <c r="A1400" s="508">
        <v>102867</v>
      </c>
      <c r="B1400" s="509" t="s">
        <v>5138</v>
      </c>
      <c r="C1400" s="508" t="s">
        <v>160</v>
      </c>
      <c r="D1400" s="508">
        <v>0.5</v>
      </c>
      <c r="E1400" s="461" t="s">
        <v>1497</v>
      </c>
    </row>
    <row r="1401" spans="1:5" ht="27" x14ac:dyDescent="0.25">
      <c r="A1401" s="508">
        <v>102873</v>
      </c>
      <c r="B1401" s="509" t="s">
        <v>4362</v>
      </c>
      <c r="C1401" s="508" t="s">
        <v>160</v>
      </c>
      <c r="D1401" s="508">
        <v>116.14</v>
      </c>
      <c r="E1401" s="461" t="s">
        <v>1497</v>
      </c>
    </row>
    <row r="1402" spans="1:5" ht="27" x14ac:dyDescent="0.25">
      <c r="A1402" s="508">
        <v>102879</v>
      </c>
      <c r="B1402" s="509" t="s">
        <v>4363</v>
      </c>
      <c r="C1402" s="508" t="s">
        <v>160</v>
      </c>
      <c r="D1402" s="508">
        <v>174.3</v>
      </c>
      <c r="E1402" s="461" t="s">
        <v>1497</v>
      </c>
    </row>
    <row r="1403" spans="1:5" ht="15" x14ac:dyDescent="0.25">
      <c r="A1403" s="508">
        <v>102885</v>
      </c>
      <c r="B1403" s="509" t="s">
        <v>4364</v>
      </c>
      <c r="C1403" s="508" t="s">
        <v>160</v>
      </c>
      <c r="D1403" s="510">
        <v>0.94</v>
      </c>
      <c r="E1403" s="461" t="s">
        <v>1497</v>
      </c>
    </row>
    <row r="1404" spans="1:5" ht="27" x14ac:dyDescent="0.25">
      <c r="A1404" s="508">
        <v>102891</v>
      </c>
      <c r="B1404" s="509" t="s">
        <v>4365</v>
      </c>
      <c r="C1404" s="508" t="s">
        <v>160</v>
      </c>
      <c r="D1404" s="510">
        <v>0.94</v>
      </c>
      <c r="E1404" s="461" t="s">
        <v>1497</v>
      </c>
    </row>
    <row r="1405" spans="1:5" ht="40.5" x14ac:dyDescent="0.25">
      <c r="A1405" s="508">
        <v>102897</v>
      </c>
      <c r="B1405" s="509" t="s">
        <v>4366</v>
      </c>
      <c r="C1405" s="508" t="s">
        <v>160</v>
      </c>
      <c r="D1405" s="510">
        <v>87.32</v>
      </c>
      <c r="E1405" s="461" t="s">
        <v>1497</v>
      </c>
    </row>
    <row r="1406" spans="1:5" ht="27" x14ac:dyDescent="0.25">
      <c r="A1406" s="508">
        <v>102903</v>
      </c>
      <c r="B1406" s="509" t="s">
        <v>5139</v>
      </c>
      <c r="C1406" s="508" t="s">
        <v>160</v>
      </c>
      <c r="D1406" s="510">
        <v>11.32</v>
      </c>
      <c r="E1406" s="461" t="s">
        <v>1497</v>
      </c>
    </row>
    <row r="1407" spans="1:5" ht="15" x14ac:dyDescent="0.25">
      <c r="A1407" s="508">
        <v>102909</v>
      </c>
      <c r="B1407" s="509" t="s">
        <v>5140</v>
      </c>
      <c r="C1407" s="508" t="s">
        <v>160</v>
      </c>
      <c r="D1407" s="510">
        <v>3.01</v>
      </c>
      <c r="E1407" s="461" t="s">
        <v>1497</v>
      </c>
    </row>
    <row r="1408" spans="1:5" ht="15" x14ac:dyDescent="0.25">
      <c r="A1408" s="508">
        <v>102915</v>
      </c>
      <c r="B1408" s="509" t="s">
        <v>5141</v>
      </c>
      <c r="C1408" s="508" t="s">
        <v>160</v>
      </c>
      <c r="D1408" s="510">
        <v>0.46</v>
      </c>
      <c r="E1408" s="461" t="s">
        <v>1497</v>
      </c>
    </row>
    <row r="1409" spans="1:5" ht="40.5" x14ac:dyDescent="0.25">
      <c r="A1409" s="508">
        <v>102927</v>
      </c>
      <c r="B1409" s="509" t="s">
        <v>5142</v>
      </c>
      <c r="C1409" s="508" t="s">
        <v>160</v>
      </c>
      <c r="D1409" s="510">
        <v>0.69</v>
      </c>
      <c r="E1409" s="461" t="s">
        <v>1497</v>
      </c>
    </row>
    <row r="1410" spans="1:5" ht="40.5" x14ac:dyDescent="0.25">
      <c r="A1410" s="508">
        <v>102933</v>
      </c>
      <c r="B1410" s="509" t="s">
        <v>4367</v>
      </c>
      <c r="C1410" s="508" t="s">
        <v>160</v>
      </c>
      <c r="D1410" s="508">
        <v>0.69</v>
      </c>
      <c r="E1410" s="461" t="s">
        <v>1497</v>
      </c>
    </row>
    <row r="1411" spans="1:5" ht="15" x14ac:dyDescent="0.25">
      <c r="A1411" s="508">
        <v>102939</v>
      </c>
      <c r="B1411" s="509" t="s">
        <v>5143</v>
      </c>
      <c r="C1411" s="508" t="s">
        <v>160</v>
      </c>
      <c r="D1411" s="508">
        <v>6.91</v>
      </c>
      <c r="E1411" s="461" t="s">
        <v>1497</v>
      </c>
    </row>
    <row r="1412" spans="1:5" ht="40.5" x14ac:dyDescent="0.25">
      <c r="A1412" s="508">
        <v>102945</v>
      </c>
      <c r="B1412" s="509" t="s">
        <v>5144</v>
      </c>
      <c r="C1412" s="508" t="s">
        <v>160</v>
      </c>
      <c r="D1412" s="508">
        <v>0.02</v>
      </c>
      <c r="E1412" s="461" t="s">
        <v>1497</v>
      </c>
    </row>
    <row r="1413" spans="1:5" ht="27" x14ac:dyDescent="0.25">
      <c r="A1413" s="508">
        <v>102951</v>
      </c>
      <c r="B1413" s="509" t="s">
        <v>5145</v>
      </c>
      <c r="C1413" s="508" t="s">
        <v>160</v>
      </c>
      <c r="D1413" s="510">
        <v>0.46</v>
      </c>
      <c r="E1413" s="461" t="s">
        <v>1497</v>
      </c>
    </row>
    <row r="1414" spans="1:5" ht="40.5" x14ac:dyDescent="0.25">
      <c r="A1414" s="508">
        <v>102957</v>
      </c>
      <c r="B1414" s="509" t="s">
        <v>4368</v>
      </c>
      <c r="C1414" s="508" t="s">
        <v>160</v>
      </c>
      <c r="D1414" s="510">
        <v>49.55</v>
      </c>
      <c r="E1414" s="461" t="s">
        <v>1497</v>
      </c>
    </row>
    <row r="1415" spans="1:5" ht="27" x14ac:dyDescent="0.25">
      <c r="A1415" s="508">
        <v>102963</v>
      </c>
      <c r="B1415" s="509" t="s">
        <v>4369</v>
      </c>
      <c r="C1415" s="508" t="s">
        <v>160</v>
      </c>
      <c r="D1415" s="510">
        <v>82.32</v>
      </c>
      <c r="E1415" s="461" t="s">
        <v>1497</v>
      </c>
    </row>
    <row r="1416" spans="1:5" ht="27" x14ac:dyDescent="0.25">
      <c r="A1416" s="508">
        <v>102969</v>
      </c>
      <c r="B1416" s="509" t="s">
        <v>5146</v>
      </c>
      <c r="C1416" s="508" t="s">
        <v>160</v>
      </c>
      <c r="D1416" s="510">
        <v>0.93</v>
      </c>
      <c r="E1416" s="461" t="s">
        <v>1497</v>
      </c>
    </row>
    <row r="1417" spans="1:5" ht="27" x14ac:dyDescent="0.25">
      <c r="A1417" s="508">
        <v>102985</v>
      </c>
      <c r="B1417" s="509" t="s">
        <v>4370</v>
      </c>
      <c r="C1417" s="508" t="s">
        <v>160</v>
      </c>
      <c r="D1417" s="510">
        <v>2.9</v>
      </c>
      <c r="E1417" s="461" t="s">
        <v>1497</v>
      </c>
    </row>
    <row r="1418" spans="1:5" ht="40.5" x14ac:dyDescent="0.25">
      <c r="A1418" s="508">
        <v>103156</v>
      </c>
      <c r="B1418" s="509" t="s">
        <v>5147</v>
      </c>
      <c r="C1418" s="508" t="s">
        <v>160</v>
      </c>
      <c r="D1418" s="510">
        <v>1.8</v>
      </c>
      <c r="E1418" s="461" t="s">
        <v>1497</v>
      </c>
    </row>
    <row r="1419" spans="1:5" ht="40.5" x14ac:dyDescent="0.25">
      <c r="A1419" s="508">
        <v>103162</v>
      </c>
      <c r="B1419" s="509" t="s">
        <v>5148</v>
      </c>
      <c r="C1419" s="508" t="s">
        <v>160</v>
      </c>
      <c r="D1419" s="510">
        <v>2.2000000000000002</v>
      </c>
      <c r="E1419" s="461" t="s">
        <v>1497</v>
      </c>
    </row>
    <row r="1420" spans="1:5" ht="40.5" x14ac:dyDescent="0.25">
      <c r="A1420" s="508">
        <v>103168</v>
      </c>
      <c r="B1420" s="509" t="s">
        <v>5149</v>
      </c>
      <c r="C1420" s="508" t="s">
        <v>160</v>
      </c>
      <c r="D1420" s="510">
        <v>2.46</v>
      </c>
      <c r="E1420" s="461" t="s">
        <v>1497</v>
      </c>
    </row>
    <row r="1421" spans="1:5" ht="40.5" x14ac:dyDescent="0.25">
      <c r="A1421" s="508">
        <v>103174</v>
      </c>
      <c r="B1421" s="509" t="s">
        <v>5150</v>
      </c>
      <c r="C1421" s="508" t="s">
        <v>160</v>
      </c>
      <c r="D1421" s="510">
        <v>6.4</v>
      </c>
      <c r="E1421" s="461" t="s">
        <v>1497</v>
      </c>
    </row>
    <row r="1422" spans="1:5" ht="40.5" x14ac:dyDescent="0.25">
      <c r="A1422" s="508">
        <v>103180</v>
      </c>
      <c r="B1422" s="509" t="s">
        <v>5151</v>
      </c>
      <c r="C1422" s="508" t="s">
        <v>160</v>
      </c>
      <c r="D1422" s="510">
        <v>14.3</v>
      </c>
      <c r="E1422" s="461" t="s">
        <v>1497</v>
      </c>
    </row>
    <row r="1423" spans="1:5" ht="40.5" x14ac:dyDescent="0.25">
      <c r="A1423" s="508">
        <v>103223</v>
      </c>
      <c r="B1423" s="509" t="s">
        <v>5152</v>
      </c>
      <c r="C1423" s="508" t="s">
        <v>160</v>
      </c>
      <c r="D1423" s="510">
        <v>34.06</v>
      </c>
      <c r="E1423" s="461" t="s">
        <v>1497</v>
      </c>
    </row>
    <row r="1424" spans="1:5" ht="40.5" x14ac:dyDescent="0.25">
      <c r="A1424" s="508">
        <v>103229</v>
      </c>
      <c r="B1424" s="509" t="s">
        <v>5153</v>
      </c>
      <c r="C1424" s="508" t="s">
        <v>160</v>
      </c>
      <c r="D1424" s="510">
        <v>94.27</v>
      </c>
      <c r="E1424" s="461" t="s">
        <v>1497</v>
      </c>
    </row>
    <row r="1425" spans="1:5" ht="40.5" x14ac:dyDescent="0.25">
      <c r="A1425" s="508">
        <v>103235</v>
      </c>
      <c r="B1425" s="509" t="s">
        <v>5154</v>
      </c>
      <c r="C1425" s="508" t="s">
        <v>160</v>
      </c>
      <c r="D1425" s="510">
        <v>99.69</v>
      </c>
      <c r="E1425" s="461" t="s">
        <v>1497</v>
      </c>
    </row>
    <row r="1426" spans="1:5" ht="40.5" x14ac:dyDescent="0.25">
      <c r="A1426" s="508">
        <v>103241</v>
      </c>
      <c r="B1426" s="509" t="s">
        <v>5155</v>
      </c>
      <c r="C1426" s="508" t="s">
        <v>160</v>
      </c>
      <c r="D1426" s="510">
        <v>6.7</v>
      </c>
      <c r="E1426" s="461" t="s">
        <v>1497</v>
      </c>
    </row>
    <row r="1427" spans="1:5" ht="27" x14ac:dyDescent="0.25">
      <c r="A1427" s="508">
        <v>103660</v>
      </c>
      <c r="B1427" s="509" t="s">
        <v>5156</v>
      </c>
      <c r="C1427" s="508" t="s">
        <v>160</v>
      </c>
      <c r="D1427" s="510">
        <v>11.34</v>
      </c>
      <c r="E1427" s="461" t="s">
        <v>1497</v>
      </c>
    </row>
    <row r="1428" spans="1:5" ht="27" x14ac:dyDescent="0.25">
      <c r="A1428" s="508">
        <v>103666</v>
      </c>
      <c r="B1428" s="509" t="s">
        <v>5157</v>
      </c>
      <c r="C1428" s="508" t="s">
        <v>160</v>
      </c>
      <c r="D1428" s="510">
        <v>156.38999999999999</v>
      </c>
      <c r="E1428" s="461" t="s">
        <v>1497</v>
      </c>
    </row>
    <row r="1429" spans="1:5" ht="40.5" x14ac:dyDescent="0.25">
      <c r="A1429" s="508">
        <v>103792</v>
      </c>
      <c r="B1429" s="509" t="s">
        <v>5158</v>
      </c>
      <c r="C1429" s="508" t="s">
        <v>160</v>
      </c>
      <c r="D1429" s="510">
        <v>0.2</v>
      </c>
      <c r="E1429" s="461" t="s">
        <v>1497</v>
      </c>
    </row>
    <row r="1430" spans="1:5" ht="40.5" x14ac:dyDescent="0.25">
      <c r="A1430" s="508">
        <v>103937</v>
      </c>
      <c r="B1430" s="509" t="s">
        <v>5159</v>
      </c>
      <c r="C1430" s="508" t="s">
        <v>160</v>
      </c>
      <c r="D1430" s="510">
        <v>1.1299999999999999</v>
      </c>
      <c r="E1430" s="461" t="s">
        <v>1497</v>
      </c>
    </row>
    <row r="1431" spans="1:5" ht="40.5" x14ac:dyDescent="0.25">
      <c r="A1431" s="508">
        <v>103943</v>
      </c>
      <c r="B1431" s="509" t="s">
        <v>5160</v>
      </c>
      <c r="C1431" s="508" t="s">
        <v>160</v>
      </c>
      <c r="D1431" s="510">
        <v>1.1299999999999999</v>
      </c>
      <c r="E1431" s="461" t="s">
        <v>1497</v>
      </c>
    </row>
    <row r="1432" spans="1:5" ht="27" x14ac:dyDescent="0.25">
      <c r="A1432" s="508">
        <v>104087</v>
      </c>
      <c r="B1432" s="509" t="s">
        <v>5161</v>
      </c>
      <c r="C1432" s="508" t="s">
        <v>160</v>
      </c>
      <c r="D1432" s="510">
        <v>7.0000000000000007E-2</v>
      </c>
      <c r="E1432" s="461" t="s">
        <v>1497</v>
      </c>
    </row>
    <row r="1433" spans="1:5" ht="27" x14ac:dyDescent="0.25">
      <c r="A1433" s="508">
        <v>104088</v>
      </c>
      <c r="B1433" s="509" t="s">
        <v>5162</v>
      </c>
      <c r="C1433" s="508" t="s">
        <v>160</v>
      </c>
      <c r="D1433" s="510">
        <v>0.01</v>
      </c>
      <c r="E1433" s="461" t="s">
        <v>1497</v>
      </c>
    </row>
    <row r="1434" spans="1:5" ht="27" x14ac:dyDescent="0.25">
      <c r="A1434" s="508">
        <v>104089</v>
      </c>
      <c r="B1434" s="509" t="s">
        <v>5163</v>
      </c>
      <c r="C1434" s="508" t="s">
        <v>160</v>
      </c>
      <c r="D1434" s="510">
        <v>0.09</v>
      </c>
      <c r="E1434" s="461" t="s">
        <v>1497</v>
      </c>
    </row>
    <row r="1435" spans="1:5" ht="27" x14ac:dyDescent="0.25">
      <c r="A1435" s="508">
        <v>104090</v>
      </c>
      <c r="B1435" s="509" t="s">
        <v>5164</v>
      </c>
      <c r="C1435" s="508" t="s">
        <v>160</v>
      </c>
      <c r="D1435" s="510">
        <v>0.5</v>
      </c>
      <c r="E1435" s="461" t="s">
        <v>1497</v>
      </c>
    </row>
    <row r="1436" spans="1:5" ht="27" x14ac:dyDescent="0.25">
      <c r="A1436" s="508">
        <v>104093</v>
      </c>
      <c r="B1436" s="509" t="s">
        <v>5165</v>
      </c>
      <c r="C1436" s="508" t="s">
        <v>160</v>
      </c>
      <c r="D1436" s="510">
        <v>0.1</v>
      </c>
      <c r="E1436" s="461" t="s">
        <v>1497</v>
      </c>
    </row>
    <row r="1437" spans="1:5" ht="27" x14ac:dyDescent="0.25">
      <c r="A1437" s="508">
        <v>104094</v>
      </c>
      <c r="B1437" s="509" t="s">
        <v>5166</v>
      </c>
      <c r="C1437" s="508" t="s">
        <v>160</v>
      </c>
      <c r="D1437" s="510">
        <v>0.02</v>
      </c>
      <c r="E1437" s="461" t="s">
        <v>1497</v>
      </c>
    </row>
    <row r="1438" spans="1:5" ht="27" x14ac:dyDescent="0.25">
      <c r="A1438" s="508">
        <v>104095</v>
      </c>
      <c r="B1438" s="509" t="s">
        <v>5167</v>
      </c>
      <c r="C1438" s="508" t="s">
        <v>160</v>
      </c>
      <c r="D1438" s="510">
        <v>0.12</v>
      </c>
      <c r="E1438" s="461" t="s">
        <v>1497</v>
      </c>
    </row>
    <row r="1439" spans="1:5" ht="27" x14ac:dyDescent="0.25">
      <c r="A1439" s="508">
        <v>104096</v>
      </c>
      <c r="B1439" s="509" t="s">
        <v>5168</v>
      </c>
      <c r="C1439" s="508" t="s">
        <v>160</v>
      </c>
      <c r="D1439" s="510">
        <v>0.69</v>
      </c>
      <c r="E1439" s="461" t="s">
        <v>1497</v>
      </c>
    </row>
    <row r="1440" spans="1:5" ht="27" x14ac:dyDescent="0.25">
      <c r="A1440" s="508">
        <v>104519</v>
      </c>
      <c r="B1440" s="509" t="s">
        <v>5169</v>
      </c>
      <c r="C1440" s="508" t="s">
        <v>160</v>
      </c>
      <c r="D1440" s="508">
        <v>0.47</v>
      </c>
      <c r="E1440" s="461" t="s">
        <v>1497</v>
      </c>
    </row>
    <row r="1441" spans="1:5" ht="27" x14ac:dyDescent="0.25">
      <c r="A1441" s="508">
        <v>104655</v>
      </c>
      <c r="B1441" s="509" t="s">
        <v>5170</v>
      </c>
      <c r="C1441" s="508" t="s">
        <v>160</v>
      </c>
      <c r="D1441" s="508">
        <v>0.5</v>
      </c>
      <c r="E1441" s="461" t="s">
        <v>1497</v>
      </c>
    </row>
    <row r="1442" spans="1:5" ht="27" x14ac:dyDescent="0.25">
      <c r="A1442" s="508">
        <v>104687</v>
      </c>
      <c r="B1442" s="509" t="s">
        <v>5171</v>
      </c>
      <c r="C1442" s="508" t="s">
        <v>160</v>
      </c>
      <c r="D1442" s="508">
        <v>436.44</v>
      </c>
      <c r="E1442" s="461" t="s">
        <v>1497</v>
      </c>
    </row>
    <row r="1443" spans="1:5" ht="27" x14ac:dyDescent="0.25">
      <c r="A1443" s="508">
        <v>104694</v>
      </c>
      <c r="B1443" s="509" t="s">
        <v>5172</v>
      </c>
      <c r="C1443" s="508" t="s">
        <v>160</v>
      </c>
      <c r="D1443" s="508">
        <v>1.57</v>
      </c>
      <c r="E1443" s="461" t="s">
        <v>1497</v>
      </c>
    </row>
    <row r="1444" spans="1:5" ht="40.5" x14ac:dyDescent="0.25">
      <c r="A1444" s="508">
        <v>104703</v>
      </c>
      <c r="B1444" s="509" t="s">
        <v>5173</v>
      </c>
      <c r="C1444" s="508" t="s">
        <v>160</v>
      </c>
      <c r="D1444" s="508">
        <v>89.82</v>
      </c>
      <c r="E1444" s="461" t="s">
        <v>1497</v>
      </c>
    </row>
    <row r="1445" spans="1:5" ht="40.5" x14ac:dyDescent="0.25">
      <c r="A1445" s="508">
        <v>104709</v>
      </c>
      <c r="B1445" s="509" t="s">
        <v>5174</v>
      </c>
      <c r="C1445" s="508" t="s">
        <v>160</v>
      </c>
      <c r="D1445" s="508">
        <v>1135.8499999999999</v>
      </c>
      <c r="E1445" s="461" t="s">
        <v>1497</v>
      </c>
    </row>
    <row r="1446" spans="1:5" ht="40.5" x14ac:dyDescent="0.25">
      <c r="A1446" s="508">
        <v>104715</v>
      </c>
      <c r="B1446" s="509" t="s">
        <v>5175</v>
      </c>
      <c r="C1446" s="508" t="s">
        <v>160</v>
      </c>
      <c r="D1446" s="508">
        <v>87.32</v>
      </c>
      <c r="E1446" s="461" t="s">
        <v>1497</v>
      </c>
    </row>
    <row r="1447" spans="1:5" ht="27" x14ac:dyDescent="0.25">
      <c r="A1447" s="508">
        <v>104906</v>
      </c>
      <c r="B1447" s="509" t="s">
        <v>5176</v>
      </c>
      <c r="C1447" s="508" t="s">
        <v>160</v>
      </c>
      <c r="D1447" s="508">
        <v>95.86</v>
      </c>
      <c r="E1447" s="461" t="s">
        <v>1497</v>
      </c>
    </row>
    <row r="1448" spans="1:5" ht="27" x14ac:dyDescent="0.25">
      <c r="A1448" s="508">
        <v>104912</v>
      </c>
      <c r="B1448" s="509" t="s">
        <v>5177</v>
      </c>
      <c r="C1448" s="508" t="s">
        <v>160</v>
      </c>
      <c r="D1448" s="508">
        <v>28.3</v>
      </c>
      <c r="E1448" s="461" t="s">
        <v>1497</v>
      </c>
    </row>
    <row r="1449" spans="1:5" ht="27" x14ac:dyDescent="0.25">
      <c r="A1449" s="508">
        <v>92259</v>
      </c>
      <c r="B1449" s="509" t="s">
        <v>1187</v>
      </c>
      <c r="C1449" s="508" t="s">
        <v>107</v>
      </c>
      <c r="D1449" s="508">
        <v>503.88</v>
      </c>
      <c r="E1449" s="461" t="s">
        <v>174</v>
      </c>
    </row>
    <row r="1450" spans="1:5" ht="27" x14ac:dyDescent="0.25">
      <c r="A1450" s="508">
        <v>92260</v>
      </c>
      <c r="B1450" s="509" t="s">
        <v>1188</v>
      </c>
      <c r="C1450" s="508" t="s">
        <v>107</v>
      </c>
      <c r="D1450" s="508">
        <v>576.39</v>
      </c>
      <c r="E1450" s="461" t="s">
        <v>174</v>
      </c>
    </row>
    <row r="1451" spans="1:5" ht="27" x14ac:dyDescent="0.25">
      <c r="A1451" s="508">
        <v>92261</v>
      </c>
      <c r="B1451" s="509" t="s">
        <v>1189</v>
      </c>
      <c r="C1451" s="508" t="s">
        <v>107</v>
      </c>
      <c r="D1451" s="508">
        <v>646.67999999999995</v>
      </c>
      <c r="E1451" s="461" t="s">
        <v>174</v>
      </c>
    </row>
    <row r="1452" spans="1:5" ht="27" x14ac:dyDescent="0.25">
      <c r="A1452" s="508">
        <v>92262</v>
      </c>
      <c r="B1452" s="509" t="s">
        <v>1190</v>
      </c>
      <c r="C1452" s="508" t="s">
        <v>107</v>
      </c>
      <c r="D1452" s="508">
        <v>759.86</v>
      </c>
      <c r="E1452" s="461" t="s">
        <v>174</v>
      </c>
    </row>
    <row r="1453" spans="1:5" ht="40.5" x14ac:dyDescent="0.25">
      <c r="A1453" s="508">
        <v>92539</v>
      </c>
      <c r="B1453" s="509" t="s">
        <v>1191</v>
      </c>
      <c r="C1453" s="508" t="s">
        <v>150</v>
      </c>
      <c r="D1453" s="508">
        <v>84.15</v>
      </c>
      <c r="E1453" s="461" t="s">
        <v>174</v>
      </c>
    </row>
    <row r="1454" spans="1:5" ht="40.5" x14ac:dyDescent="0.25">
      <c r="A1454" s="508">
        <v>92540</v>
      </c>
      <c r="B1454" s="509" t="s">
        <v>1192</v>
      </c>
      <c r="C1454" s="508" t="s">
        <v>150</v>
      </c>
      <c r="D1454" s="508">
        <v>94.94</v>
      </c>
      <c r="E1454" s="461" t="s">
        <v>174</v>
      </c>
    </row>
    <row r="1455" spans="1:5" ht="27" x14ac:dyDescent="0.25">
      <c r="A1455" s="508">
        <v>92541</v>
      </c>
      <c r="B1455" s="509" t="s">
        <v>1193</v>
      </c>
      <c r="C1455" s="508" t="s">
        <v>150</v>
      </c>
      <c r="D1455" s="508">
        <v>90.78</v>
      </c>
      <c r="E1455" s="461" t="s">
        <v>174</v>
      </c>
    </row>
    <row r="1456" spans="1:5" ht="27" x14ac:dyDescent="0.25">
      <c r="A1456" s="508">
        <v>92542</v>
      </c>
      <c r="B1456" s="509" t="s">
        <v>1194</v>
      </c>
      <c r="C1456" s="508" t="s">
        <v>150</v>
      </c>
      <c r="D1456" s="508">
        <v>110.61</v>
      </c>
      <c r="E1456" s="461" t="s">
        <v>174</v>
      </c>
    </row>
    <row r="1457" spans="1:5" ht="40.5" x14ac:dyDescent="0.25">
      <c r="A1457" s="508">
        <v>92543</v>
      </c>
      <c r="B1457" s="509" t="s">
        <v>1195</v>
      </c>
      <c r="C1457" s="508" t="s">
        <v>150</v>
      </c>
      <c r="D1457" s="508">
        <v>25.39</v>
      </c>
      <c r="E1457" s="461" t="s">
        <v>174</v>
      </c>
    </row>
    <row r="1458" spans="1:5" ht="27" x14ac:dyDescent="0.25">
      <c r="A1458" s="508">
        <v>92544</v>
      </c>
      <c r="B1458" s="509" t="s">
        <v>1196</v>
      </c>
      <c r="C1458" s="508" t="s">
        <v>150</v>
      </c>
      <c r="D1458" s="508">
        <v>20.23</v>
      </c>
      <c r="E1458" s="461" t="s">
        <v>174</v>
      </c>
    </row>
    <row r="1459" spans="1:5" ht="27" x14ac:dyDescent="0.25">
      <c r="A1459" s="508">
        <v>92545</v>
      </c>
      <c r="B1459" s="509" t="s">
        <v>1197</v>
      </c>
      <c r="C1459" s="508" t="s">
        <v>107</v>
      </c>
      <c r="D1459" s="508">
        <v>1117.3800000000001</v>
      </c>
      <c r="E1459" s="461" t="s">
        <v>174</v>
      </c>
    </row>
    <row r="1460" spans="1:5" ht="27" x14ac:dyDescent="0.25">
      <c r="A1460" s="508">
        <v>92546</v>
      </c>
      <c r="B1460" s="509" t="s">
        <v>1198</v>
      </c>
      <c r="C1460" s="508" t="s">
        <v>107</v>
      </c>
      <c r="D1460" s="508">
        <v>1377.04</v>
      </c>
      <c r="E1460" s="461" t="s">
        <v>174</v>
      </c>
    </row>
    <row r="1461" spans="1:5" ht="27" x14ac:dyDescent="0.25">
      <c r="A1461" s="508">
        <v>92547</v>
      </c>
      <c r="B1461" s="509" t="s">
        <v>1199</v>
      </c>
      <c r="C1461" s="508" t="s">
        <v>107</v>
      </c>
      <c r="D1461" s="508">
        <v>1454.8</v>
      </c>
      <c r="E1461" s="461" t="s">
        <v>174</v>
      </c>
    </row>
    <row r="1462" spans="1:5" ht="27" x14ac:dyDescent="0.25">
      <c r="A1462" s="508">
        <v>92548</v>
      </c>
      <c r="B1462" s="509" t="s">
        <v>1200</v>
      </c>
      <c r="C1462" s="508" t="s">
        <v>107</v>
      </c>
      <c r="D1462" s="508">
        <v>1620.35</v>
      </c>
      <c r="E1462" s="461" t="s">
        <v>174</v>
      </c>
    </row>
    <row r="1463" spans="1:5" ht="27" x14ac:dyDescent="0.25">
      <c r="A1463" s="508">
        <v>92549</v>
      </c>
      <c r="B1463" s="509" t="s">
        <v>1201</v>
      </c>
      <c r="C1463" s="508" t="s">
        <v>107</v>
      </c>
      <c r="D1463" s="508">
        <v>2035.04</v>
      </c>
      <c r="E1463" s="461" t="s">
        <v>174</v>
      </c>
    </row>
    <row r="1464" spans="1:5" ht="27" x14ac:dyDescent="0.25">
      <c r="A1464" s="508">
        <v>92550</v>
      </c>
      <c r="B1464" s="509" t="s">
        <v>1202</v>
      </c>
      <c r="C1464" s="508" t="s">
        <v>107</v>
      </c>
      <c r="D1464" s="508">
        <v>2451.38</v>
      </c>
      <c r="E1464" s="461" t="s">
        <v>174</v>
      </c>
    </row>
    <row r="1465" spans="1:5" ht="27" x14ac:dyDescent="0.25">
      <c r="A1465" s="508">
        <v>92551</v>
      </c>
      <c r="B1465" s="509" t="s">
        <v>1203</v>
      </c>
      <c r="C1465" s="508" t="s">
        <v>107</v>
      </c>
      <c r="D1465" s="508">
        <v>2551.4499999999998</v>
      </c>
      <c r="E1465" s="461" t="s">
        <v>174</v>
      </c>
    </row>
    <row r="1466" spans="1:5" ht="27" x14ac:dyDescent="0.25">
      <c r="A1466" s="508">
        <v>92552</v>
      </c>
      <c r="B1466" s="509" t="s">
        <v>1204</v>
      </c>
      <c r="C1466" s="508" t="s">
        <v>107</v>
      </c>
      <c r="D1466" s="508">
        <v>2779.97</v>
      </c>
      <c r="E1466" s="461" t="s">
        <v>174</v>
      </c>
    </row>
    <row r="1467" spans="1:5" ht="27" x14ac:dyDescent="0.25">
      <c r="A1467" s="508">
        <v>92553</v>
      </c>
      <c r="B1467" s="509" t="s">
        <v>1205</v>
      </c>
      <c r="C1467" s="508" t="s">
        <v>107</v>
      </c>
      <c r="D1467" s="508">
        <v>3204.64</v>
      </c>
      <c r="E1467" s="461" t="s">
        <v>174</v>
      </c>
    </row>
    <row r="1468" spans="1:5" ht="27" x14ac:dyDescent="0.25">
      <c r="A1468" s="508">
        <v>92554</v>
      </c>
      <c r="B1468" s="509" t="s">
        <v>1206</v>
      </c>
      <c r="C1468" s="508" t="s">
        <v>107</v>
      </c>
      <c r="D1468" s="508">
        <v>3319.41</v>
      </c>
      <c r="E1468" s="461" t="s">
        <v>174</v>
      </c>
    </row>
    <row r="1469" spans="1:5" ht="40.5" x14ac:dyDescent="0.25">
      <c r="A1469" s="508">
        <v>92555</v>
      </c>
      <c r="B1469" s="509" t="s">
        <v>1207</v>
      </c>
      <c r="C1469" s="508" t="s">
        <v>107</v>
      </c>
      <c r="D1469" s="508">
        <v>1102.1099999999999</v>
      </c>
      <c r="E1469" s="461" t="s">
        <v>174</v>
      </c>
    </row>
    <row r="1470" spans="1:5" ht="40.5" x14ac:dyDescent="0.25">
      <c r="A1470" s="508">
        <v>92556</v>
      </c>
      <c r="B1470" s="509" t="s">
        <v>1208</v>
      </c>
      <c r="C1470" s="508" t="s">
        <v>107</v>
      </c>
      <c r="D1470" s="508">
        <v>1350.28</v>
      </c>
      <c r="E1470" s="461" t="s">
        <v>174</v>
      </c>
    </row>
    <row r="1471" spans="1:5" ht="40.5" x14ac:dyDescent="0.25">
      <c r="A1471" s="508">
        <v>92557</v>
      </c>
      <c r="B1471" s="509" t="s">
        <v>1209</v>
      </c>
      <c r="C1471" s="508" t="s">
        <v>107</v>
      </c>
      <c r="D1471" s="508">
        <v>1428.04</v>
      </c>
      <c r="E1471" s="461" t="s">
        <v>174</v>
      </c>
    </row>
    <row r="1472" spans="1:5" ht="40.5" x14ac:dyDescent="0.25">
      <c r="A1472" s="508">
        <v>92558</v>
      </c>
      <c r="B1472" s="509" t="s">
        <v>1210</v>
      </c>
      <c r="C1472" s="508" t="s">
        <v>107</v>
      </c>
      <c r="D1472" s="508">
        <v>1605.08</v>
      </c>
      <c r="E1472" s="461" t="s">
        <v>174</v>
      </c>
    </row>
    <row r="1473" spans="1:5" ht="40.5" x14ac:dyDescent="0.25">
      <c r="A1473" s="508">
        <v>92559</v>
      </c>
      <c r="B1473" s="509" t="s">
        <v>1211</v>
      </c>
      <c r="C1473" s="508" t="s">
        <v>107</v>
      </c>
      <c r="D1473" s="508">
        <v>2006.6</v>
      </c>
      <c r="E1473" s="461" t="s">
        <v>174</v>
      </c>
    </row>
    <row r="1474" spans="1:5" ht="40.5" x14ac:dyDescent="0.25">
      <c r="A1474" s="508">
        <v>92560</v>
      </c>
      <c r="B1474" s="509" t="s">
        <v>1212</v>
      </c>
      <c r="C1474" s="508" t="s">
        <v>107</v>
      </c>
      <c r="D1474" s="508">
        <v>2412.65</v>
      </c>
      <c r="E1474" s="461" t="s">
        <v>174</v>
      </c>
    </row>
    <row r="1475" spans="1:5" ht="40.5" x14ac:dyDescent="0.25">
      <c r="A1475" s="508">
        <v>92561</v>
      </c>
      <c r="B1475" s="509" t="s">
        <v>1213</v>
      </c>
      <c r="C1475" s="508" t="s">
        <v>107</v>
      </c>
      <c r="D1475" s="508">
        <v>2513.77</v>
      </c>
      <c r="E1475" s="461" t="s">
        <v>174</v>
      </c>
    </row>
    <row r="1476" spans="1:5" ht="40.5" x14ac:dyDescent="0.25">
      <c r="A1476" s="508">
        <v>92562</v>
      </c>
      <c r="B1476" s="509" t="s">
        <v>1214</v>
      </c>
      <c r="C1476" s="508" t="s">
        <v>107</v>
      </c>
      <c r="D1476" s="508">
        <v>2715.53</v>
      </c>
      <c r="E1476" s="461" t="s">
        <v>174</v>
      </c>
    </row>
    <row r="1477" spans="1:5" ht="40.5" x14ac:dyDescent="0.25">
      <c r="A1477" s="508">
        <v>92563</v>
      </c>
      <c r="B1477" s="509" t="s">
        <v>1215</v>
      </c>
      <c r="C1477" s="508" t="s">
        <v>107</v>
      </c>
      <c r="D1477" s="508">
        <v>3129.28</v>
      </c>
      <c r="E1477" s="461" t="s">
        <v>174</v>
      </c>
    </row>
    <row r="1478" spans="1:5" ht="40.5" x14ac:dyDescent="0.25">
      <c r="A1478" s="508">
        <v>92564</v>
      </c>
      <c r="B1478" s="509" t="s">
        <v>1216</v>
      </c>
      <c r="C1478" s="508" t="s">
        <v>107</v>
      </c>
      <c r="D1478" s="508">
        <v>3227.1</v>
      </c>
      <c r="E1478" s="461" t="s">
        <v>174</v>
      </c>
    </row>
    <row r="1479" spans="1:5" ht="40.5" x14ac:dyDescent="0.25">
      <c r="A1479" s="508">
        <v>100379</v>
      </c>
      <c r="B1479" s="509" t="s">
        <v>1217</v>
      </c>
      <c r="C1479" s="508" t="s">
        <v>150</v>
      </c>
      <c r="D1479" s="508">
        <v>41.6</v>
      </c>
      <c r="E1479" s="461" t="s">
        <v>174</v>
      </c>
    </row>
    <row r="1480" spans="1:5" ht="40.5" x14ac:dyDescent="0.25">
      <c r="A1480" s="508">
        <v>100380</v>
      </c>
      <c r="B1480" s="509" t="s">
        <v>1218</v>
      </c>
      <c r="C1480" s="508" t="s">
        <v>150</v>
      </c>
      <c r="D1480" s="508">
        <v>55.24</v>
      </c>
      <c r="E1480" s="461" t="s">
        <v>174</v>
      </c>
    </row>
    <row r="1481" spans="1:5" ht="40.5" x14ac:dyDescent="0.25">
      <c r="A1481" s="508">
        <v>100381</v>
      </c>
      <c r="B1481" s="509" t="s">
        <v>1219</v>
      </c>
      <c r="C1481" s="508" t="s">
        <v>150</v>
      </c>
      <c r="D1481" s="508">
        <v>62.24</v>
      </c>
      <c r="E1481" s="461" t="s">
        <v>174</v>
      </c>
    </row>
    <row r="1482" spans="1:5" ht="40.5" x14ac:dyDescent="0.25">
      <c r="A1482" s="508">
        <v>100383</v>
      </c>
      <c r="B1482" s="509" t="s">
        <v>1220</v>
      </c>
      <c r="C1482" s="508" t="s">
        <v>150</v>
      </c>
      <c r="D1482" s="508">
        <v>27.73</v>
      </c>
      <c r="E1482" s="461" t="s">
        <v>174</v>
      </c>
    </row>
    <row r="1483" spans="1:5" ht="40.5" x14ac:dyDescent="0.25">
      <c r="A1483" s="508">
        <v>100384</v>
      </c>
      <c r="B1483" s="509" t="s">
        <v>1221</v>
      </c>
      <c r="C1483" s="508" t="s">
        <v>150</v>
      </c>
      <c r="D1483" s="508">
        <v>29.31</v>
      </c>
      <c r="E1483" s="461" t="s">
        <v>174</v>
      </c>
    </row>
    <row r="1484" spans="1:5" ht="40.5" x14ac:dyDescent="0.25">
      <c r="A1484" s="508">
        <v>100385</v>
      </c>
      <c r="B1484" s="509" t="s">
        <v>1222</v>
      </c>
      <c r="C1484" s="508" t="s">
        <v>150</v>
      </c>
      <c r="D1484" s="508">
        <v>37.15</v>
      </c>
      <c r="E1484" s="461" t="s">
        <v>174</v>
      </c>
    </row>
    <row r="1485" spans="1:5" ht="40.5" x14ac:dyDescent="0.25">
      <c r="A1485" s="508">
        <v>100386</v>
      </c>
      <c r="B1485" s="509" t="s">
        <v>1223</v>
      </c>
      <c r="C1485" s="508" t="s">
        <v>150</v>
      </c>
      <c r="D1485" s="508">
        <v>47.85</v>
      </c>
      <c r="E1485" s="461" t="s">
        <v>174</v>
      </c>
    </row>
    <row r="1486" spans="1:5" ht="40.5" x14ac:dyDescent="0.25">
      <c r="A1486" s="508">
        <v>100387</v>
      </c>
      <c r="B1486" s="509" t="s">
        <v>1224</v>
      </c>
      <c r="C1486" s="508" t="s">
        <v>150</v>
      </c>
      <c r="D1486" s="508">
        <v>58.76</v>
      </c>
      <c r="E1486" s="461" t="s">
        <v>174</v>
      </c>
    </row>
    <row r="1487" spans="1:5" ht="27" x14ac:dyDescent="0.25">
      <c r="A1487" s="508">
        <v>100388</v>
      </c>
      <c r="B1487" s="509" t="s">
        <v>12727</v>
      </c>
      <c r="C1487" s="508" t="s">
        <v>150</v>
      </c>
      <c r="D1487" s="508">
        <v>21.19</v>
      </c>
      <c r="E1487" s="461" t="s">
        <v>174</v>
      </c>
    </row>
    <row r="1488" spans="1:5" ht="27" x14ac:dyDescent="0.25">
      <c r="A1488" s="508">
        <v>100389</v>
      </c>
      <c r="B1488" s="509" t="s">
        <v>1225</v>
      </c>
      <c r="C1488" s="508" t="s">
        <v>150</v>
      </c>
      <c r="D1488" s="508">
        <v>19.09</v>
      </c>
      <c r="E1488" s="461" t="s">
        <v>174</v>
      </c>
    </row>
    <row r="1489" spans="1:5" ht="27" x14ac:dyDescent="0.25">
      <c r="A1489" s="508">
        <v>100390</v>
      </c>
      <c r="B1489" s="509" t="s">
        <v>1226</v>
      </c>
      <c r="C1489" s="508" t="s">
        <v>150</v>
      </c>
      <c r="D1489" s="508">
        <v>25.46</v>
      </c>
      <c r="E1489" s="461" t="s">
        <v>174</v>
      </c>
    </row>
    <row r="1490" spans="1:5" ht="27" x14ac:dyDescent="0.25">
      <c r="A1490" s="508">
        <v>100391</v>
      </c>
      <c r="B1490" s="509" t="s">
        <v>1227</v>
      </c>
      <c r="C1490" s="508" t="s">
        <v>150</v>
      </c>
      <c r="D1490" s="508">
        <v>21.97</v>
      </c>
      <c r="E1490" s="461" t="s">
        <v>174</v>
      </c>
    </row>
    <row r="1491" spans="1:5" ht="27" x14ac:dyDescent="0.25">
      <c r="A1491" s="508">
        <v>100392</v>
      </c>
      <c r="B1491" s="509" t="s">
        <v>1228</v>
      </c>
      <c r="C1491" s="508" t="s">
        <v>150</v>
      </c>
      <c r="D1491" s="508">
        <v>16.68</v>
      </c>
      <c r="E1491" s="461" t="s">
        <v>174</v>
      </c>
    </row>
    <row r="1492" spans="1:5" ht="27" x14ac:dyDescent="0.25">
      <c r="A1492" s="508">
        <v>100393</v>
      </c>
      <c r="B1492" s="509" t="s">
        <v>1229</v>
      </c>
      <c r="C1492" s="508" t="s">
        <v>150</v>
      </c>
      <c r="D1492" s="508">
        <v>21.93</v>
      </c>
      <c r="E1492" s="461" t="s">
        <v>174</v>
      </c>
    </row>
    <row r="1493" spans="1:5" ht="27" x14ac:dyDescent="0.25">
      <c r="A1493" s="508">
        <v>100394</v>
      </c>
      <c r="B1493" s="509" t="s">
        <v>1230</v>
      </c>
      <c r="C1493" s="508" t="s">
        <v>150</v>
      </c>
      <c r="D1493" s="508">
        <v>20.03</v>
      </c>
      <c r="E1493" s="461" t="s">
        <v>174</v>
      </c>
    </row>
    <row r="1494" spans="1:5" ht="27" x14ac:dyDescent="0.25">
      <c r="A1494" s="508">
        <v>100395</v>
      </c>
      <c r="B1494" s="509" t="s">
        <v>1231</v>
      </c>
      <c r="C1494" s="508" t="s">
        <v>150</v>
      </c>
      <c r="D1494" s="508">
        <v>26.21</v>
      </c>
      <c r="E1494" s="461" t="s">
        <v>174</v>
      </c>
    </row>
    <row r="1495" spans="1:5" ht="27" x14ac:dyDescent="0.25">
      <c r="A1495" s="508">
        <v>94189</v>
      </c>
      <c r="B1495" s="509" t="s">
        <v>1232</v>
      </c>
      <c r="C1495" s="508" t="s">
        <v>150</v>
      </c>
      <c r="D1495" s="508">
        <v>44.29</v>
      </c>
      <c r="E1495" s="461" t="s">
        <v>174</v>
      </c>
    </row>
    <row r="1496" spans="1:5" ht="27" x14ac:dyDescent="0.25">
      <c r="A1496" s="508">
        <v>94192</v>
      </c>
      <c r="B1496" s="509" t="s">
        <v>1233</v>
      </c>
      <c r="C1496" s="508" t="s">
        <v>150</v>
      </c>
      <c r="D1496" s="508">
        <v>47.2</v>
      </c>
      <c r="E1496" s="461" t="s">
        <v>174</v>
      </c>
    </row>
    <row r="1497" spans="1:5" ht="27" x14ac:dyDescent="0.25">
      <c r="A1497" s="508">
        <v>94195</v>
      </c>
      <c r="B1497" s="509" t="s">
        <v>1234</v>
      </c>
      <c r="C1497" s="508" t="s">
        <v>150</v>
      </c>
      <c r="D1497" s="508">
        <v>38.67</v>
      </c>
      <c r="E1497" s="461" t="s">
        <v>174</v>
      </c>
    </row>
    <row r="1498" spans="1:5" ht="27" x14ac:dyDescent="0.25">
      <c r="A1498" s="508">
        <v>94198</v>
      </c>
      <c r="B1498" s="509" t="s">
        <v>1235</v>
      </c>
      <c r="C1498" s="508" t="s">
        <v>150</v>
      </c>
      <c r="D1498" s="508">
        <v>42.51</v>
      </c>
      <c r="E1498" s="461" t="s">
        <v>174</v>
      </c>
    </row>
    <row r="1499" spans="1:5" ht="27" x14ac:dyDescent="0.25">
      <c r="A1499" s="508">
        <v>94201</v>
      </c>
      <c r="B1499" s="509" t="s">
        <v>1236</v>
      </c>
      <c r="C1499" s="508" t="s">
        <v>150</v>
      </c>
      <c r="D1499" s="508">
        <v>55.1</v>
      </c>
      <c r="E1499" s="461" t="s">
        <v>174</v>
      </c>
    </row>
    <row r="1500" spans="1:5" ht="27" x14ac:dyDescent="0.25">
      <c r="A1500" s="508">
        <v>94204</v>
      </c>
      <c r="B1500" s="509" t="s">
        <v>1237</v>
      </c>
      <c r="C1500" s="508" t="s">
        <v>150</v>
      </c>
      <c r="D1500" s="508">
        <v>61.65</v>
      </c>
      <c r="E1500" s="461" t="s">
        <v>174</v>
      </c>
    </row>
    <row r="1501" spans="1:5" ht="15" x14ac:dyDescent="0.25">
      <c r="A1501" s="508">
        <v>94224</v>
      </c>
      <c r="B1501" s="509" t="s">
        <v>1238</v>
      </c>
      <c r="C1501" s="508" t="s">
        <v>5</v>
      </c>
      <c r="D1501" s="508">
        <v>30.04</v>
      </c>
      <c r="E1501" s="461" t="s">
        <v>174</v>
      </c>
    </row>
    <row r="1502" spans="1:5" ht="27" x14ac:dyDescent="0.25">
      <c r="A1502" s="508">
        <v>94226</v>
      </c>
      <c r="B1502" s="509" t="s">
        <v>1239</v>
      </c>
      <c r="C1502" s="508" t="s">
        <v>150</v>
      </c>
      <c r="D1502" s="508">
        <v>22.15</v>
      </c>
      <c r="E1502" s="461" t="s">
        <v>174</v>
      </c>
    </row>
    <row r="1503" spans="1:5" ht="15" x14ac:dyDescent="0.25">
      <c r="A1503" s="508">
        <v>94232</v>
      </c>
      <c r="B1503" s="509" t="s">
        <v>1240</v>
      </c>
      <c r="C1503" s="508" t="s">
        <v>107</v>
      </c>
      <c r="D1503" s="508">
        <v>3.22</v>
      </c>
      <c r="E1503" s="461" t="s">
        <v>174</v>
      </c>
    </row>
    <row r="1504" spans="1:5" ht="27" x14ac:dyDescent="0.25">
      <c r="A1504" s="508">
        <v>94440</v>
      </c>
      <c r="B1504" s="509" t="s">
        <v>1241</v>
      </c>
      <c r="C1504" s="508" t="s">
        <v>150</v>
      </c>
      <c r="D1504" s="508">
        <v>38.67</v>
      </c>
      <c r="E1504" s="461" t="s">
        <v>174</v>
      </c>
    </row>
    <row r="1505" spans="1:5" ht="27" x14ac:dyDescent="0.25">
      <c r="A1505" s="508">
        <v>94441</v>
      </c>
      <c r="B1505" s="509" t="s">
        <v>1242</v>
      </c>
      <c r="C1505" s="508" t="s">
        <v>150</v>
      </c>
      <c r="D1505" s="508">
        <v>42.51</v>
      </c>
      <c r="E1505" s="461" t="s">
        <v>174</v>
      </c>
    </row>
    <row r="1506" spans="1:5" ht="27" x14ac:dyDescent="0.25">
      <c r="A1506" s="508">
        <v>94442</v>
      </c>
      <c r="B1506" s="509" t="s">
        <v>1243</v>
      </c>
      <c r="C1506" s="508" t="s">
        <v>150</v>
      </c>
      <c r="D1506" s="510">
        <v>38.67</v>
      </c>
      <c r="E1506" s="461" t="s">
        <v>174</v>
      </c>
    </row>
    <row r="1507" spans="1:5" ht="27" x14ac:dyDescent="0.25">
      <c r="A1507" s="508">
        <v>94443</v>
      </c>
      <c r="B1507" s="509" t="s">
        <v>1244</v>
      </c>
      <c r="C1507" s="508" t="s">
        <v>150</v>
      </c>
      <c r="D1507" s="510">
        <v>42.51</v>
      </c>
      <c r="E1507" s="461" t="s">
        <v>174</v>
      </c>
    </row>
    <row r="1508" spans="1:5" ht="27" x14ac:dyDescent="0.25">
      <c r="A1508" s="508">
        <v>94445</v>
      </c>
      <c r="B1508" s="509" t="s">
        <v>1245</v>
      </c>
      <c r="C1508" s="508" t="s">
        <v>150</v>
      </c>
      <c r="D1508" s="510">
        <v>55.1</v>
      </c>
      <c r="E1508" s="461" t="s">
        <v>174</v>
      </c>
    </row>
    <row r="1509" spans="1:5" ht="27" x14ac:dyDescent="0.25">
      <c r="A1509" s="508">
        <v>94446</v>
      </c>
      <c r="B1509" s="509" t="s">
        <v>1246</v>
      </c>
      <c r="C1509" s="508" t="s">
        <v>150</v>
      </c>
      <c r="D1509" s="508">
        <v>61.65</v>
      </c>
      <c r="E1509" s="461" t="s">
        <v>174</v>
      </c>
    </row>
    <row r="1510" spans="1:5" ht="27" x14ac:dyDescent="0.25">
      <c r="A1510" s="508">
        <v>94447</v>
      </c>
      <c r="B1510" s="509" t="s">
        <v>1247</v>
      </c>
      <c r="C1510" s="508" t="s">
        <v>150</v>
      </c>
      <c r="D1510" s="508">
        <v>55.1</v>
      </c>
      <c r="E1510" s="461" t="s">
        <v>174</v>
      </c>
    </row>
    <row r="1511" spans="1:5" ht="27" x14ac:dyDescent="0.25">
      <c r="A1511" s="508">
        <v>94448</v>
      </c>
      <c r="B1511" s="509" t="s">
        <v>1248</v>
      </c>
      <c r="C1511" s="508" t="s">
        <v>150</v>
      </c>
      <c r="D1511" s="508">
        <v>61.65</v>
      </c>
      <c r="E1511" s="461" t="s">
        <v>174</v>
      </c>
    </row>
    <row r="1512" spans="1:5" ht="40.5" x14ac:dyDescent="0.25">
      <c r="A1512" s="508">
        <v>94207</v>
      </c>
      <c r="B1512" s="509" t="s">
        <v>1249</v>
      </c>
      <c r="C1512" s="508" t="s">
        <v>150</v>
      </c>
      <c r="D1512" s="508">
        <v>47.2</v>
      </c>
      <c r="E1512" s="461" t="s">
        <v>174</v>
      </c>
    </row>
    <row r="1513" spans="1:5" ht="40.5" x14ac:dyDescent="0.25">
      <c r="A1513" s="508">
        <v>94210</v>
      </c>
      <c r="B1513" s="509" t="s">
        <v>1250</v>
      </c>
      <c r="C1513" s="508" t="s">
        <v>150</v>
      </c>
      <c r="D1513" s="508">
        <v>50.12</v>
      </c>
      <c r="E1513" s="461" t="s">
        <v>174</v>
      </c>
    </row>
    <row r="1514" spans="1:5" ht="27" x14ac:dyDescent="0.25">
      <c r="A1514" s="508">
        <v>94218</v>
      </c>
      <c r="B1514" s="509" t="s">
        <v>5178</v>
      </c>
      <c r="C1514" s="508" t="s">
        <v>150</v>
      </c>
      <c r="D1514" s="508">
        <v>118.91</v>
      </c>
      <c r="E1514" s="461" t="s">
        <v>174</v>
      </c>
    </row>
    <row r="1515" spans="1:5" ht="27" x14ac:dyDescent="0.25">
      <c r="A1515" s="508">
        <v>94213</v>
      </c>
      <c r="B1515" s="509" t="s">
        <v>1251</v>
      </c>
      <c r="C1515" s="508" t="s">
        <v>150</v>
      </c>
      <c r="D1515" s="508">
        <v>65.739999999999995</v>
      </c>
      <c r="E1515" s="461" t="s">
        <v>174</v>
      </c>
    </row>
    <row r="1516" spans="1:5" ht="27" x14ac:dyDescent="0.25">
      <c r="A1516" s="508">
        <v>94216</v>
      </c>
      <c r="B1516" s="509" t="s">
        <v>1252</v>
      </c>
      <c r="C1516" s="508" t="s">
        <v>150</v>
      </c>
      <c r="D1516" s="508">
        <v>182.28</v>
      </c>
      <c r="E1516" s="461" t="s">
        <v>174</v>
      </c>
    </row>
    <row r="1517" spans="1:5" ht="40.5" x14ac:dyDescent="0.25">
      <c r="A1517" s="508">
        <v>94219</v>
      </c>
      <c r="B1517" s="509" t="s">
        <v>1253</v>
      </c>
      <c r="C1517" s="508" t="s">
        <v>5</v>
      </c>
      <c r="D1517" s="508">
        <v>37.28</v>
      </c>
      <c r="E1517" s="461" t="s">
        <v>174</v>
      </c>
    </row>
    <row r="1518" spans="1:5" ht="40.5" x14ac:dyDescent="0.25">
      <c r="A1518" s="508">
        <v>94220</v>
      </c>
      <c r="B1518" s="509" t="s">
        <v>1254</v>
      </c>
      <c r="C1518" s="508" t="s">
        <v>5</v>
      </c>
      <c r="D1518" s="508">
        <v>62.39</v>
      </c>
      <c r="E1518" s="461" t="s">
        <v>174</v>
      </c>
    </row>
    <row r="1519" spans="1:5" ht="27" x14ac:dyDescent="0.25">
      <c r="A1519" s="508">
        <v>94221</v>
      </c>
      <c r="B1519" s="509" t="s">
        <v>1255</v>
      </c>
      <c r="C1519" s="508" t="s">
        <v>5</v>
      </c>
      <c r="D1519" s="508">
        <v>29.69</v>
      </c>
      <c r="E1519" s="461" t="s">
        <v>174</v>
      </c>
    </row>
    <row r="1520" spans="1:5" ht="27" x14ac:dyDescent="0.25">
      <c r="A1520" s="508">
        <v>94222</v>
      </c>
      <c r="B1520" s="509" t="s">
        <v>1256</v>
      </c>
      <c r="C1520" s="508" t="s">
        <v>5</v>
      </c>
      <c r="D1520" s="508">
        <v>54.8</v>
      </c>
      <c r="E1520" s="461" t="s">
        <v>174</v>
      </c>
    </row>
    <row r="1521" spans="1:5" ht="27" x14ac:dyDescent="0.25">
      <c r="A1521" s="508">
        <v>94223</v>
      </c>
      <c r="B1521" s="509" t="s">
        <v>1257</v>
      </c>
      <c r="C1521" s="508" t="s">
        <v>5</v>
      </c>
      <c r="D1521" s="508">
        <v>81.099999999999994</v>
      </c>
      <c r="E1521" s="461" t="s">
        <v>174</v>
      </c>
    </row>
    <row r="1522" spans="1:5" ht="27" x14ac:dyDescent="0.25">
      <c r="A1522" s="508">
        <v>94451</v>
      </c>
      <c r="B1522" s="509" t="s">
        <v>1258</v>
      </c>
      <c r="C1522" s="508" t="s">
        <v>5</v>
      </c>
      <c r="D1522" s="508">
        <v>90.17</v>
      </c>
      <c r="E1522" s="461" t="s">
        <v>174</v>
      </c>
    </row>
    <row r="1523" spans="1:5" ht="27" x14ac:dyDescent="0.25">
      <c r="A1523" s="508">
        <v>100325</v>
      </c>
      <c r="B1523" s="509" t="s">
        <v>1259</v>
      </c>
      <c r="C1523" s="508" t="s">
        <v>5</v>
      </c>
      <c r="D1523" s="508">
        <v>87.51</v>
      </c>
      <c r="E1523" s="461" t="s">
        <v>174</v>
      </c>
    </row>
    <row r="1524" spans="1:5" ht="27" x14ac:dyDescent="0.25">
      <c r="A1524" s="508">
        <v>100327</v>
      </c>
      <c r="B1524" s="509" t="s">
        <v>1260</v>
      </c>
      <c r="C1524" s="508" t="s">
        <v>5</v>
      </c>
      <c r="D1524" s="508">
        <v>54.86</v>
      </c>
      <c r="E1524" s="461" t="s">
        <v>174</v>
      </c>
    </row>
    <row r="1525" spans="1:5" ht="27" x14ac:dyDescent="0.25">
      <c r="A1525" s="508">
        <v>100328</v>
      </c>
      <c r="B1525" s="509" t="s">
        <v>1261</v>
      </c>
      <c r="C1525" s="508" t="s">
        <v>150</v>
      </c>
      <c r="D1525" s="508">
        <v>15.18</v>
      </c>
      <c r="E1525" s="461" t="s">
        <v>174</v>
      </c>
    </row>
    <row r="1526" spans="1:5" ht="27" x14ac:dyDescent="0.25">
      <c r="A1526" s="508">
        <v>100329</v>
      </c>
      <c r="B1526" s="509" t="s">
        <v>1262</v>
      </c>
      <c r="C1526" s="508" t="s">
        <v>150</v>
      </c>
      <c r="D1526" s="508">
        <v>19.04</v>
      </c>
      <c r="E1526" s="461" t="s">
        <v>174</v>
      </c>
    </row>
    <row r="1527" spans="1:5" ht="27" x14ac:dyDescent="0.25">
      <c r="A1527" s="508">
        <v>100330</v>
      </c>
      <c r="B1527" s="509" t="s">
        <v>1263</v>
      </c>
      <c r="C1527" s="508" t="s">
        <v>150</v>
      </c>
      <c r="D1527" s="508">
        <v>20.57</v>
      </c>
      <c r="E1527" s="461" t="s">
        <v>174</v>
      </c>
    </row>
    <row r="1528" spans="1:5" ht="27" x14ac:dyDescent="0.25">
      <c r="A1528" s="508">
        <v>100331</v>
      </c>
      <c r="B1528" s="509" t="s">
        <v>1264</v>
      </c>
      <c r="C1528" s="508" t="s">
        <v>150</v>
      </c>
      <c r="D1528" s="508">
        <v>27.14</v>
      </c>
      <c r="E1528" s="461" t="s">
        <v>174</v>
      </c>
    </row>
    <row r="1529" spans="1:5" ht="40.5" x14ac:dyDescent="0.25">
      <c r="A1529" s="508">
        <v>100434</v>
      </c>
      <c r="B1529" s="509" t="s">
        <v>1527</v>
      </c>
      <c r="C1529" s="508" t="s">
        <v>5</v>
      </c>
      <c r="D1529" s="508">
        <v>137.88999999999999</v>
      </c>
      <c r="E1529" s="461" t="s">
        <v>174</v>
      </c>
    </row>
    <row r="1530" spans="1:5" ht="27" x14ac:dyDescent="0.25">
      <c r="A1530" s="508">
        <v>100435</v>
      </c>
      <c r="B1530" s="509" t="s">
        <v>1528</v>
      </c>
      <c r="C1530" s="508" t="s">
        <v>5</v>
      </c>
      <c r="D1530" s="508">
        <v>60.79</v>
      </c>
      <c r="E1530" s="461" t="s">
        <v>174</v>
      </c>
    </row>
    <row r="1531" spans="1:5" ht="27" x14ac:dyDescent="0.25">
      <c r="A1531" s="508">
        <v>94227</v>
      </c>
      <c r="B1531" s="509" t="s">
        <v>1265</v>
      </c>
      <c r="C1531" s="508" t="s">
        <v>5</v>
      </c>
      <c r="D1531" s="508">
        <v>58.11</v>
      </c>
      <c r="E1531" s="461" t="s">
        <v>174</v>
      </c>
    </row>
    <row r="1532" spans="1:5" ht="27" x14ac:dyDescent="0.25">
      <c r="A1532" s="508">
        <v>94228</v>
      </c>
      <c r="B1532" s="509" t="s">
        <v>1266</v>
      </c>
      <c r="C1532" s="508" t="s">
        <v>5</v>
      </c>
      <c r="D1532" s="508">
        <v>79.61</v>
      </c>
      <c r="E1532" s="461" t="s">
        <v>174</v>
      </c>
    </row>
    <row r="1533" spans="1:5" ht="27" x14ac:dyDescent="0.25">
      <c r="A1533" s="508">
        <v>94229</v>
      </c>
      <c r="B1533" s="509" t="s">
        <v>1267</v>
      </c>
      <c r="C1533" s="508" t="s">
        <v>5</v>
      </c>
      <c r="D1533" s="508">
        <v>153.57</v>
      </c>
      <c r="E1533" s="461" t="s">
        <v>174</v>
      </c>
    </row>
    <row r="1534" spans="1:5" ht="27" x14ac:dyDescent="0.25">
      <c r="A1534" s="508">
        <v>94231</v>
      </c>
      <c r="B1534" s="509" t="s">
        <v>1268</v>
      </c>
      <c r="C1534" s="508" t="s">
        <v>5</v>
      </c>
      <c r="D1534" s="508">
        <v>48.17</v>
      </c>
      <c r="E1534" s="461" t="s">
        <v>174</v>
      </c>
    </row>
    <row r="1535" spans="1:5" ht="27" x14ac:dyDescent="0.25">
      <c r="A1535" s="508">
        <v>94449</v>
      </c>
      <c r="B1535" s="509" t="s">
        <v>1269</v>
      </c>
      <c r="C1535" s="508" t="s">
        <v>150</v>
      </c>
      <c r="D1535" s="508">
        <v>80.16</v>
      </c>
      <c r="E1535" s="461" t="s">
        <v>174</v>
      </c>
    </row>
    <row r="1536" spans="1:5" ht="27" x14ac:dyDescent="0.25">
      <c r="A1536" s="508">
        <v>92255</v>
      </c>
      <c r="B1536" s="509" t="s">
        <v>1270</v>
      </c>
      <c r="C1536" s="508" t="s">
        <v>107</v>
      </c>
      <c r="D1536" s="508">
        <v>194.8</v>
      </c>
      <c r="E1536" s="461" t="s">
        <v>174</v>
      </c>
    </row>
    <row r="1537" spans="1:5" ht="27" x14ac:dyDescent="0.25">
      <c r="A1537" s="508">
        <v>92256</v>
      </c>
      <c r="B1537" s="509" t="s">
        <v>1271</v>
      </c>
      <c r="C1537" s="508" t="s">
        <v>107</v>
      </c>
      <c r="D1537" s="508">
        <v>240.8</v>
      </c>
      <c r="E1537" s="461" t="s">
        <v>174</v>
      </c>
    </row>
    <row r="1538" spans="1:5" ht="27" x14ac:dyDescent="0.25">
      <c r="A1538" s="508">
        <v>92257</v>
      </c>
      <c r="B1538" s="509" t="s">
        <v>1272</v>
      </c>
      <c r="C1538" s="508" t="s">
        <v>107</v>
      </c>
      <c r="D1538" s="508">
        <v>286.33</v>
      </c>
      <c r="E1538" s="461" t="s">
        <v>174</v>
      </c>
    </row>
    <row r="1539" spans="1:5" ht="27" x14ac:dyDescent="0.25">
      <c r="A1539" s="508">
        <v>92258</v>
      </c>
      <c r="B1539" s="509" t="s">
        <v>1273</v>
      </c>
      <c r="C1539" s="508" t="s">
        <v>107</v>
      </c>
      <c r="D1539" s="508">
        <v>359.56</v>
      </c>
      <c r="E1539" s="461" t="s">
        <v>174</v>
      </c>
    </row>
    <row r="1540" spans="1:5" ht="27" x14ac:dyDescent="0.25">
      <c r="A1540" s="508">
        <v>92568</v>
      </c>
      <c r="B1540" s="509" t="s">
        <v>1274</v>
      </c>
      <c r="C1540" s="508" t="s">
        <v>150</v>
      </c>
      <c r="D1540" s="508">
        <v>123.5</v>
      </c>
      <c r="E1540" s="461" t="s">
        <v>174</v>
      </c>
    </row>
    <row r="1541" spans="1:5" ht="27" x14ac:dyDescent="0.25">
      <c r="A1541" s="508">
        <v>92569</v>
      </c>
      <c r="B1541" s="509" t="s">
        <v>1275</v>
      </c>
      <c r="C1541" s="508" t="s">
        <v>150</v>
      </c>
      <c r="D1541" s="508">
        <v>68.92</v>
      </c>
      <c r="E1541" s="461" t="s">
        <v>174</v>
      </c>
    </row>
    <row r="1542" spans="1:5" ht="27" x14ac:dyDescent="0.25">
      <c r="A1542" s="508">
        <v>92570</v>
      </c>
      <c r="B1542" s="509" t="s">
        <v>1276</v>
      </c>
      <c r="C1542" s="508" t="s">
        <v>150</v>
      </c>
      <c r="D1542" s="508">
        <v>43.83</v>
      </c>
      <c r="E1542" s="461" t="s">
        <v>174</v>
      </c>
    </row>
    <row r="1543" spans="1:5" ht="40.5" x14ac:dyDescent="0.25">
      <c r="A1543" s="508">
        <v>92571</v>
      </c>
      <c r="B1543" s="509" t="s">
        <v>1277</v>
      </c>
      <c r="C1543" s="508" t="s">
        <v>150</v>
      </c>
      <c r="D1543" s="508">
        <v>132.35</v>
      </c>
      <c r="E1543" s="461" t="s">
        <v>174</v>
      </c>
    </row>
    <row r="1544" spans="1:5" ht="27" x14ac:dyDescent="0.25">
      <c r="A1544" s="508">
        <v>92572</v>
      </c>
      <c r="B1544" s="509" t="s">
        <v>1278</v>
      </c>
      <c r="C1544" s="508" t="s">
        <v>150</v>
      </c>
      <c r="D1544" s="508">
        <v>79.489999999999995</v>
      </c>
      <c r="E1544" s="461" t="s">
        <v>174</v>
      </c>
    </row>
    <row r="1545" spans="1:5" ht="40.5" x14ac:dyDescent="0.25">
      <c r="A1545" s="508">
        <v>92573</v>
      </c>
      <c r="B1545" s="509" t="s">
        <v>1279</v>
      </c>
      <c r="C1545" s="508" t="s">
        <v>150</v>
      </c>
      <c r="D1545" s="508">
        <v>47.61</v>
      </c>
      <c r="E1545" s="461" t="s">
        <v>174</v>
      </c>
    </row>
    <row r="1546" spans="1:5" ht="27" x14ac:dyDescent="0.25">
      <c r="A1546" s="508">
        <v>92574</v>
      </c>
      <c r="B1546" s="509" t="s">
        <v>1280</v>
      </c>
      <c r="C1546" s="508" t="s">
        <v>150</v>
      </c>
      <c r="D1546" s="508">
        <v>125.68</v>
      </c>
      <c r="E1546" s="461" t="s">
        <v>174</v>
      </c>
    </row>
    <row r="1547" spans="1:5" ht="27" x14ac:dyDescent="0.25">
      <c r="A1547" s="508">
        <v>92575</v>
      </c>
      <c r="B1547" s="509" t="s">
        <v>1281</v>
      </c>
      <c r="C1547" s="508" t="s">
        <v>150</v>
      </c>
      <c r="D1547" s="508">
        <v>63.14</v>
      </c>
      <c r="E1547" s="461" t="s">
        <v>174</v>
      </c>
    </row>
    <row r="1548" spans="1:5" ht="27" x14ac:dyDescent="0.25">
      <c r="A1548" s="508">
        <v>92576</v>
      </c>
      <c r="B1548" s="509" t="s">
        <v>1282</v>
      </c>
      <c r="C1548" s="508" t="s">
        <v>150</v>
      </c>
      <c r="D1548" s="508">
        <v>34.68</v>
      </c>
      <c r="E1548" s="461" t="s">
        <v>174</v>
      </c>
    </row>
    <row r="1549" spans="1:5" ht="27" x14ac:dyDescent="0.25">
      <c r="A1549" s="508">
        <v>92577</v>
      </c>
      <c r="B1549" s="509" t="s">
        <v>1283</v>
      </c>
      <c r="C1549" s="508" t="s">
        <v>150</v>
      </c>
      <c r="D1549" s="508">
        <v>134.91999999999999</v>
      </c>
      <c r="E1549" s="461" t="s">
        <v>174</v>
      </c>
    </row>
    <row r="1550" spans="1:5" ht="27" x14ac:dyDescent="0.25">
      <c r="A1550" s="508">
        <v>92578</v>
      </c>
      <c r="B1550" s="509" t="s">
        <v>1284</v>
      </c>
      <c r="C1550" s="508" t="s">
        <v>150</v>
      </c>
      <c r="D1550" s="508">
        <v>68.290000000000006</v>
      </c>
      <c r="E1550" s="461" t="s">
        <v>174</v>
      </c>
    </row>
    <row r="1551" spans="1:5" ht="27" x14ac:dyDescent="0.25">
      <c r="A1551" s="508">
        <v>92579</v>
      </c>
      <c r="B1551" s="509" t="s">
        <v>1285</v>
      </c>
      <c r="C1551" s="508" t="s">
        <v>150</v>
      </c>
      <c r="D1551" s="508">
        <v>37.69</v>
      </c>
      <c r="E1551" s="461" t="s">
        <v>174</v>
      </c>
    </row>
    <row r="1552" spans="1:5" ht="40.5" x14ac:dyDescent="0.25">
      <c r="A1552" s="508">
        <v>92580</v>
      </c>
      <c r="B1552" s="509" t="s">
        <v>1286</v>
      </c>
      <c r="C1552" s="508" t="s">
        <v>150</v>
      </c>
      <c r="D1552" s="508">
        <v>47.25</v>
      </c>
      <c r="E1552" s="461" t="s">
        <v>174</v>
      </c>
    </row>
    <row r="1553" spans="1:5" ht="27" x14ac:dyDescent="0.25">
      <c r="A1553" s="508">
        <v>92581</v>
      </c>
      <c r="B1553" s="509" t="s">
        <v>1287</v>
      </c>
      <c r="C1553" s="508" t="s">
        <v>150</v>
      </c>
      <c r="D1553" s="508">
        <v>49.13</v>
      </c>
      <c r="E1553" s="461" t="s">
        <v>174</v>
      </c>
    </row>
    <row r="1554" spans="1:5" ht="27" x14ac:dyDescent="0.25">
      <c r="A1554" s="508">
        <v>92582</v>
      </c>
      <c r="B1554" s="509" t="s">
        <v>12998</v>
      </c>
      <c r="C1554" s="508" t="s">
        <v>107</v>
      </c>
      <c r="D1554" s="508">
        <v>698.76</v>
      </c>
      <c r="E1554" s="461" t="s">
        <v>174</v>
      </c>
    </row>
    <row r="1555" spans="1:5" ht="27" x14ac:dyDescent="0.25">
      <c r="A1555" s="508">
        <v>92584</v>
      </c>
      <c r="B1555" s="509" t="s">
        <v>12999</v>
      </c>
      <c r="C1555" s="508" t="s">
        <v>107</v>
      </c>
      <c r="D1555" s="508">
        <v>814.82</v>
      </c>
      <c r="E1555" s="461" t="s">
        <v>174</v>
      </c>
    </row>
    <row r="1556" spans="1:5" ht="27" x14ac:dyDescent="0.25">
      <c r="A1556" s="508">
        <v>92586</v>
      </c>
      <c r="B1556" s="509" t="s">
        <v>13000</v>
      </c>
      <c r="C1556" s="508" t="s">
        <v>107</v>
      </c>
      <c r="D1556" s="508">
        <v>930.87</v>
      </c>
      <c r="E1556" s="461" t="s">
        <v>174</v>
      </c>
    </row>
    <row r="1557" spans="1:5" ht="27" x14ac:dyDescent="0.25">
      <c r="A1557" s="508">
        <v>92588</v>
      </c>
      <c r="B1557" s="509" t="s">
        <v>13001</v>
      </c>
      <c r="C1557" s="508" t="s">
        <v>107</v>
      </c>
      <c r="D1557" s="508">
        <v>1179.25</v>
      </c>
      <c r="E1557" s="461" t="s">
        <v>174</v>
      </c>
    </row>
    <row r="1558" spans="1:5" ht="27" x14ac:dyDescent="0.25">
      <c r="A1558" s="508">
        <v>92590</v>
      </c>
      <c r="B1558" s="509" t="s">
        <v>13002</v>
      </c>
      <c r="C1558" s="508" t="s">
        <v>107</v>
      </c>
      <c r="D1558" s="508">
        <v>1295.3</v>
      </c>
      <c r="E1558" s="461" t="s">
        <v>174</v>
      </c>
    </row>
    <row r="1559" spans="1:5" ht="27" x14ac:dyDescent="0.25">
      <c r="A1559" s="508">
        <v>92592</v>
      </c>
      <c r="B1559" s="509" t="s">
        <v>13003</v>
      </c>
      <c r="C1559" s="508" t="s">
        <v>107</v>
      </c>
      <c r="D1559" s="508">
        <v>1456.89</v>
      </c>
      <c r="E1559" s="461" t="s">
        <v>174</v>
      </c>
    </row>
    <row r="1560" spans="1:5" ht="27" x14ac:dyDescent="0.25">
      <c r="A1560" s="508">
        <v>92594</v>
      </c>
      <c r="B1560" s="509" t="s">
        <v>13004</v>
      </c>
      <c r="C1560" s="508" t="s">
        <v>107</v>
      </c>
      <c r="D1560" s="508">
        <v>1688.63</v>
      </c>
      <c r="E1560" s="461" t="s">
        <v>174</v>
      </c>
    </row>
    <row r="1561" spans="1:5" ht="27" x14ac:dyDescent="0.25">
      <c r="A1561" s="508">
        <v>92596</v>
      </c>
      <c r="B1561" s="509" t="s">
        <v>13005</v>
      </c>
      <c r="C1561" s="508" t="s">
        <v>107</v>
      </c>
      <c r="D1561" s="508">
        <v>1882.88</v>
      </c>
      <c r="E1561" s="461" t="s">
        <v>174</v>
      </c>
    </row>
    <row r="1562" spans="1:5" ht="27" x14ac:dyDescent="0.25">
      <c r="A1562" s="508">
        <v>92598</v>
      </c>
      <c r="B1562" s="509" t="s">
        <v>13006</v>
      </c>
      <c r="C1562" s="508" t="s">
        <v>107</v>
      </c>
      <c r="D1562" s="508">
        <v>1998.93</v>
      </c>
      <c r="E1562" s="461" t="s">
        <v>174</v>
      </c>
    </row>
    <row r="1563" spans="1:5" ht="27" x14ac:dyDescent="0.25">
      <c r="A1563" s="508">
        <v>92600</v>
      </c>
      <c r="B1563" s="509" t="s">
        <v>13007</v>
      </c>
      <c r="C1563" s="508" t="s">
        <v>107</v>
      </c>
      <c r="D1563" s="508">
        <v>2144.34</v>
      </c>
      <c r="E1563" s="461" t="s">
        <v>174</v>
      </c>
    </row>
    <row r="1564" spans="1:5" ht="27" x14ac:dyDescent="0.25">
      <c r="A1564" s="508">
        <v>92602</v>
      </c>
      <c r="B1564" s="509" t="s">
        <v>13008</v>
      </c>
      <c r="C1564" s="508" t="s">
        <v>107</v>
      </c>
      <c r="D1564" s="508">
        <v>698.76</v>
      </c>
      <c r="E1564" s="461" t="s">
        <v>174</v>
      </c>
    </row>
    <row r="1565" spans="1:5" ht="27" x14ac:dyDescent="0.25">
      <c r="A1565" s="508">
        <v>92604</v>
      </c>
      <c r="B1565" s="509" t="s">
        <v>13009</v>
      </c>
      <c r="C1565" s="508" t="s">
        <v>107</v>
      </c>
      <c r="D1565" s="508">
        <v>785.46</v>
      </c>
      <c r="E1565" s="461" t="s">
        <v>174</v>
      </c>
    </row>
    <row r="1566" spans="1:5" ht="27" x14ac:dyDescent="0.25">
      <c r="A1566" s="508">
        <v>92606</v>
      </c>
      <c r="B1566" s="509" t="s">
        <v>13010</v>
      </c>
      <c r="C1566" s="508" t="s">
        <v>107</v>
      </c>
      <c r="D1566" s="508">
        <v>901.52</v>
      </c>
      <c r="E1566" s="461" t="s">
        <v>174</v>
      </c>
    </row>
    <row r="1567" spans="1:5" ht="27" x14ac:dyDescent="0.25">
      <c r="A1567" s="508">
        <v>92608</v>
      </c>
      <c r="B1567" s="509" t="s">
        <v>13011</v>
      </c>
      <c r="C1567" s="508" t="s">
        <v>107</v>
      </c>
      <c r="D1567" s="508">
        <v>1120.54</v>
      </c>
      <c r="E1567" s="461" t="s">
        <v>174</v>
      </c>
    </row>
    <row r="1568" spans="1:5" ht="27" x14ac:dyDescent="0.25">
      <c r="A1568" s="508">
        <v>92610</v>
      </c>
      <c r="B1568" s="509" t="s">
        <v>13012</v>
      </c>
      <c r="C1568" s="508" t="s">
        <v>107</v>
      </c>
      <c r="D1568" s="508">
        <v>1236.5999999999999</v>
      </c>
      <c r="E1568" s="461" t="s">
        <v>174</v>
      </c>
    </row>
    <row r="1569" spans="1:5" ht="40.5" x14ac:dyDescent="0.25">
      <c r="A1569" s="508">
        <v>92612</v>
      </c>
      <c r="B1569" s="509" t="s">
        <v>13013</v>
      </c>
      <c r="C1569" s="508" t="s">
        <v>107</v>
      </c>
      <c r="D1569" s="508">
        <v>1398.18</v>
      </c>
      <c r="E1569" s="461" t="s">
        <v>174</v>
      </c>
    </row>
    <row r="1570" spans="1:5" ht="27" x14ac:dyDescent="0.25">
      <c r="A1570" s="508">
        <v>92614</v>
      </c>
      <c r="B1570" s="509" t="s">
        <v>13014</v>
      </c>
      <c r="C1570" s="508" t="s">
        <v>107</v>
      </c>
      <c r="D1570" s="508">
        <v>1571.22</v>
      </c>
      <c r="E1570" s="461" t="s">
        <v>174</v>
      </c>
    </row>
    <row r="1571" spans="1:5" ht="27" x14ac:dyDescent="0.25">
      <c r="A1571" s="508">
        <v>92616</v>
      </c>
      <c r="B1571" s="509" t="s">
        <v>13015</v>
      </c>
      <c r="C1571" s="508" t="s">
        <v>107</v>
      </c>
      <c r="D1571" s="508">
        <v>1794.82</v>
      </c>
      <c r="E1571" s="461" t="s">
        <v>174</v>
      </c>
    </row>
    <row r="1572" spans="1:5" ht="27" x14ac:dyDescent="0.25">
      <c r="A1572" s="508">
        <v>92618</v>
      </c>
      <c r="B1572" s="509" t="s">
        <v>13016</v>
      </c>
      <c r="C1572" s="508" t="s">
        <v>107</v>
      </c>
      <c r="D1572" s="508">
        <v>1910.87</v>
      </c>
      <c r="E1572" s="461" t="s">
        <v>174</v>
      </c>
    </row>
    <row r="1573" spans="1:5" ht="27" x14ac:dyDescent="0.25">
      <c r="A1573" s="508">
        <v>92620</v>
      </c>
      <c r="B1573" s="509" t="s">
        <v>13017</v>
      </c>
      <c r="C1573" s="508" t="s">
        <v>107</v>
      </c>
      <c r="D1573" s="508">
        <v>2026.92</v>
      </c>
      <c r="E1573" s="461" t="s">
        <v>174</v>
      </c>
    </row>
    <row r="1574" spans="1:5" ht="27" x14ac:dyDescent="0.25">
      <c r="A1574" s="508">
        <v>100357</v>
      </c>
      <c r="B1574" s="509" t="s">
        <v>1288</v>
      </c>
      <c r="C1574" s="508" t="s">
        <v>107</v>
      </c>
      <c r="D1574" s="508">
        <v>1160.5</v>
      </c>
      <c r="E1574" s="461" t="s">
        <v>174</v>
      </c>
    </row>
    <row r="1575" spans="1:5" ht="27" x14ac:dyDescent="0.25">
      <c r="A1575" s="508">
        <v>100358</v>
      </c>
      <c r="B1575" s="509" t="s">
        <v>1289</v>
      </c>
      <c r="C1575" s="508" t="s">
        <v>107</v>
      </c>
      <c r="D1575" s="508">
        <v>1580.78</v>
      </c>
      <c r="E1575" s="461" t="s">
        <v>174</v>
      </c>
    </row>
    <row r="1576" spans="1:5" ht="27" x14ac:dyDescent="0.25">
      <c r="A1576" s="508">
        <v>100359</v>
      </c>
      <c r="B1576" s="509" t="s">
        <v>1290</v>
      </c>
      <c r="C1576" s="508" t="s">
        <v>107</v>
      </c>
      <c r="D1576" s="508">
        <v>1660.33</v>
      </c>
      <c r="E1576" s="461" t="s">
        <v>174</v>
      </c>
    </row>
    <row r="1577" spans="1:5" ht="27" x14ac:dyDescent="0.25">
      <c r="A1577" s="508">
        <v>100360</v>
      </c>
      <c r="B1577" s="509" t="s">
        <v>1291</v>
      </c>
      <c r="C1577" s="508" t="s">
        <v>107</v>
      </c>
      <c r="D1577" s="508">
        <v>1841.88</v>
      </c>
      <c r="E1577" s="461" t="s">
        <v>174</v>
      </c>
    </row>
    <row r="1578" spans="1:5" ht="27" x14ac:dyDescent="0.25">
      <c r="A1578" s="508">
        <v>100361</v>
      </c>
      <c r="B1578" s="509" t="s">
        <v>1292</v>
      </c>
      <c r="C1578" s="508" t="s">
        <v>107</v>
      </c>
      <c r="D1578" s="508">
        <v>2296.02</v>
      </c>
      <c r="E1578" s="461" t="s">
        <v>174</v>
      </c>
    </row>
    <row r="1579" spans="1:5" ht="27" x14ac:dyDescent="0.25">
      <c r="A1579" s="508">
        <v>100362</v>
      </c>
      <c r="B1579" s="509" t="s">
        <v>1293</v>
      </c>
      <c r="C1579" s="508" t="s">
        <v>107</v>
      </c>
      <c r="D1579" s="508">
        <v>2952.46</v>
      </c>
      <c r="E1579" s="461" t="s">
        <v>174</v>
      </c>
    </row>
    <row r="1580" spans="1:5" ht="27" x14ac:dyDescent="0.25">
      <c r="A1580" s="508">
        <v>100363</v>
      </c>
      <c r="B1580" s="509" t="s">
        <v>1294</v>
      </c>
      <c r="C1580" s="508" t="s">
        <v>107</v>
      </c>
      <c r="D1580" s="508">
        <v>3049.61</v>
      </c>
      <c r="E1580" s="461" t="s">
        <v>174</v>
      </c>
    </row>
    <row r="1581" spans="1:5" ht="27" x14ac:dyDescent="0.25">
      <c r="A1581" s="508">
        <v>100364</v>
      </c>
      <c r="B1581" s="509" t="s">
        <v>1295</v>
      </c>
      <c r="C1581" s="508" t="s">
        <v>107</v>
      </c>
      <c r="D1581" s="508">
        <v>3319.45</v>
      </c>
      <c r="E1581" s="461" t="s">
        <v>174</v>
      </c>
    </row>
    <row r="1582" spans="1:5" ht="27" x14ac:dyDescent="0.25">
      <c r="A1582" s="508">
        <v>100365</v>
      </c>
      <c r="B1582" s="509" t="s">
        <v>1296</v>
      </c>
      <c r="C1582" s="508" t="s">
        <v>107</v>
      </c>
      <c r="D1582" s="508">
        <v>3832.41</v>
      </c>
      <c r="E1582" s="461" t="s">
        <v>174</v>
      </c>
    </row>
    <row r="1583" spans="1:5" ht="27" x14ac:dyDescent="0.25">
      <c r="A1583" s="508">
        <v>100366</v>
      </c>
      <c r="B1583" s="509" t="s">
        <v>1297</v>
      </c>
      <c r="C1583" s="508" t="s">
        <v>107</v>
      </c>
      <c r="D1583" s="508">
        <v>4093.68</v>
      </c>
      <c r="E1583" s="461" t="s">
        <v>174</v>
      </c>
    </row>
    <row r="1584" spans="1:5" ht="40.5" x14ac:dyDescent="0.25">
      <c r="A1584" s="508">
        <v>100367</v>
      </c>
      <c r="B1584" s="509" t="s">
        <v>1298</v>
      </c>
      <c r="C1584" s="508" t="s">
        <v>107</v>
      </c>
      <c r="D1584" s="508">
        <v>1129.96</v>
      </c>
      <c r="E1584" s="461" t="s">
        <v>174</v>
      </c>
    </row>
    <row r="1585" spans="1:5" ht="40.5" x14ac:dyDescent="0.25">
      <c r="A1585" s="508">
        <v>100368</v>
      </c>
      <c r="B1585" s="509" t="s">
        <v>1299</v>
      </c>
      <c r="C1585" s="508" t="s">
        <v>107</v>
      </c>
      <c r="D1585" s="508">
        <v>1543.1</v>
      </c>
      <c r="E1585" s="461" t="s">
        <v>174</v>
      </c>
    </row>
    <row r="1586" spans="1:5" ht="40.5" x14ac:dyDescent="0.25">
      <c r="A1586" s="508">
        <v>100369</v>
      </c>
      <c r="B1586" s="509" t="s">
        <v>1300</v>
      </c>
      <c r="C1586" s="508" t="s">
        <v>107</v>
      </c>
      <c r="D1586" s="508">
        <v>1622.65</v>
      </c>
      <c r="E1586" s="461" t="s">
        <v>174</v>
      </c>
    </row>
    <row r="1587" spans="1:5" ht="40.5" x14ac:dyDescent="0.25">
      <c r="A1587" s="508">
        <v>100370</v>
      </c>
      <c r="B1587" s="509" t="s">
        <v>1301</v>
      </c>
      <c r="C1587" s="508" t="s">
        <v>107</v>
      </c>
      <c r="D1587" s="508">
        <v>1920.9</v>
      </c>
      <c r="E1587" s="461" t="s">
        <v>174</v>
      </c>
    </row>
    <row r="1588" spans="1:5" ht="40.5" x14ac:dyDescent="0.25">
      <c r="A1588" s="508">
        <v>100371</v>
      </c>
      <c r="B1588" s="509" t="s">
        <v>1302</v>
      </c>
      <c r="C1588" s="508" t="s">
        <v>107</v>
      </c>
      <c r="D1588" s="508">
        <v>2195.52</v>
      </c>
      <c r="E1588" s="461" t="s">
        <v>174</v>
      </c>
    </row>
    <row r="1589" spans="1:5" ht="40.5" x14ac:dyDescent="0.25">
      <c r="A1589" s="508">
        <v>100372</v>
      </c>
      <c r="B1589" s="509" t="s">
        <v>1303</v>
      </c>
      <c r="C1589" s="508" t="s">
        <v>107</v>
      </c>
      <c r="D1589" s="508">
        <v>2780.29</v>
      </c>
      <c r="E1589" s="461" t="s">
        <v>174</v>
      </c>
    </row>
    <row r="1590" spans="1:5" ht="40.5" x14ac:dyDescent="0.25">
      <c r="A1590" s="508">
        <v>100373</v>
      </c>
      <c r="B1590" s="509" t="s">
        <v>1304</v>
      </c>
      <c r="C1590" s="508" t="s">
        <v>107</v>
      </c>
      <c r="D1590" s="508">
        <v>2876.68</v>
      </c>
      <c r="E1590" s="461" t="s">
        <v>174</v>
      </c>
    </row>
    <row r="1591" spans="1:5" ht="40.5" x14ac:dyDescent="0.25">
      <c r="A1591" s="508">
        <v>100374</v>
      </c>
      <c r="B1591" s="509" t="s">
        <v>1305</v>
      </c>
      <c r="C1591" s="508" t="s">
        <v>107</v>
      </c>
      <c r="D1591" s="508">
        <v>3091.72</v>
      </c>
      <c r="E1591" s="461" t="s">
        <v>174</v>
      </c>
    </row>
    <row r="1592" spans="1:5" ht="40.5" x14ac:dyDescent="0.25">
      <c r="A1592" s="508">
        <v>100375</v>
      </c>
      <c r="B1592" s="509" t="s">
        <v>1306</v>
      </c>
      <c r="C1592" s="508" t="s">
        <v>107</v>
      </c>
      <c r="D1592" s="508">
        <v>3493.05</v>
      </c>
      <c r="E1592" s="461" t="s">
        <v>174</v>
      </c>
    </row>
    <row r="1593" spans="1:5" ht="40.5" x14ac:dyDescent="0.25">
      <c r="A1593" s="508">
        <v>100376</v>
      </c>
      <c r="B1593" s="509" t="s">
        <v>1307</v>
      </c>
      <c r="C1593" s="508" t="s">
        <v>107</v>
      </c>
      <c r="D1593" s="508">
        <v>3418.85</v>
      </c>
      <c r="E1593" s="461" t="s">
        <v>174</v>
      </c>
    </row>
    <row r="1594" spans="1:5" ht="27" x14ac:dyDescent="0.25">
      <c r="A1594" s="508">
        <v>100377</v>
      </c>
      <c r="B1594" s="509" t="s">
        <v>1529</v>
      </c>
      <c r="C1594" s="508" t="s">
        <v>106</v>
      </c>
      <c r="D1594" s="508">
        <v>11.54</v>
      </c>
      <c r="E1594" s="461" t="s">
        <v>174</v>
      </c>
    </row>
    <row r="1595" spans="1:5" ht="27" x14ac:dyDescent="0.25">
      <c r="A1595" s="508">
        <v>100378</v>
      </c>
      <c r="B1595" s="509" t="s">
        <v>1530</v>
      </c>
      <c r="C1595" s="508" t="s">
        <v>106</v>
      </c>
      <c r="D1595" s="508">
        <v>10.69</v>
      </c>
      <c r="E1595" s="461" t="s">
        <v>174</v>
      </c>
    </row>
    <row r="1596" spans="1:5" ht="40.5" x14ac:dyDescent="0.25">
      <c r="A1596" s="508">
        <v>100382</v>
      </c>
      <c r="B1596" s="509" t="s">
        <v>1308</v>
      </c>
      <c r="C1596" s="508" t="s">
        <v>150</v>
      </c>
      <c r="D1596" s="508">
        <v>25.59</v>
      </c>
      <c r="E1596" s="461" t="s">
        <v>174</v>
      </c>
    </row>
    <row r="1597" spans="1:5" ht="40.5" x14ac:dyDescent="0.25">
      <c r="A1597" s="508">
        <v>104314</v>
      </c>
      <c r="B1597" s="509" t="s">
        <v>5179</v>
      </c>
      <c r="C1597" s="508" t="s">
        <v>106</v>
      </c>
      <c r="D1597" s="508">
        <v>10.88</v>
      </c>
      <c r="E1597" s="461" t="s">
        <v>174</v>
      </c>
    </row>
    <row r="1598" spans="1:5" ht="27" x14ac:dyDescent="0.25">
      <c r="A1598" s="508">
        <v>94444</v>
      </c>
      <c r="B1598" s="509" t="s">
        <v>1309</v>
      </c>
      <c r="C1598" s="508" t="s">
        <v>150</v>
      </c>
      <c r="D1598" s="510">
        <v>868.26</v>
      </c>
      <c r="E1598" s="461" t="s">
        <v>174</v>
      </c>
    </row>
    <row r="1599" spans="1:5" ht="15" x14ac:dyDescent="0.25">
      <c r="A1599" s="508">
        <v>104482</v>
      </c>
      <c r="B1599" s="509" t="s">
        <v>5180</v>
      </c>
      <c r="C1599" s="508" t="s">
        <v>160</v>
      </c>
      <c r="D1599" s="508">
        <v>32.43</v>
      </c>
      <c r="E1599" s="461" t="s">
        <v>1497</v>
      </c>
    </row>
    <row r="1600" spans="1:5" ht="27" x14ac:dyDescent="0.25">
      <c r="A1600" s="508">
        <v>104184</v>
      </c>
      <c r="B1600" s="509" t="s">
        <v>5181</v>
      </c>
      <c r="C1600" s="508" t="s">
        <v>107</v>
      </c>
      <c r="D1600" s="508">
        <v>41.55</v>
      </c>
      <c r="E1600" s="461" t="s">
        <v>174</v>
      </c>
    </row>
    <row r="1601" spans="1:5" ht="40.5" x14ac:dyDescent="0.25">
      <c r="A1601" s="508">
        <v>104185</v>
      </c>
      <c r="B1601" s="509" t="s">
        <v>5182</v>
      </c>
      <c r="C1601" s="508" t="s">
        <v>107</v>
      </c>
      <c r="D1601" s="508">
        <v>27.32</v>
      </c>
      <c r="E1601" s="461" t="s">
        <v>174</v>
      </c>
    </row>
    <row r="1602" spans="1:5" ht="27" x14ac:dyDescent="0.25">
      <c r="A1602" s="508">
        <v>104189</v>
      </c>
      <c r="B1602" s="509" t="s">
        <v>5183</v>
      </c>
      <c r="C1602" s="508" t="s">
        <v>163</v>
      </c>
      <c r="D1602" s="508">
        <v>264.43</v>
      </c>
      <c r="E1602" s="461" t="s">
        <v>174</v>
      </c>
    </row>
    <row r="1603" spans="1:5" ht="27" x14ac:dyDescent="0.25">
      <c r="A1603" s="508">
        <v>104190</v>
      </c>
      <c r="B1603" s="509" t="s">
        <v>5184</v>
      </c>
      <c r="C1603" s="508" t="s">
        <v>107</v>
      </c>
      <c r="D1603" s="508">
        <v>719.24</v>
      </c>
      <c r="E1603" s="461" t="s">
        <v>174</v>
      </c>
    </row>
    <row r="1604" spans="1:5" ht="27" x14ac:dyDescent="0.25">
      <c r="A1604" s="508">
        <v>102661</v>
      </c>
      <c r="B1604" s="509" t="s">
        <v>3667</v>
      </c>
      <c r="C1604" s="508" t="s">
        <v>5</v>
      </c>
      <c r="D1604" s="508">
        <v>54.35</v>
      </c>
      <c r="E1604" s="461" t="s">
        <v>174</v>
      </c>
    </row>
    <row r="1605" spans="1:5" ht="27" x14ac:dyDescent="0.25">
      <c r="A1605" s="508">
        <v>102662</v>
      </c>
      <c r="B1605" s="509" t="s">
        <v>5185</v>
      </c>
      <c r="C1605" s="508" t="s">
        <v>5</v>
      </c>
      <c r="D1605" s="508">
        <v>96.76</v>
      </c>
      <c r="E1605" s="461" t="s">
        <v>174</v>
      </c>
    </row>
    <row r="1606" spans="1:5" ht="27" x14ac:dyDescent="0.25">
      <c r="A1606" s="508">
        <v>102663</v>
      </c>
      <c r="B1606" s="509" t="s">
        <v>3668</v>
      </c>
      <c r="C1606" s="508" t="s">
        <v>5</v>
      </c>
      <c r="D1606" s="508">
        <v>74.62</v>
      </c>
      <c r="E1606" s="461" t="s">
        <v>174</v>
      </c>
    </row>
    <row r="1607" spans="1:5" ht="27" x14ac:dyDescent="0.25">
      <c r="A1607" s="508">
        <v>102664</v>
      </c>
      <c r="B1607" s="509" t="s">
        <v>3669</v>
      </c>
      <c r="C1607" s="508" t="s">
        <v>5</v>
      </c>
      <c r="D1607" s="508">
        <v>58.55</v>
      </c>
      <c r="E1607" s="461" t="s">
        <v>174</v>
      </c>
    </row>
    <row r="1608" spans="1:5" ht="15" x14ac:dyDescent="0.25">
      <c r="A1608" s="508">
        <v>102665</v>
      </c>
      <c r="B1608" s="509" t="s">
        <v>3670</v>
      </c>
      <c r="C1608" s="508" t="s">
        <v>5</v>
      </c>
      <c r="D1608" s="508">
        <v>38.549999999999997</v>
      </c>
      <c r="E1608" s="461" t="s">
        <v>174</v>
      </c>
    </row>
    <row r="1609" spans="1:5" ht="27" x14ac:dyDescent="0.25">
      <c r="A1609" s="508">
        <v>102666</v>
      </c>
      <c r="B1609" s="509" t="s">
        <v>3671</v>
      </c>
      <c r="C1609" s="508" t="s">
        <v>5</v>
      </c>
      <c r="D1609" s="508">
        <v>70.3</v>
      </c>
      <c r="E1609" s="461" t="s">
        <v>174</v>
      </c>
    </row>
    <row r="1610" spans="1:5" ht="27" x14ac:dyDescent="0.25">
      <c r="A1610" s="508">
        <v>102668</v>
      </c>
      <c r="B1610" s="509" t="s">
        <v>5186</v>
      </c>
      <c r="C1610" s="508" t="s">
        <v>5</v>
      </c>
      <c r="D1610" s="508">
        <v>112.7</v>
      </c>
      <c r="E1610" s="461" t="s">
        <v>174</v>
      </c>
    </row>
    <row r="1611" spans="1:5" ht="27" x14ac:dyDescent="0.25">
      <c r="A1611" s="508">
        <v>102669</v>
      </c>
      <c r="B1611" s="509" t="s">
        <v>3672</v>
      </c>
      <c r="C1611" s="508" t="s">
        <v>5</v>
      </c>
      <c r="D1611" s="508">
        <v>91.2</v>
      </c>
      <c r="E1611" s="461" t="s">
        <v>174</v>
      </c>
    </row>
    <row r="1612" spans="1:5" ht="27" x14ac:dyDescent="0.25">
      <c r="A1612" s="508">
        <v>102670</v>
      </c>
      <c r="B1612" s="509" t="s">
        <v>3673</v>
      </c>
      <c r="C1612" s="508" t="s">
        <v>5</v>
      </c>
      <c r="D1612" s="508">
        <v>177.88</v>
      </c>
      <c r="E1612" s="461" t="s">
        <v>174</v>
      </c>
    </row>
    <row r="1613" spans="1:5" ht="27" x14ac:dyDescent="0.25">
      <c r="A1613" s="508">
        <v>102672</v>
      </c>
      <c r="B1613" s="509" t="s">
        <v>5187</v>
      </c>
      <c r="C1613" s="508" t="s">
        <v>5</v>
      </c>
      <c r="D1613" s="508">
        <v>234.19</v>
      </c>
      <c r="E1613" s="461" t="s">
        <v>174</v>
      </c>
    </row>
    <row r="1614" spans="1:5" ht="27" x14ac:dyDescent="0.25">
      <c r="A1614" s="508">
        <v>102673</v>
      </c>
      <c r="B1614" s="509" t="s">
        <v>3674</v>
      </c>
      <c r="C1614" s="508" t="s">
        <v>5</v>
      </c>
      <c r="D1614" s="508">
        <v>224.94</v>
      </c>
      <c r="E1614" s="461" t="s">
        <v>174</v>
      </c>
    </row>
    <row r="1615" spans="1:5" ht="27" x14ac:dyDescent="0.25">
      <c r="A1615" s="508">
        <v>102674</v>
      </c>
      <c r="B1615" s="509" t="s">
        <v>3675</v>
      </c>
      <c r="C1615" s="508" t="s">
        <v>5</v>
      </c>
      <c r="D1615" s="508">
        <v>199.38</v>
      </c>
      <c r="E1615" s="461" t="s">
        <v>174</v>
      </c>
    </row>
    <row r="1616" spans="1:5" ht="27" x14ac:dyDescent="0.25">
      <c r="A1616" s="508">
        <v>102676</v>
      </c>
      <c r="B1616" s="509" t="s">
        <v>5188</v>
      </c>
      <c r="C1616" s="508" t="s">
        <v>5</v>
      </c>
      <c r="D1616" s="508">
        <v>245.16</v>
      </c>
      <c r="E1616" s="461" t="s">
        <v>174</v>
      </c>
    </row>
    <row r="1617" spans="1:5" ht="27" x14ac:dyDescent="0.25">
      <c r="A1617" s="508">
        <v>102677</v>
      </c>
      <c r="B1617" s="509" t="s">
        <v>3676</v>
      </c>
      <c r="C1617" s="508" t="s">
        <v>5</v>
      </c>
      <c r="D1617" s="508">
        <v>225.56</v>
      </c>
      <c r="E1617" s="461" t="s">
        <v>174</v>
      </c>
    </row>
    <row r="1618" spans="1:5" ht="27" x14ac:dyDescent="0.25">
      <c r="A1618" s="508">
        <v>102678</v>
      </c>
      <c r="B1618" s="509" t="s">
        <v>3677</v>
      </c>
      <c r="C1618" s="508" t="s">
        <v>5</v>
      </c>
      <c r="D1618" s="508">
        <v>183.18</v>
      </c>
      <c r="E1618" s="461" t="s">
        <v>174</v>
      </c>
    </row>
    <row r="1619" spans="1:5" ht="27" x14ac:dyDescent="0.25">
      <c r="A1619" s="508">
        <v>102679</v>
      </c>
      <c r="B1619" s="509" t="s">
        <v>3678</v>
      </c>
      <c r="C1619" s="508" t="s">
        <v>5</v>
      </c>
      <c r="D1619" s="508">
        <v>206.72</v>
      </c>
      <c r="E1619" s="461" t="s">
        <v>174</v>
      </c>
    </row>
    <row r="1620" spans="1:5" ht="40.5" x14ac:dyDescent="0.25">
      <c r="A1620" s="508">
        <v>102680</v>
      </c>
      <c r="B1620" s="509" t="s">
        <v>3679</v>
      </c>
      <c r="C1620" s="508" t="s">
        <v>5</v>
      </c>
      <c r="D1620" s="508">
        <v>196.15</v>
      </c>
      <c r="E1620" s="461" t="s">
        <v>174</v>
      </c>
    </row>
    <row r="1621" spans="1:5" ht="40.5" x14ac:dyDescent="0.25">
      <c r="A1621" s="508">
        <v>102681</v>
      </c>
      <c r="B1621" s="509" t="s">
        <v>5189</v>
      </c>
      <c r="C1621" s="508" t="s">
        <v>5</v>
      </c>
      <c r="D1621" s="508">
        <v>241.93</v>
      </c>
      <c r="E1621" s="461" t="s">
        <v>174</v>
      </c>
    </row>
    <row r="1622" spans="1:5" ht="27" x14ac:dyDescent="0.25">
      <c r="A1622" s="508">
        <v>102683</v>
      </c>
      <c r="B1622" s="509" t="s">
        <v>3680</v>
      </c>
      <c r="C1622" s="508" t="s">
        <v>5</v>
      </c>
      <c r="D1622" s="508">
        <v>228.18</v>
      </c>
      <c r="E1622" s="461" t="s">
        <v>174</v>
      </c>
    </row>
    <row r="1623" spans="1:5" ht="27" x14ac:dyDescent="0.25">
      <c r="A1623" s="508">
        <v>102684</v>
      </c>
      <c r="B1623" s="509" t="s">
        <v>3681</v>
      </c>
      <c r="C1623" s="508" t="s">
        <v>5</v>
      </c>
      <c r="D1623" s="508">
        <v>219.67</v>
      </c>
      <c r="E1623" s="461" t="s">
        <v>174</v>
      </c>
    </row>
    <row r="1624" spans="1:5" ht="27" x14ac:dyDescent="0.25">
      <c r="A1624" s="508">
        <v>102685</v>
      </c>
      <c r="B1624" s="509" t="s">
        <v>5190</v>
      </c>
      <c r="C1624" s="508" t="s">
        <v>5</v>
      </c>
      <c r="D1624" s="508">
        <v>265.45999999999998</v>
      </c>
      <c r="E1624" s="461" t="s">
        <v>174</v>
      </c>
    </row>
    <row r="1625" spans="1:5" ht="27" x14ac:dyDescent="0.25">
      <c r="A1625" s="508">
        <v>102687</v>
      </c>
      <c r="B1625" s="509" t="s">
        <v>3682</v>
      </c>
      <c r="C1625" s="508" t="s">
        <v>5</v>
      </c>
      <c r="D1625" s="510">
        <v>246.49</v>
      </c>
      <c r="E1625" s="461" t="s">
        <v>174</v>
      </c>
    </row>
    <row r="1626" spans="1:5" ht="27" x14ac:dyDescent="0.25">
      <c r="A1626" s="508">
        <v>102688</v>
      </c>
      <c r="B1626" s="509" t="s">
        <v>5191</v>
      </c>
      <c r="C1626" s="508" t="s">
        <v>5</v>
      </c>
      <c r="D1626" s="510">
        <v>60.27</v>
      </c>
      <c r="E1626" s="461" t="s">
        <v>174</v>
      </c>
    </row>
    <row r="1627" spans="1:5" ht="27" x14ac:dyDescent="0.25">
      <c r="A1627" s="508">
        <v>102689</v>
      </c>
      <c r="B1627" s="509" t="s">
        <v>5192</v>
      </c>
      <c r="C1627" s="508" t="s">
        <v>5</v>
      </c>
      <c r="D1627" s="510">
        <v>100.1</v>
      </c>
      <c r="E1627" s="461" t="s">
        <v>174</v>
      </c>
    </row>
    <row r="1628" spans="1:5" ht="40.5" x14ac:dyDescent="0.25">
      <c r="A1628" s="508">
        <v>102690</v>
      </c>
      <c r="B1628" s="509" t="s">
        <v>3683</v>
      </c>
      <c r="C1628" s="508" t="s">
        <v>5</v>
      </c>
      <c r="D1628" s="508">
        <v>76.209999999999994</v>
      </c>
      <c r="E1628" s="461" t="s">
        <v>174</v>
      </c>
    </row>
    <row r="1629" spans="1:5" ht="40.5" x14ac:dyDescent="0.25">
      <c r="A1629" s="508">
        <v>102693</v>
      </c>
      <c r="B1629" s="509" t="s">
        <v>5193</v>
      </c>
      <c r="C1629" s="508" t="s">
        <v>5</v>
      </c>
      <c r="D1629" s="510">
        <v>116.05</v>
      </c>
      <c r="E1629" s="461" t="s">
        <v>174</v>
      </c>
    </row>
    <row r="1630" spans="1:5" ht="27" x14ac:dyDescent="0.25">
      <c r="A1630" s="508">
        <v>102694</v>
      </c>
      <c r="B1630" s="509" t="s">
        <v>5194</v>
      </c>
      <c r="C1630" s="508" t="s">
        <v>5</v>
      </c>
      <c r="D1630" s="510">
        <v>122.67</v>
      </c>
      <c r="E1630" s="461" t="s">
        <v>174</v>
      </c>
    </row>
    <row r="1631" spans="1:5" ht="27" x14ac:dyDescent="0.25">
      <c r="A1631" s="508">
        <v>102696</v>
      </c>
      <c r="B1631" s="509" t="s">
        <v>5195</v>
      </c>
      <c r="C1631" s="508" t="s">
        <v>5</v>
      </c>
      <c r="D1631" s="510">
        <v>162.61000000000001</v>
      </c>
      <c r="E1631" s="461" t="s">
        <v>174</v>
      </c>
    </row>
    <row r="1632" spans="1:5" ht="40.5" x14ac:dyDescent="0.25">
      <c r="A1632" s="508">
        <v>102697</v>
      </c>
      <c r="B1632" s="509" t="s">
        <v>5196</v>
      </c>
      <c r="C1632" s="508" t="s">
        <v>5</v>
      </c>
      <c r="D1632" s="510">
        <v>139.66</v>
      </c>
      <c r="E1632" s="461" t="s">
        <v>174</v>
      </c>
    </row>
    <row r="1633" spans="1:5" ht="40.5" x14ac:dyDescent="0.25">
      <c r="A1633" s="508">
        <v>102703</v>
      </c>
      <c r="B1633" s="509" t="s">
        <v>5197</v>
      </c>
      <c r="C1633" s="508" t="s">
        <v>5</v>
      </c>
      <c r="D1633" s="510">
        <v>179.61</v>
      </c>
      <c r="E1633" s="461" t="s">
        <v>174</v>
      </c>
    </row>
    <row r="1634" spans="1:5" ht="27" x14ac:dyDescent="0.25">
      <c r="A1634" s="508">
        <v>102704</v>
      </c>
      <c r="B1634" s="509" t="s">
        <v>3684</v>
      </c>
      <c r="C1634" s="508" t="s">
        <v>5</v>
      </c>
      <c r="D1634" s="510">
        <v>13.18</v>
      </c>
      <c r="E1634" s="461" t="s">
        <v>174</v>
      </c>
    </row>
    <row r="1635" spans="1:5" ht="27" x14ac:dyDescent="0.25">
      <c r="A1635" s="508">
        <v>102705</v>
      </c>
      <c r="B1635" s="509" t="s">
        <v>5198</v>
      </c>
      <c r="C1635" s="508" t="s">
        <v>5</v>
      </c>
      <c r="D1635" s="510">
        <v>51.83</v>
      </c>
      <c r="E1635" s="461" t="s">
        <v>174</v>
      </c>
    </row>
    <row r="1636" spans="1:5" ht="27" x14ac:dyDescent="0.25">
      <c r="A1636" s="508">
        <v>102707</v>
      </c>
      <c r="B1636" s="509" t="s">
        <v>3685</v>
      </c>
      <c r="C1636" s="508" t="s">
        <v>5</v>
      </c>
      <c r="D1636" s="510">
        <v>39.99</v>
      </c>
      <c r="E1636" s="461" t="s">
        <v>174</v>
      </c>
    </row>
    <row r="1637" spans="1:5" ht="27" x14ac:dyDescent="0.25">
      <c r="A1637" s="508">
        <v>102708</v>
      </c>
      <c r="B1637" s="509" t="s">
        <v>3686</v>
      </c>
      <c r="C1637" s="508" t="s">
        <v>107</v>
      </c>
      <c r="D1637" s="510">
        <v>24.84</v>
      </c>
      <c r="E1637" s="461" t="s">
        <v>174</v>
      </c>
    </row>
    <row r="1638" spans="1:5" ht="27" x14ac:dyDescent="0.25">
      <c r="A1638" s="508">
        <v>102710</v>
      </c>
      <c r="B1638" s="509" t="s">
        <v>3687</v>
      </c>
      <c r="C1638" s="508" t="s">
        <v>107</v>
      </c>
      <c r="D1638" s="510">
        <v>58.84</v>
      </c>
      <c r="E1638" s="461" t="s">
        <v>174</v>
      </c>
    </row>
    <row r="1639" spans="1:5" ht="27" x14ac:dyDescent="0.25">
      <c r="A1639" s="508">
        <v>102711</v>
      </c>
      <c r="B1639" s="509" t="s">
        <v>3688</v>
      </c>
      <c r="C1639" s="508" t="s">
        <v>107</v>
      </c>
      <c r="D1639" s="510">
        <v>73.81</v>
      </c>
      <c r="E1639" s="461" t="s">
        <v>174</v>
      </c>
    </row>
    <row r="1640" spans="1:5" ht="27" x14ac:dyDescent="0.25">
      <c r="A1640" s="508">
        <v>102712</v>
      </c>
      <c r="B1640" s="509" t="s">
        <v>3689</v>
      </c>
      <c r="C1640" s="508" t="s">
        <v>150</v>
      </c>
      <c r="D1640" s="510">
        <v>7.86</v>
      </c>
      <c r="E1640" s="461" t="s">
        <v>174</v>
      </c>
    </row>
    <row r="1641" spans="1:5" ht="27" x14ac:dyDescent="0.25">
      <c r="A1641" s="508">
        <v>102713</v>
      </c>
      <c r="B1641" s="509" t="s">
        <v>3690</v>
      </c>
      <c r="C1641" s="508" t="s">
        <v>150</v>
      </c>
      <c r="D1641" s="510">
        <v>10.75</v>
      </c>
      <c r="E1641" s="461" t="s">
        <v>174</v>
      </c>
    </row>
    <row r="1642" spans="1:5" ht="27" x14ac:dyDescent="0.25">
      <c r="A1642" s="508">
        <v>102715</v>
      </c>
      <c r="B1642" s="509" t="s">
        <v>3691</v>
      </c>
      <c r="C1642" s="508" t="s">
        <v>150</v>
      </c>
      <c r="D1642" s="508">
        <v>21.17</v>
      </c>
      <c r="E1642" s="461" t="s">
        <v>174</v>
      </c>
    </row>
    <row r="1643" spans="1:5" ht="15" x14ac:dyDescent="0.25">
      <c r="A1643" s="508">
        <v>102716</v>
      </c>
      <c r="B1643" s="509" t="s">
        <v>3692</v>
      </c>
      <c r="C1643" s="508" t="s">
        <v>163</v>
      </c>
      <c r="D1643" s="508">
        <v>247.4</v>
      </c>
      <c r="E1643" s="461" t="s">
        <v>174</v>
      </c>
    </row>
    <row r="1644" spans="1:5" ht="15" x14ac:dyDescent="0.25">
      <c r="A1644" s="508">
        <v>102717</v>
      </c>
      <c r="B1644" s="509" t="s">
        <v>3693</v>
      </c>
      <c r="C1644" s="508" t="s">
        <v>163</v>
      </c>
      <c r="D1644" s="510">
        <v>220.72</v>
      </c>
      <c r="E1644" s="461" t="s">
        <v>174</v>
      </c>
    </row>
    <row r="1645" spans="1:5" ht="15" x14ac:dyDescent="0.25">
      <c r="A1645" s="508">
        <v>102718</v>
      </c>
      <c r="B1645" s="509" t="s">
        <v>3694</v>
      </c>
      <c r="C1645" s="508" t="s">
        <v>163</v>
      </c>
      <c r="D1645" s="510">
        <v>260.45999999999998</v>
      </c>
      <c r="E1645" s="461" t="s">
        <v>174</v>
      </c>
    </row>
    <row r="1646" spans="1:5" ht="15" x14ac:dyDescent="0.25">
      <c r="A1646" s="508">
        <v>102719</v>
      </c>
      <c r="B1646" s="509" t="s">
        <v>3695</v>
      </c>
      <c r="C1646" s="508" t="s">
        <v>163</v>
      </c>
      <c r="D1646" s="508">
        <v>233.78</v>
      </c>
      <c r="E1646" s="461" t="s">
        <v>174</v>
      </c>
    </row>
    <row r="1647" spans="1:5" ht="27" x14ac:dyDescent="0.25">
      <c r="A1647" s="508">
        <v>102722</v>
      </c>
      <c r="B1647" s="509" t="s">
        <v>3696</v>
      </c>
      <c r="C1647" s="508" t="s">
        <v>5</v>
      </c>
      <c r="D1647" s="510">
        <v>59.24</v>
      </c>
      <c r="E1647" s="461" t="s">
        <v>174</v>
      </c>
    </row>
    <row r="1648" spans="1:5" ht="27" x14ac:dyDescent="0.25">
      <c r="A1648" s="508">
        <v>102723</v>
      </c>
      <c r="B1648" s="509" t="s">
        <v>5199</v>
      </c>
      <c r="C1648" s="508" t="s">
        <v>5</v>
      </c>
      <c r="D1648" s="510">
        <v>97.89</v>
      </c>
      <c r="E1648" s="461" t="s">
        <v>174</v>
      </c>
    </row>
    <row r="1649" spans="1:5" ht="15" x14ac:dyDescent="0.25">
      <c r="A1649" s="508">
        <v>102724</v>
      </c>
      <c r="B1649" s="509" t="s">
        <v>3697</v>
      </c>
      <c r="C1649" s="508" t="s">
        <v>107</v>
      </c>
      <c r="D1649" s="508">
        <v>30.23</v>
      </c>
      <c r="E1649" s="461" t="s">
        <v>174</v>
      </c>
    </row>
    <row r="1650" spans="1:5" ht="15" x14ac:dyDescent="0.25">
      <c r="A1650" s="508">
        <v>102725</v>
      </c>
      <c r="B1650" s="509" t="s">
        <v>3698</v>
      </c>
      <c r="C1650" s="508" t="s">
        <v>107</v>
      </c>
      <c r="D1650" s="510">
        <v>29.79</v>
      </c>
      <c r="E1650" s="461" t="s">
        <v>174</v>
      </c>
    </row>
    <row r="1651" spans="1:5" ht="15" x14ac:dyDescent="0.25">
      <c r="A1651" s="508">
        <v>102726</v>
      </c>
      <c r="B1651" s="509" t="s">
        <v>3699</v>
      </c>
      <c r="C1651" s="508" t="s">
        <v>107</v>
      </c>
      <c r="D1651" s="508">
        <v>28.25</v>
      </c>
      <c r="E1651" s="461" t="s">
        <v>174</v>
      </c>
    </row>
    <row r="1652" spans="1:5" ht="27" x14ac:dyDescent="0.25">
      <c r="A1652" s="508">
        <v>103653</v>
      </c>
      <c r="B1652" s="509" t="s">
        <v>4371</v>
      </c>
      <c r="C1652" s="508" t="s">
        <v>150</v>
      </c>
      <c r="D1652" s="510">
        <v>25.26</v>
      </c>
      <c r="E1652" s="461" t="s">
        <v>174</v>
      </c>
    </row>
    <row r="1653" spans="1:5" ht="40.5" x14ac:dyDescent="0.25">
      <c r="A1653" s="508">
        <v>92743</v>
      </c>
      <c r="B1653" s="509" t="s">
        <v>5200</v>
      </c>
      <c r="C1653" s="508" t="s">
        <v>163</v>
      </c>
      <c r="D1653" s="510">
        <v>686.87</v>
      </c>
      <c r="E1653" s="461" t="s">
        <v>174</v>
      </c>
    </row>
    <row r="1654" spans="1:5" ht="40.5" x14ac:dyDescent="0.25">
      <c r="A1654" s="508">
        <v>92744</v>
      </c>
      <c r="B1654" s="509" t="s">
        <v>5201</v>
      </c>
      <c r="C1654" s="508" t="s">
        <v>163</v>
      </c>
      <c r="D1654" s="508">
        <v>620.5</v>
      </c>
      <c r="E1654" s="461" t="s">
        <v>174</v>
      </c>
    </row>
    <row r="1655" spans="1:5" ht="40.5" x14ac:dyDescent="0.25">
      <c r="A1655" s="508">
        <v>92745</v>
      </c>
      <c r="B1655" s="509" t="s">
        <v>5202</v>
      </c>
      <c r="C1655" s="508" t="s">
        <v>163</v>
      </c>
      <c r="D1655" s="510">
        <v>801.37</v>
      </c>
      <c r="E1655" s="461" t="s">
        <v>174</v>
      </c>
    </row>
    <row r="1656" spans="1:5" ht="40.5" x14ac:dyDescent="0.25">
      <c r="A1656" s="508">
        <v>92746</v>
      </c>
      <c r="B1656" s="509" t="s">
        <v>5203</v>
      </c>
      <c r="C1656" s="508" t="s">
        <v>163</v>
      </c>
      <c r="D1656" s="510">
        <v>717.81</v>
      </c>
      <c r="E1656" s="461" t="s">
        <v>174</v>
      </c>
    </row>
    <row r="1657" spans="1:5" ht="40.5" x14ac:dyDescent="0.25">
      <c r="A1657" s="508">
        <v>92747</v>
      </c>
      <c r="B1657" s="509" t="s">
        <v>5204</v>
      </c>
      <c r="C1657" s="508" t="s">
        <v>163</v>
      </c>
      <c r="D1657" s="510">
        <v>874.35</v>
      </c>
      <c r="E1657" s="461" t="s">
        <v>174</v>
      </c>
    </row>
    <row r="1658" spans="1:5" ht="40.5" x14ac:dyDescent="0.25">
      <c r="A1658" s="508">
        <v>92748</v>
      </c>
      <c r="B1658" s="509" t="s">
        <v>5205</v>
      </c>
      <c r="C1658" s="508" t="s">
        <v>163</v>
      </c>
      <c r="D1658" s="510">
        <v>777.33</v>
      </c>
      <c r="E1658" s="461" t="s">
        <v>174</v>
      </c>
    </row>
    <row r="1659" spans="1:5" ht="27" x14ac:dyDescent="0.25">
      <c r="A1659" s="508">
        <v>92749</v>
      </c>
      <c r="B1659" s="509" t="s">
        <v>5206</v>
      </c>
      <c r="C1659" s="508" t="s">
        <v>163</v>
      </c>
      <c r="D1659" s="510">
        <v>906.23</v>
      </c>
      <c r="E1659" s="461" t="s">
        <v>174</v>
      </c>
    </row>
    <row r="1660" spans="1:5" ht="40.5" x14ac:dyDescent="0.25">
      <c r="A1660" s="508">
        <v>92750</v>
      </c>
      <c r="B1660" s="509" t="s">
        <v>5207</v>
      </c>
      <c r="C1660" s="508" t="s">
        <v>163</v>
      </c>
      <c r="D1660" s="510">
        <v>1398.09</v>
      </c>
      <c r="E1660" s="461" t="s">
        <v>174</v>
      </c>
    </row>
    <row r="1661" spans="1:5" ht="40.5" x14ac:dyDescent="0.25">
      <c r="A1661" s="508">
        <v>92751</v>
      </c>
      <c r="B1661" s="509" t="s">
        <v>5208</v>
      </c>
      <c r="C1661" s="508" t="s">
        <v>163</v>
      </c>
      <c r="D1661" s="510">
        <v>1685.63</v>
      </c>
      <c r="E1661" s="461" t="s">
        <v>174</v>
      </c>
    </row>
    <row r="1662" spans="1:5" ht="40.5" x14ac:dyDescent="0.25">
      <c r="A1662" s="508">
        <v>92752</v>
      </c>
      <c r="B1662" s="509" t="s">
        <v>5209</v>
      </c>
      <c r="C1662" s="508" t="s">
        <v>163</v>
      </c>
      <c r="D1662" s="510">
        <v>1970.63</v>
      </c>
      <c r="E1662" s="461" t="s">
        <v>174</v>
      </c>
    </row>
    <row r="1663" spans="1:5" ht="40.5" x14ac:dyDescent="0.25">
      <c r="A1663" s="508">
        <v>92753</v>
      </c>
      <c r="B1663" s="509" t="s">
        <v>5210</v>
      </c>
      <c r="C1663" s="508" t="s">
        <v>163</v>
      </c>
      <c r="D1663" s="510">
        <v>537.30999999999995</v>
      </c>
      <c r="E1663" s="461" t="s">
        <v>174</v>
      </c>
    </row>
    <row r="1664" spans="1:5" ht="40.5" x14ac:dyDescent="0.25">
      <c r="A1664" s="508">
        <v>92754</v>
      </c>
      <c r="B1664" s="509" t="s">
        <v>5211</v>
      </c>
      <c r="C1664" s="508" t="s">
        <v>163</v>
      </c>
      <c r="D1664" s="510">
        <v>531.22</v>
      </c>
      <c r="E1664" s="461" t="s">
        <v>174</v>
      </c>
    </row>
    <row r="1665" spans="1:5" ht="27" x14ac:dyDescent="0.25">
      <c r="A1665" s="508">
        <v>92755</v>
      </c>
      <c r="B1665" s="509" t="s">
        <v>5212</v>
      </c>
      <c r="C1665" s="508" t="s">
        <v>150</v>
      </c>
      <c r="D1665" s="510">
        <v>226.02</v>
      </c>
      <c r="E1665" s="461" t="s">
        <v>174</v>
      </c>
    </row>
    <row r="1666" spans="1:5" ht="27" x14ac:dyDescent="0.25">
      <c r="A1666" s="508">
        <v>92756</v>
      </c>
      <c r="B1666" s="509" t="s">
        <v>5213</v>
      </c>
      <c r="C1666" s="508" t="s">
        <v>150</v>
      </c>
      <c r="D1666" s="510">
        <v>265.08999999999997</v>
      </c>
      <c r="E1666" s="461" t="s">
        <v>174</v>
      </c>
    </row>
    <row r="1667" spans="1:5" ht="27" x14ac:dyDescent="0.25">
      <c r="A1667" s="508">
        <v>92757</v>
      </c>
      <c r="B1667" s="509" t="s">
        <v>5214</v>
      </c>
      <c r="C1667" s="508" t="s">
        <v>150</v>
      </c>
      <c r="D1667" s="510">
        <v>311.52999999999997</v>
      </c>
      <c r="E1667" s="461" t="s">
        <v>174</v>
      </c>
    </row>
    <row r="1668" spans="1:5" ht="27" x14ac:dyDescent="0.25">
      <c r="A1668" s="508">
        <v>92758</v>
      </c>
      <c r="B1668" s="509" t="s">
        <v>5215</v>
      </c>
      <c r="C1668" s="508" t="s">
        <v>163</v>
      </c>
      <c r="D1668" s="510">
        <v>656.64</v>
      </c>
      <c r="E1668" s="461" t="s">
        <v>174</v>
      </c>
    </row>
    <row r="1669" spans="1:5" ht="40.5" x14ac:dyDescent="0.25">
      <c r="A1669" s="508">
        <v>91069</v>
      </c>
      <c r="B1669" s="509" t="s">
        <v>868</v>
      </c>
      <c r="C1669" s="508" t="s">
        <v>150</v>
      </c>
      <c r="D1669" s="510">
        <v>126.83</v>
      </c>
      <c r="E1669" s="461" t="s">
        <v>174</v>
      </c>
    </row>
    <row r="1670" spans="1:5" ht="40.5" x14ac:dyDescent="0.25">
      <c r="A1670" s="508">
        <v>91070</v>
      </c>
      <c r="B1670" s="509" t="s">
        <v>869</v>
      </c>
      <c r="C1670" s="508" t="s">
        <v>150</v>
      </c>
      <c r="D1670" s="510">
        <v>142.54</v>
      </c>
      <c r="E1670" s="461" t="s">
        <v>174</v>
      </c>
    </row>
    <row r="1671" spans="1:5" ht="40.5" x14ac:dyDescent="0.25">
      <c r="A1671" s="508">
        <v>91071</v>
      </c>
      <c r="B1671" s="509" t="s">
        <v>870</v>
      </c>
      <c r="C1671" s="508" t="s">
        <v>150</v>
      </c>
      <c r="D1671" s="510">
        <v>176.44</v>
      </c>
      <c r="E1671" s="461" t="s">
        <v>174</v>
      </c>
    </row>
    <row r="1672" spans="1:5" ht="40.5" x14ac:dyDescent="0.25">
      <c r="A1672" s="508">
        <v>91072</v>
      </c>
      <c r="B1672" s="509" t="s">
        <v>871</v>
      </c>
      <c r="C1672" s="508" t="s">
        <v>150</v>
      </c>
      <c r="D1672" s="510">
        <v>192.13</v>
      </c>
      <c r="E1672" s="461" t="s">
        <v>174</v>
      </c>
    </row>
    <row r="1673" spans="1:5" ht="40.5" x14ac:dyDescent="0.25">
      <c r="A1673" s="508">
        <v>91073</v>
      </c>
      <c r="B1673" s="509" t="s">
        <v>872</v>
      </c>
      <c r="C1673" s="508" t="s">
        <v>150</v>
      </c>
      <c r="D1673" s="510">
        <v>143.03</v>
      </c>
      <c r="E1673" s="461" t="s">
        <v>174</v>
      </c>
    </row>
    <row r="1674" spans="1:5" ht="40.5" x14ac:dyDescent="0.25">
      <c r="A1674" s="508">
        <v>91074</v>
      </c>
      <c r="B1674" s="509" t="s">
        <v>873</v>
      </c>
      <c r="C1674" s="508" t="s">
        <v>150</v>
      </c>
      <c r="D1674" s="510">
        <v>160.44</v>
      </c>
      <c r="E1674" s="461" t="s">
        <v>174</v>
      </c>
    </row>
    <row r="1675" spans="1:5" ht="40.5" x14ac:dyDescent="0.25">
      <c r="A1675" s="508">
        <v>91075</v>
      </c>
      <c r="B1675" s="509" t="s">
        <v>874</v>
      </c>
      <c r="C1675" s="508" t="s">
        <v>150</v>
      </c>
      <c r="D1675" s="510">
        <v>195.23</v>
      </c>
      <c r="E1675" s="461" t="s">
        <v>174</v>
      </c>
    </row>
    <row r="1676" spans="1:5" ht="40.5" x14ac:dyDescent="0.25">
      <c r="A1676" s="508">
        <v>91076</v>
      </c>
      <c r="B1676" s="509" t="s">
        <v>875</v>
      </c>
      <c r="C1676" s="508" t="s">
        <v>150</v>
      </c>
      <c r="D1676" s="510">
        <v>212.7</v>
      </c>
      <c r="E1676" s="461" t="s">
        <v>174</v>
      </c>
    </row>
    <row r="1677" spans="1:5" ht="40.5" x14ac:dyDescent="0.25">
      <c r="A1677" s="508">
        <v>91077</v>
      </c>
      <c r="B1677" s="509" t="s">
        <v>876</v>
      </c>
      <c r="C1677" s="508" t="s">
        <v>150</v>
      </c>
      <c r="D1677" s="510">
        <v>143.29</v>
      </c>
      <c r="E1677" s="461" t="s">
        <v>174</v>
      </c>
    </row>
    <row r="1678" spans="1:5" ht="40.5" x14ac:dyDescent="0.25">
      <c r="A1678" s="508">
        <v>91078</v>
      </c>
      <c r="B1678" s="509" t="s">
        <v>877</v>
      </c>
      <c r="C1678" s="508" t="s">
        <v>150</v>
      </c>
      <c r="D1678" s="510">
        <v>168.4</v>
      </c>
      <c r="E1678" s="461" t="s">
        <v>174</v>
      </c>
    </row>
    <row r="1679" spans="1:5" ht="40.5" x14ac:dyDescent="0.25">
      <c r="A1679" s="508">
        <v>91079</v>
      </c>
      <c r="B1679" s="509" t="s">
        <v>878</v>
      </c>
      <c r="C1679" s="508" t="s">
        <v>150</v>
      </c>
      <c r="D1679" s="510">
        <v>150.44999999999999</v>
      </c>
      <c r="E1679" s="461" t="s">
        <v>174</v>
      </c>
    </row>
    <row r="1680" spans="1:5" ht="40.5" x14ac:dyDescent="0.25">
      <c r="A1680" s="508">
        <v>91080</v>
      </c>
      <c r="B1680" s="509" t="s">
        <v>879</v>
      </c>
      <c r="C1680" s="508" t="s">
        <v>150</v>
      </c>
      <c r="D1680" s="510">
        <v>175.31</v>
      </c>
      <c r="E1680" s="461" t="s">
        <v>174</v>
      </c>
    </row>
    <row r="1681" spans="1:5" ht="40.5" x14ac:dyDescent="0.25">
      <c r="A1681" s="508">
        <v>91081</v>
      </c>
      <c r="B1681" s="509" t="s">
        <v>880</v>
      </c>
      <c r="C1681" s="508" t="s">
        <v>150</v>
      </c>
      <c r="D1681" s="510">
        <v>161.65</v>
      </c>
      <c r="E1681" s="461" t="s">
        <v>174</v>
      </c>
    </row>
    <row r="1682" spans="1:5" ht="40.5" x14ac:dyDescent="0.25">
      <c r="A1682" s="508">
        <v>91082</v>
      </c>
      <c r="B1682" s="509" t="s">
        <v>881</v>
      </c>
      <c r="C1682" s="508" t="s">
        <v>150</v>
      </c>
      <c r="D1682" s="510">
        <v>188.24</v>
      </c>
      <c r="E1682" s="461" t="s">
        <v>174</v>
      </c>
    </row>
    <row r="1683" spans="1:5" ht="40.5" x14ac:dyDescent="0.25">
      <c r="A1683" s="508">
        <v>91083</v>
      </c>
      <c r="B1683" s="509" t="s">
        <v>882</v>
      </c>
      <c r="C1683" s="508" t="s">
        <v>150</v>
      </c>
      <c r="D1683" s="510">
        <v>174.21</v>
      </c>
      <c r="E1683" s="461" t="s">
        <v>174</v>
      </c>
    </row>
    <row r="1684" spans="1:5" ht="40.5" x14ac:dyDescent="0.25">
      <c r="A1684" s="508">
        <v>91084</v>
      </c>
      <c r="B1684" s="509" t="s">
        <v>883</v>
      </c>
      <c r="C1684" s="508" t="s">
        <v>150</v>
      </c>
      <c r="D1684" s="510">
        <v>200.49</v>
      </c>
      <c r="E1684" s="461" t="s">
        <v>174</v>
      </c>
    </row>
    <row r="1685" spans="1:5" ht="40.5" x14ac:dyDescent="0.25">
      <c r="A1685" s="508">
        <v>91086</v>
      </c>
      <c r="B1685" s="509" t="s">
        <v>884</v>
      </c>
      <c r="C1685" s="508" t="s">
        <v>150</v>
      </c>
      <c r="D1685" s="510">
        <v>139.44999999999999</v>
      </c>
      <c r="E1685" s="461" t="s">
        <v>174</v>
      </c>
    </row>
    <row r="1686" spans="1:5" ht="40.5" x14ac:dyDescent="0.25">
      <c r="A1686" s="508">
        <v>91087</v>
      </c>
      <c r="B1686" s="509" t="s">
        <v>885</v>
      </c>
      <c r="C1686" s="508" t="s">
        <v>150</v>
      </c>
      <c r="D1686" s="510">
        <v>155.53</v>
      </c>
      <c r="E1686" s="461" t="s">
        <v>174</v>
      </c>
    </row>
    <row r="1687" spans="1:5" ht="40.5" x14ac:dyDescent="0.25">
      <c r="A1687" s="508">
        <v>91088</v>
      </c>
      <c r="B1687" s="509" t="s">
        <v>886</v>
      </c>
      <c r="C1687" s="508" t="s">
        <v>150</v>
      </c>
      <c r="D1687" s="510">
        <v>190.88</v>
      </c>
      <c r="E1687" s="461" t="s">
        <v>174</v>
      </c>
    </row>
    <row r="1688" spans="1:5" ht="40.5" x14ac:dyDescent="0.25">
      <c r="A1688" s="508">
        <v>91089</v>
      </c>
      <c r="B1688" s="509" t="s">
        <v>887</v>
      </c>
      <c r="C1688" s="508" t="s">
        <v>150</v>
      </c>
      <c r="D1688" s="510">
        <v>207.17</v>
      </c>
      <c r="E1688" s="461" t="s">
        <v>174</v>
      </c>
    </row>
    <row r="1689" spans="1:5" ht="40.5" x14ac:dyDescent="0.25">
      <c r="A1689" s="508">
        <v>91090</v>
      </c>
      <c r="B1689" s="509" t="s">
        <v>888</v>
      </c>
      <c r="C1689" s="508" t="s">
        <v>150</v>
      </c>
      <c r="D1689" s="510">
        <v>153.1</v>
      </c>
      <c r="E1689" s="461" t="s">
        <v>174</v>
      </c>
    </row>
    <row r="1690" spans="1:5" ht="40.5" x14ac:dyDescent="0.25">
      <c r="A1690" s="508">
        <v>91091</v>
      </c>
      <c r="B1690" s="509" t="s">
        <v>889</v>
      </c>
      <c r="C1690" s="508" t="s">
        <v>150</v>
      </c>
      <c r="D1690" s="510">
        <v>171.1</v>
      </c>
      <c r="E1690" s="461" t="s">
        <v>174</v>
      </c>
    </row>
    <row r="1691" spans="1:5" ht="40.5" x14ac:dyDescent="0.25">
      <c r="A1691" s="508">
        <v>91092</v>
      </c>
      <c r="B1691" s="509" t="s">
        <v>890</v>
      </c>
      <c r="C1691" s="508" t="s">
        <v>150</v>
      </c>
      <c r="D1691" s="510">
        <v>206.52</v>
      </c>
      <c r="E1691" s="461" t="s">
        <v>174</v>
      </c>
    </row>
    <row r="1692" spans="1:5" ht="40.5" x14ac:dyDescent="0.25">
      <c r="A1692" s="508">
        <v>91093</v>
      </c>
      <c r="B1692" s="509" t="s">
        <v>891</v>
      </c>
      <c r="C1692" s="508" t="s">
        <v>150</v>
      </c>
      <c r="D1692" s="510">
        <v>224.99</v>
      </c>
      <c r="E1692" s="461" t="s">
        <v>174</v>
      </c>
    </row>
    <row r="1693" spans="1:5" ht="40.5" x14ac:dyDescent="0.25">
      <c r="A1693" s="508">
        <v>91094</v>
      </c>
      <c r="B1693" s="509" t="s">
        <v>892</v>
      </c>
      <c r="C1693" s="508" t="s">
        <v>150</v>
      </c>
      <c r="D1693" s="510">
        <v>151.08000000000001</v>
      </c>
      <c r="E1693" s="461" t="s">
        <v>174</v>
      </c>
    </row>
    <row r="1694" spans="1:5" ht="40.5" x14ac:dyDescent="0.25">
      <c r="A1694" s="508">
        <v>91095</v>
      </c>
      <c r="B1694" s="509" t="s">
        <v>893</v>
      </c>
      <c r="C1694" s="508" t="s">
        <v>150</v>
      </c>
      <c r="D1694" s="510">
        <v>176.64</v>
      </c>
      <c r="E1694" s="461" t="s">
        <v>174</v>
      </c>
    </row>
    <row r="1695" spans="1:5" ht="40.5" x14ac:dyDescent="0.25">
      <c r="A1695" s="508">
        <v>91096</v>
      </c>
      <c r="B1695" s="509" t="s">
        <v>894</v>
      </c>
      <c r="C1695" s="508" t="s">
        <v>150</v>
      </c>
      <c r="D1695" s="510">
        <v>154.74</v>
      </c>
      <c r="E1695" s="461" t="s">
        <v>174</v>
      </c>
    </row>
    <row r="1696" spans="1:5" ht="40.5" x14ac:dyDescent="0.25">
      <c r="A1696" s="508">
        <v>91097</v>
      </c>
      <c r="B1696" s="509" t="s">
        <v>895</v>
      </c>
      <c r="C1696" s="508" t="s">
        <v>150</v>
      </c>
      <c r="D1696" s="510">
        <v>180.12</v>
      </c>
      <c r="E1696" s="461" t="s">
        <v>174</v>
      </c>
    </row>
    <row r="1697" spans="1:5" ht="40.5" x14ac:dyDescent="0.25">
      <c r="A1697" s="508">
        <v>91098</v>
      </c>
      <c r="B1697" s="509" t="s">
        <v>896</v>
      </c>
      <c r="C1697" s="508" t="s">
        <v>150</v>
      </c>
      <c r="D1697" s="510">
        <v>169.13</v>
      </c>
      <c r="E1697" s="461" t="s">
        <v>174</v>
      </c>
    </row>
    <row r="1698" spans="1:5" ht="40.5" x14ac:dyDescent="0.25">
      <c r="A1698" s="508">
        <v>91099</v>
      </c>
      <c r="B1698" s="509" t="s">
        <v>897</v>
      </c>
      <c r="C1698" s="508" t="s">
        <v>150</v>
      </c>
      <c r="D1698" s="510">
        <v>196.28</v>
      </c>
      <c r="E1698" s="461" t="s">
        <v>174</v>
      </c>
    </row>
    <row r="1699" spans="1:5" ht="40.5" x14ac:dyDescent="0.25">
      <c r="A1699" s="508">
        <v>91100</v>
      </c>
      <c r="B1699" s="509" t="s">
        <v>898</v>
      </c>
      <c r="C1699" s="508" t="s">
        <v>150</v>
      </c>
      <c r="D1699" s="510">
        <v>179.17</v>
      </c>
      <c r="E1699" s="461" t="s">
        <v>174</v>
      </c>
    </row>
    <row r="1700" spans="1:5" ht="40.5" x14ac:dyDescent="0.25">
      <c r="A1700" s="508">
        <v>91101</v>
      </c>
      <c r="B1700" s="509" t="s">
        <v>899</v>
      </c>
      <c r="C1700" s="508" t="s">
        <v>150</v>
      </c>
      <c r="D1700" s="510">
        <v>206.25</v>
      </c>
      <c r="E1700" s="461" t="s">
        <v>174</v>
      </c>
    </row>
    <row r="1701" spans="1:5" ht="40.5" x14ac:dyDescent="0.25">
      <c r="A1701" s="508">
        <v>93952</v>
      </c>
      <c r="B1701" s="509" t="s">
        <v>900</v>
      </c>
      <c r="C1701" s="508" t="s">
        <v>5</v>
      </c>
      <c r="D1701" s="510">
        <v>229.41</v>
      </c>
      <c r="E1701" s="461" t="s">
        <v>174</v>
      </c>
    </row>
    <row r="1702" spans="1:5" ht="40.5" x14ac:dyDescent="0.25">
      <c r="A1702" s="508">
        <v>93953</v>
      </c>
      <c r="B1702" s="509" t="s">
        <v>901</v>
      </c>
      <c r="C1702" s="508" t="s">
        <v>5</v>
      </c>
      <c r="D1702" s="510">
        <v>212.16</v>
      </c>
      <c r="E1702" s="461" t="s">
        <v>174</v>
      </c>
    </row>
    <row r="1703" spans="1:5" ht="40.5" x14ac:dyDescent="0.25">
      <c r="A1703" s="508">
        <v>93954</v>
      </c>
      <c r="B1703" s="509" t="s">
        <v>902</v>
      </c>
      <c r="C1703" s="508" t="s">
        <v>5</v>
      </c>
      <c r="D1703" s="510">
        <v>201.81</v>
      </c>
      <c r="E1703" s="461" t="s">
        <v>174</v>
      </c>
    </row>
    <row r="1704" spans="1:5" ht="40.5" x14ac:dyDescent="0.25">
      <c r="A1704" s="508">
        <v>93955</v>
      </c>
      <c r="B1704" s="509" t="s">
        <v>903</v>
      </c>
      <c r="C1704" s="508" t="s">
        <v>5</v>
      </c>
      <c r="D1704" s="510">
        <v>194.48</v>
      </c>
      <c r="E1704" s="461" t="s">
        <v>174</v>
      </c>
    </row>
    <row r="1705" spans="1:5" ht="27" x14ac:dyDescent="0.25">
      <c r="A1705" s="508">
        <v>93956</v>
      </c>
      <c r="B1705" s="509" t="s">
        <v>904</v>
      </c>
      <c r="C1705" s="508" t="s">
        <v>5</v>
      </c>
      <c r="D1705" s="510">
        <v>188.69</v>
      </c>
      <c r="E1705" s="461" t="s">
        <v>174</v>
      </c>
    </row>
    <row r="1706" spans="1:5" ht="40.5" x14ac:dyDescent="0.25">
      <c r="A1706" s="508">
        <v>93957</v>
      </c>
      <c r="B1706" s="509" t="s">
        <v>905</v>
      </c>
      <c r="C1706" s="508" t="s">
        <v>5</v>
      </c>
      <c r="D1706" s="510">
        <v>242.32</v>
      </c>
      <c r="E1706" s="461" t="s">
        <v>174</v>
      </c>
    </row>
    <row r="1707" spans="1:5" ht="40.5" x14ac:dyDescent="0.25">
      <c r="A1707" s="508">
        <v>93958</v>
      </c>
      <c r="B1707" s="509" t="s">
        <v>906</v>
      </c>
      <c r="C1707" s="508" t="s">
        <v>5</v>
      </c>
      <c r="D1707" s="510">
        <v>224.1</v>
      </c>
      <c r="E1707" s="461" t="s">
        <v>174</v>
      </c>
    </row>
    <row r="1708" spans="1:5" ht="40.5" x14ac:dyDescent="0.25">
      <c r="A1708" s="508">
        <v>93959</v>
      </c>
      <c r="B1708" s="509" t="s">
        <v>907</v>
      </c>
      <c r="C1708" s="508" t="s">
        <v>5</v>
      </c>
      <c r="D1708" s="510">
        <v>213.27</v>
      </c>
      <c r="E1708" s="461" t="s">
        <v>174</v>
      </c>
    </row>
    <row r="1709" spans="1:5" ht="40.5" x14ac:dyDescent="0.25">
      <c r="A1709" s="508">
        <v>93960</v>
      </c>
      <c r="B1709" s="509" t="s">
        <v>908</v>
      </c>
      <c r="C1709" s="508" t="s">
        <v>5</v>
      </c>
      <c r="D1709" s="510">
        <v>205.65</v>
      </c>
      <c r="E1709" s="461" t="s">
        <v>174</v>
      </c>
    </row>
    <row r="1710" spans="1:5" ht="27" x14ac:dyDescent="0.25">
      <c r="A1710" s="508">
        <v>93961</v>
      </c>
      <c r="B1710" s="509" t="s">
        <v>909</v>
      </c>
      <c r="C1710" s="508" t="s">
        <v>5</v>
      </c>
      <c r="D1710" s="508">
        <v>199.66</v>
      </c>
      <c r="E1710" s="461" t="s">
        <v>174</v>
      </c>
    </row>
    <row r="1711" spans="1:5" ht="40.5" x14ac:dyDescent="0.25">
      <c r="A1711" s="508">
        <v>93962</v>
      </c>
      <c r="B1711" s="509" t="s">
        <v>910</v>
      </c>
      <c r="C1711" s="508" t="s">
        <v>5</v>
      </c>
      <c r="D1711" s="510">
        <v>216.5</v>
      </c>
      <c r="E1711" s="461" t="s">
        <v>174</v>
      </c>
    </row>
    <row r="1712" spans="1:5" ht="40.5" x14ac:dyDescent="0.25">
      <c r="A1712" s="508">
        <v>93963</v>
      </c>
      <c r="B1712" s="509" t="s">
        <v>911</v>
      </c>
      <c r="C1712" s="508" t="s">
        <v>5</v>
      </c>
      <c r="D1712" s="510">
        <v>199.28</v>
      </c>
      <c r="E1712" s="461" t="s">
        <v>174</v>
      </c>
    </row>
    <row r="1713" spans="1:5" ht="40.5" x14ac:dyDescent="0.25">
      <c r="A1713" s="508">
        <v>93964</v>
      </c>
      <c r="B1713" s="509" t="s">
        <v>912</v>
      </c>
      <c r="C1713" s="508" t="s">
        <v>5</v>
      </c>
      <c r="D1713" s="510">
        <v>188.98</v>
      </c>
      <c r="E1713" s="461" t="s">
        <v>174</v>
      </c>
    </row>
    <row r="1714" spans="1:5" ht="40.5" x14ac:dyDescent="0.25">
      <c r="A1714" s="508">
        <v>93965</v>
      </c>
      <c r="B1714" s="509" t="s">
        <v>913</v>
      </c>
      <c r="C1714" s="508" t="s">
        <v>5</v>
      </c>
      <c r="D1714" s="510">
        <v>179.12</v>
      </c>
      <c r="E1714" s="461" t="s">
        <v>174</v>
      </c>
    </row>
    <row r="1715" spans="1:5" ht="27" x14ac:dyDescent="0.25">
      <c r="A1715" s="508">
        <v>93966</v>
      </c>
      <c r="B1715" s="509" t="s">
        <v>914</v>
      </c>
      <c r="C1715" s="508" t="s">
        <v>5</v>
      </c>
      <c r="D1715" s="510">
        <v>175.97</v>
      </c>
      <c r="E1715" s="461" t="s">
        <v>174</v>
      </c>
    </row>
    <row r="1716" spans="1:5" ht="40.5" x14ac:dyDescent="0.25">
      <c r="A1716" s="508">
        <v>93967</v>
      </c>
      <c r="B1716" s="509" t="s">
        <v>915</v>
      </c>
      <c r="C1716" s="508" t="s">
        <v>5</v>
      </c>
      <c r="D1716" s="508">
        <v>229.41</v>
      </c>
      <c r="E1716" s="461" t="s">
        <v>174</v>
      </c>
    </row>
    <row r="1717" spans="1:5" ht="40.5" x14ac:dyDescent="0.25">
      <c r="A1717" s="508">
        <v>93968</v>
      </c>
      <c r="B1717" s="509" t="s">
        <v>916</v>
      </c>
      <c r="C1717" s="508" t="s">
        <v>5</v>
      </c>
      <c r="D1717" s="510">
        <v>211.24</v>
      </c>
      <c r="E1717" s="461" t="s">
        <v>174</v>
      </c>
    </row>
    <row r="1718" spans="1:5" ht="40.5" x14ac:dyDescent="0.25">
      <c r="A1718" s="508">
        <v>93969</v>
      </c>
      <c r="B1718" s="509" t="s">
        <v>917</v>
      </c>
      <c r="C1718" s="508" t="s">
        <v>5</v>
      </c>
      <c r="D1718" s="508">
        <v>200.44</v>
      </c>
      <c r="E1718" s="461" t="s">
        <v>174</v>
      </c>
    </row>
    <row r="1719" spans="1:5" ht="40.5" x14ac:dyDescent="0.25">
      <c r="A1719" s="508">
        <v>93970</v>
      </c>
      <c r="B1719" s="509" t="s">
        <v>918</v>
      </c>
      <c r="C1719" s="508" t="s">
        <v>5</v>
      </c>
      <c r="D1719" s="510">
        <v>192.86</v>
      </c>
      <c r="E1719" s="461" t="s">
        <v>174</v>
      </c>
    </row>
    <row r="1720" spans="1:5" ht="27" x14ac:dyDescent="0.25">
      <c r="A1720" s="508">
        <v>93971</v>
      </c>
      <c r="B1720" s="509" t="s">
        <v>919</v>
      </c>
      <c r="C1720" s="508" t="s">
        <v>5</v>
      </c>
      <c r="D1720" s="510">
        <v>180.64</v>
      </c>
      <c r="E1720" s="461" t="s">
        <v>174</v>
      </c>
    </row>
    <row r="1721" spans="1:5" ht="27" x14ac:dyDescent="0.25">
      <c r="A1721" s="508">
        <v>95108</v>
      </c>
      <c r="B1721" s="509" t="s">
        <v>5216</v>
      </c>
      <c r="C1721" s="508" t="s">
        <v>107</v>
      </c>
      <c r="D1721" s="510">
        <v>40.880000000000003</v>
      </c>
      <c r="E1721" s="461" t="s">
        <v>174</v>
      </c>
    </row>
    <row r="1722" spans="1:5" ht="27" x14ac:dyDescent="0.25">
      <c r="A1722" s="508">
        <v>100332</v>
      </c>
      <c r="B1722" s="509" t="s">
        <v>1310</v>
      </c>
      <c r="C1722" s="508" t="s">
        <v>150</v>
      </c>
      <c r="D1722" s="510">
        <v>827.58</v>
      </c>
      <c r="E1722" s="461" t="s">
        <v>174</v>
      </c>
    </row>
    <row r="1723" spans="1:5" ht="27" x14ac:dyDescent="0.25">
      <c r="A1723" s="508">
        <v>100333</v>
      </c>
      <c r="B1723" s="509" t="s">
        <v>1311</v>
      </c>
      <c r="C1723" s="508" t="s">
        <v>150</v>
      </c>
      <c r="D1723" s="508">
        <v>510.43</v>
      </c>
      <c r="E1723" s="461" t="s">
        <v>174</v>
      </c>
    </row>
    <row r="1724" spans="1:5" ht="27" x14ac:dyDescent="0.25">
      <c r="A1724" s="508">
        <v>100334</v>
      </c>
      <c r="B1724" s="509" t="s">
        <v>1312</v>
      </c>
      <c r="C1724" s="508" t="s">
        <v>150</v>
      </c>
      <c r="D1724" s="510">
        <v>655.33000000000004</v>
      </c>
      <c r="E1724" s="461" t="s">
        <v>174</v>
      </c>
    </row>
    <row r="1725" spans="1:5" ht="27" x14ac:dyDescent="0.25">
      <c r="A1725" s="508">
        <v>100335</v>
      </c>
      <c r="B1725" s="509" t="s">
        <v>1313</v>
      </c>
      <c r="C1725" s="508" t="s">
        <v>150</v>
      </c>
      <c r="D1725" s="510">
        <v>417.46</v>
      </c>
      <c r="E1725" s="461" t="s">
        <v>174</v>
      </c>
    </row>
    <row r="1726" spans="1:5" ht="27" x14ac:dyDescent="0.25">
      <c r="A1726" s="508">
        <v>100341</v>
      </c>
      <c r="B1726" s="509" t="s">
        <v>1314</v>
      </c>
      <c r="C1726" s="508" t="s">
        <v>150</v>
      </c>
      <c r="D1726" s="510">
        <v>39.33</v>
      </c>
      <c r="E1726" s="461" t="s">
        <v>174</v>
      </c>
    </row>
    <row r="1727" spans="1:5" ht="27" x14ac:dyDescent="0.25">
      <c r="A1727" s="508">
        <v>100342</v>
      </c>
      <c r="B1727" s="509" t="s">
        <v>1315</v>
      </c>
      <c r="C1727" s="508" t="s">
        <v>106</v>
      </c>
      <c r="D1727" s="510">
        <v>14.33</v>
      </c>
      <c r="E1727" s="461" t="s">
        <v>174</v>
      </c>
    </row>
    <row r="1728" spans="1:5" ht="27" x14ac:dyDescent="0.25">
      <c r="A1728" s="508">
        <v>100343</v>
      </c>
      <c r="B1728" s="509" t="s">
        <v>1316</v>
      </c>
      <c r="C1728" s="508" t="s">
        <v>106</v>
      </c>
      <c r="D1728" s="510">
        <v>13.2</v>
      </c>
      <c r="E1728" s="461" t="s">
        <v>174</v>
      </c>
    </row>
    <row r="1729" spans="1:5" ht="27" x14ac:dyDescent="0.25">
      <c r="A1729" s="508">
        <v>100344</v>
      </c>
      <c r="B1729" s="509" t="s">
        <v>1317</v>
      </c>
      <c r="C1729" s="508" t="s">
        <v>106</v>
      </c>
      <c r="D1729" s="510">
        <v>11.64</v>
      </c>
      <c r="E1729" s="461" t="s">
        <v>174</v>
      </c>
    </row>
    <row r="1730" spans="1:5" ht="27" x14ac:dyDescent="0.25">
      <c r="A1730" s="508">
        <v>100345</v>
      </c>
      <c r="B1730" s="509" t="s">
        <v>1318</v>
      </c>
      <c r="C1730" s="508" t="s">
        <v>106</v>
      </c>
      <c r="D1730" s="510">
        <v>9.76</v>
      </c>
      <c r="E1730" s="461" t="s">
        <v>174</v>
      </c>
    </row>
    <row r="1731" spans="1:5" ht="27" x14ac:dyDescent="0.25">
      <c r="A1731" s="508">
        <v>100346</v>
      </c>
      <c r="B1731" s="509" t="s">
        <v>1319</v>
      </c>
      <c r="C1731" s="508" t="s">
        <v>106</v>
      </c>
      <c r="D1731" s="510">
        <v>9.1300000000000008</v>
      </c>
      <c r="E1731" s="461" t="s">
        <v>174</v>
      </c>
    </row>
    <row r="1732" spans="1:5" ht="27" x14ac:dyDescent="0.25">
      <c r="A1732" s="508">
        <v>100347</v>
      </c>
      <c r="B1732" s="509" t="s">
        <v>1320</v>
      </c>
      <c r="C1732" s="508" t="s">
        <v>106</v>
      </c>
      <c r="D1732" s="510">
        <v>10.130000000000001</v>
      </c>
      <c r="E1732" s="461" t="s">
        <v>174</v>
      </c>
    </row>
    <row r="1733" spans="1:5" ht="27" x14ac:dyDescent="0.25">
      <c r="A1733" s="508">
        <v>100348</v>
      </c>
      <c r="B1733" s="509" t="s">
        <v>1321</v>
      </c>
      <c r="C1733" s="508" t="s">
        <v>106</v>
      </c>
      <c r="D1733" s="510">
        <v>9.83</v>
      </c>
      <c r="E1733" s="461" t="s">
        <v>174</v>
      </c>
    </row>
    <row r="1734" spans="1:5" ht="27" x14ac:dyDescent="0.25">
      <c r="A1734" s="508">
        <v>100349</v>
      </c>
      <c r="B1734" s="509" t="s">
        <v>5217</v>
      </c>
      <c r="C1734" s="508" t="s">
        <v>163</v>
      </c>
      <c r="D1734" s="510">
        <v>613.29999999999995</v>
      </c>
      <c r="E1734" s="461" t="s">
        <v>174</v>
      </c>
    </row>
    <row r="1735" spans="1:5" ht="40.5" x14ac:dyDescent="0.25">
      <c r="A1735" s="508">
        <v>104841</v>
      </c>
      <c r="B1735" s="509" t="s">
        <v>5218</v>
      </c>
      <c r="C1735" s="508" t="s">
        <v>5</v>
      </c>
      <c r="D1735" s="510">
        <v>77.239999999999995</v>
      </c>
      <c r="E1735" s="461" t="s">
        <v>174</v>
      </c>
    </row>
    <row r="1736" spans="1:5" ht="40.5" x14ac:dyDescent="0.25">
      <c r="A1736" s="508">
        <v>104842</v>
      </c>
      <c r="B1736" s="509" t="s">
        <v>5219</v>
      </c>
      <c r="C1736" s="508" t="s">
        <v>5</v>
      </c>
      <c r="D1736" s="508">
        <v>65.540000000000006</v>
      </c>
      <c r="E1736" s="461" t="s">
        <v>174</v>
      </c>
    </row>
    <row r="1737" spans="1:5" ht="40.5" x14ac:dyDescent="0.25">
      <c r="A1737" s="508">
        <v>104843</v>
      </c>
      <c r="B1737" s="509" t="s">
        <v>5220</v>
      </c>
      <c r="C1737" s="508" t="s">
        <v>5</v>
      </c>
      <c r="D1737" s="510">
        <v>107.11</v>
      </c>
      <c r="E1737" s="461" t="s">
        <v>174</v>
      </c>
    </row>
    <row r="1738" spans="1:5" ht="40.5" x14ac:dyDescent="0.25">
      <c r="A1738" s="508">
        <v>104844</v>
      </c>
      <c r="B1738" s="509" t="s">
        <v>5221</v>
      </c>
      <c r="C1738" s="508" t="s">
        <v>5</v>
      </c>
      <c r="D1738" s="508">
        <v>85.57</v>
      </c>
      <c r="E1738" s="461" t="s">
        <v>174</v>
      </c>
    </row>
    <row r="1739" spans="1:5" ht="40.5" x14ac:dyDescent="0.25">
      <c r="A1739" s="508">
        <v>104845</v>
      </c>
      <c r="B1739" s="509" t="s">
        <v>5222</v>
      </c>
      <c r="C1739" s="508" t="s">
        <v>5</v>
      </c>
      <c r="D1739" s="510">
        <v>122.57</v>
      </c>
      <c r="E1739" s="461" t="s">
        <v>174</v>
      </c>
    </row>
    <row r="1740" spans="1:5" ht="40.5" x14ac:dyDescent="0.25">
      <c r="A1740" s="508">
        <v>104846</v>
      </c>
      <c r="B1740" s="509" t="s">
        <v>5223</v>
      </c>
      <c r="C1740" s="508" t="s">
        <v>5</v>
      </c>
      <c r="D1740" s="510">
        <v>97.96</v>
      </c>
      <c r="E1740" s="461" t="s">
        <v>174</v>
      </c>
    </row>
    <row r="1741" spans="1:5" ht="40.5" x14ac:dyDescent="0.25">
      <c r="A1741" s="508">
        <v>104847</v>
      </c>
      <c r="B1741" s="509" t="s">
        <v>5224</v>
      </c>
      <c r="C1741" s="508" t="s">
        <v>5</v>
      </c>
      <c r="D1741" s="510">
        <v>82.82</v>
      </c>
      <c r="E1741" s="461" t="s">
        <v>174</v>
      </c>
    </row>
    <row r="1742" spans="1:5" ht="40.5" x14ac:dyDescent="0.25">
      <c r="A1742" s="508">
        <v>104848</v>
      </c>
      <c r="B1742" s="509" t="s">
        <v>5225</v>
      </c>
      <c r="C1742" s="508" t="s">
        <v>5</v>
      </c>
      <c r="D1742" s="510">
        <v>62.18</v>
      </c>
      <c r="E1742" s="461" t="s">
        <v>174</v>
      </c>
    </row>
    <row r="1743" spans="1:5" ht="40.5" x14ac:dyDescent="0.25">
      <c r="A1743" s="508">
        <v>104849</v>
      </c>
      <c r="B1743" s="509" t="s">
        <v>5226</v>
      </c>
      <c r="C1743" s="508" t="s">
        <v>5</v>
      </c>
      <c r="D1743" s="508">
        <v>52.96</v>
      </c>
      <c r="E1743" s="461" t="s">
        <v>174</v>
      </c>
    </row>
    <row r="1744" spans="1:5" ht="40.5" x14ac:dyDescent="0.25">
      <c r="A1744" s="508">
        <v>104850</v>
      </c>
      <c r="B1744" s="509" t="s">
        <v>5227</v>
      </c>
      <c r="C1744" s="508" t="s">
        <v>5</v>
      </c>
      <c r="D1744" s="510">
        <v>46.78</v>
      </c>
      <c r="E1744" s="461" t="s">
        <v>174</v>
      </c>
    </row>
    <row r="1745" spans="1:5" ht="40.5" x14ac:dyDescent="0.25">
      <c r="A1745" s="508">
        <v>104851</v>
      </c>
      <c r="B1745" s="509" t="s">
        <v>5228</v>
      </c>
      <c r="C1745" s="508" t="s">
        <v>5</v>
      </c>
      <c r="D1745" s="510">
        <v>69.31</v>
      </c>
      <c r="E1745" s="461" t="s">
        <v>174</v>
      </c>
    </row>
    <row r="1746" spans="1:5" ht="40.5" x14ac:dyDescent="0.25">
      <c r="A1746" s="508">
        <v>104852</v>
      </c>
      <c r="B1746" s="509" t="s">
        <v>5229</v>
      </c>
      <c r="C1746" s="508" t="s">
        <v>5</v>
      </c>
      <c r="D1746" s="508">
        <v>58.66</v>
      </c>
      <c r="E1746" s="461" t="s">
        <v>174</v>
      </c>
    </row>
    <row r="1747" spans="1:5" ht="40.5" x14ac:dyDescent="0.25">
      <c r="A1747" s="508">
        <v>104853</v>
      </c>
      <c r="B1747" s="509" t="s">
        <v>5230</v>
      </c>
      <c r="C1747" s="508" t="s">
        <v>5</v>
      </c>
      <c r="D1747" s="510">
        <v>51.56</v>
      </c>
      <c r="E1747" s="461" t="s">
        <v>174</v>
      </c>
    </row>
    <row r="1748" spans="1:5" ht="40.5" x14ac:dyDescent="0.25">
      <c r="A1748" s="508">
        <v>104854</v>
      </c>
      <c r="B1748" s="509" t="s">
        <v>5231</v>
      </c>
      <c r="C1748" s="508" t="s">
        <v>5</v>
      </c>
      <c r="D1748" s="510">
        <v>67.19</v>
      </c>
      <c r="E1748" s="461" t="s">
        <v>174</v>
      </c>
    </row>
    <row r="1749" spans="1:5" ht="40.5" x14ac:dyDescent="0.25">
      <c r="A1749" s="508">
        <v>104855</v>
      </c>
      <c r="B1749" s="509" t="s">
        <v>5232</v>
      </c>
      <c r="C1749" s="508" t="s">
        <v>5</v>
      </c>
      <c r="D1749" s="510">
        <v>58.63</v>
      </c>
      <c r="E1749" s="461" t="s">
        <v>174</v>
      </c>
    </row>
    <row r="1750" spans="1:5" ht="15" x14ac:dyDescent="0.25">
      <c r="A1750" s="508">
        <v>104876</v>
      </c>
      <c r="B1750" s="509" t="s">
        <v>5233</v>
      </c>
      <c r="C1750" s="508" t="s">
        <v>107</v>
      </c>
      <c r="D1750" s="510">
        <v>26.07</v>
      </c>
      <c r="E1750" s="461" t="s">
        <v>174</v>
      </c>
    </row>
    <row r="1751" spans="1:5" ht="27" x14ac:dyDescent="0.25">
      <c r="A1751" s="508">
        <v>104877</v>
      </c>
      <c r="B1751" s="509" t="s">
        <v>5234</v>
      </c>
      <c r="C1751" s="508" t="s">
        <v>107</v>
      </c>
      <c r="D1751" s="510">
        <v>620.91</v>
      </c>
      <c r="E1751" s="461" t="s">
        <v>174</v>
      </c>
    </row>
    <row r="1752" spans="1:5" ht="27" x14ac:dyDescent="0.25">
      <c r="A1752" s="508">
        <v>104878</v>
      </c>
      <c r="B1752" s="509" t="s">
        <v>5235</v>
      </c>
      <c r="C1752" s="508" t="s">
        <v>107</v>
      </c>
      <c r="D1752" s="510">
        <v>2323.31</v>
      </c>
      <c r="E1752" s="461" t="s">
        <v>174</v>
      </c>
    </row>
    <row r="1753" spans="1:5" ht="40.5" x14ac:dyDescent="0.25">
      <c r="A1753" s="508">
        <v>104879</v>
      </c>
      <c r="B1753" s="509" t="s">
        <v>5236</v>
      </c>
      <c r="C1753" s="508" t="s">
        <v>5</v>
      </c>
      <c r="D1753" s="510">
        <v>72.52</v>
      </c>
      <c r="E1753" s="461" t="s">
        <v>174</v>
      </c>
    </row>
    <row r="1754" spans="1:5" ht="40.5" x14ac:dyDescent="0.25">
      <c r="A1754" s="508">
        <v>104880</v>
      </c>
      <c r="B1754" s="509" t="s">
        <v>5237</v>
      </c>
      <c r="C1754" s="508" t="s">
        <v>5</v>
      </c>
      <c r="D1754" s="510">
        <v>79.89</v>
      </c>
      <c r="E1754" s="461" t="s">
        <v>174</v>
      </c>
    </row>
    <row r="1755" spans="1:5" ht="40.5" x14ac:dyDescent="0.25">
      <c r="A1755" s="508">
        <v>104886</v>
      </c>
      <c r="B1755" s="509" t="s">
        <v>5238</v>
      </c>
      <c r="C1755" s="508" t="s">
        <v>5</v>
      </c>
      <c r="D1755" s="510">
        <v>45.44</v>
      </c>
      <c r="E1755" s="461" t="s">
        <v>174</v>
      </c>
    </row>
    <row r="1756" spans="1:5" ht="40.5" x14ac:dyDescent="0.25">
      <c r="A1756" s="508">
        <v>104887</v>
      </c>
      <c r="B1756" s="509" t="s">
        <v>5239</v>
      </c>
      <c r="C1756" s="508" t="s">
        <v>5</v>
      </c>
      <c r="D1756" s="508">
        <v>39.6</v>
      </c>
      <c r="E1756" s="461" t="s">
        <v>174</v>
      </c>
    </row>
    <row r="1757" spans="1:5" ht="40.5" x14ac:dyDescent="0.25">
      <c r="A1757" s="508">
        <v>104888</v>
      </c>
      <c r="B1757" s="509" t="s">
        <v>5240</v>
      </c>
      <c r="C1757" s="508" t="s">
        <v>5</v>
      </c>
      <c r="D1757" s="510">
        <v>35.69</v>
      </c>
      <c r="E1757" s="461" t="s">
        <v>174</v>
      </c>
    </row>
    <row r="1758" spans="1:5" ht="40.5" x14ac:dyDescent="0.25">
      <c r="A1758" s="508">
        <v>104889</v>
      </c>
      <c r="B1758" s="509" t="s">
        <v>5241</v>
      </c>
      <c r="C1758" s="508" t="s">
        <v>5</v>
      </c>
      <c r="D1758" s="510">
        <v>53.22</v>
      </c>
      <c r="E1758" s="461" t="s">
        <v>174</v>
      </c>
    </row>
    <row r="1759" spans="1:5" ht="40.5" x14ac:dyDescent="0.25">
      <c r="A1759" s="508">
        <v>104890</v>
      </c>
      <c r="B1759" s="509" t="s">
        <v>5242</v>
      </c>
      <c r="C1759" s="508" t="s">
        <v>5</v>
      </c>
      <c r="D1759" s="510">
        <v>45.89</v>
      </c>
      <c r="E1759" s="461" t="s">
        <v>174</v>
      </c>
    </row>
    <row r="1760" spans="1:5" ht="40.5" x14ac:dyDescent="0.25">
      <c r="A1760" s="508">
        <v>104891</v>
      </c>
      <c r="B1760" s="509" t="s">
        <v>5243</v>
      </c>
      <c r="C1760" s="508" t="s">
        <v>5</v>
      </c>
      <c r="D1760" s="510">
        <v>40.97</v>
      </c>
      <c r="E1760" s="461" t="s">
        <v>174</v>
      </c>
    </row>
    <row r="1761" spans="1:5" ht="40.5" x14ac:dyDescent="0.25">
      <c r="A1761" s="508">
        <v>104892</v>
      </c>
      <c r="B1761" s="509" t="s">
        <v>5244</v>
      </c>
      <c r="C1761" s="508" t="s">
        <v>5</v>
      </c>
      <c r="D1761" s="510">
        <v>96.75</v>
      </c>
      <c r="E1761" s="461" t="s">
        <v>174</v>
      </c>
    </row>
    <row r="1762" spans="1:5" ht="27" x14ac:dyDescent="0.25">
      <c r="A1762" s="508">
        <v>102989</v>
      </c>
      <c r="B1762" s="509" t="s">
        <v>3993</v>
      </c>
      <c r="C1762" s="508" t="s">
        <v>5</v>
      </c>
      <c r="D1762" s="510">
        <v>36.1</v>
      </c>
      <c r="E1762" s="461" t="s">
        <v>174</v>
      </c>
    </row>
    <row r="1763" spans="1:5" ht="27" x14ac:dyDescent="0.25">
      <c r="A1763" s="508">
        <v>102990</v>
      </c>
      <c r="B1763" s="509" t="s">
        <v>3994</v>
      </c>
      <c r="C1763" s="508" t="s">
        <v>5</v>
      </c>
      <c r="D1763" s="510">
        <v>43.81</v>
      </c>
      <c r="E1763" s="461" t="s">
        <v>174</v>
      </c>
    </row>
    <row r="1764" spans="1:5" ht="27" x14ac:dyDescent="0.25">
      <c r="A1764" s="508">
        <v>102991</v>
      </c>
      <c r="B1764" s="509" t="s">
        <v>3995</v>
      </c>
      <c r="C1764" s="508" t="s">
        <v>5</v>
      </c>
      <c r="D1764" s="510">
        <v>56.64</v>
      </c>
      <c r="E1764" s="461" t="s">
        <v>174</v>
      </c>
    </row>
    <row r="1765" spans="1:5" ht="27" x14ac:dyDescent="0.25">
      <c r="A1765" s="508">
        <v>102992</v>
      </c>
      <c r="B1765" s="509" t="s">
        <v>3996</v>
      </c>
      <c r="C1765" s="508" t="s">
        <v>5</v>
      </c>
      <c r="D1765" s="510">
        <v>81.64</v>
      </c>
      <c r="E1765" s="461" t="s">
        <v>174</v>
      </c>
    </row>
    <row r="1766" spans="1:5" ht="27" x14ac:dyDescent="0.25">
      <c r="A1766" s="508">
        <v>102993</v>
      </c>
      <c r="B1766" s="509" t="s">
        <v>3997</v>
      </c>
      <c r="C1766" s="508" t="s">
        <v>5</v>
      </c>
      <c r="D1766" s="510">
        <v>106.48</v>
      </c>
      <c r="E1766" s="461" t="s">
        <v>174</v>
      </c>
    </row>
    <row r="1767" spans="1:5" ht="27" x14ac:dyDescent="0.25">
      <c r="A1767" s="508">
        <v>102994</v>
      </c>
      <c r="B1767" s="509" t="s">
        <v>3998</v>
      </c>
      <c r="C1767" s="508" t="s">
        <v>5</v>
      </c>
      <c r="D1767" s="510">
        <v>177.75</v>
      </c>
      <c r="E1767" s="461" t="s">
        <v>174</v>
      </c>
    </row>
    <row r="1768" spans="1:5" ht="27" x14ac:dyDescent="0.25">
      <c r="A1768" s="508">
        <v>102995</v>
      </c>
      <c r="B1768" s="509" t="s">
        <v>3999</v>
      </c>
      <c r="C1768" s="508" t="s">
        <v>5</v>
      </c>
      <c r="D1768" s="510">
        <v>60.85</v>
      </c>
      <c r="E1768" s="461" t="s">
        <v>174</v>
      </c>
    </row>
    <row r="1769" spans="1:5" ht="27" x14ac:dyDescent="0.25">
      <c r="A1769" s="508">
        <v>102996</v>
      </c>
      <c r="B1769" s="509" t="s">
        <v>4000</v>
      </c>
      <c r="C1769" s="508" t="s">
        <v>5</v>
      </c>
      <c r="D1769" s="510">
        <v>86.11</v>
      </c>
      <c r="E1769" s="461" t="s">
        <v>174</v>
      </c>
    </row>
    <row r="1770" spans="1:5" ht="27" x14ac:dyDescent="0.25">
      <c r="A1770" s="508">
        <v>102997</v>
      </c>
      <c r="B1770" s="509" t="s">
        <v>4001</v>
      </c>
      <c r="C1770" s="508" t="s">
        <v>5</v>
      </c>
      <c r="D1770" s="510">
        <v>114.98</v>
      </c>
      <c r="E1770" s="461" t="s">
        <v>174</v>
      </c>
    </row>
    <row r="1771" spans="1:5" ht="27" x14ac:dyDescent="0.25">
      <c r="A1771" s="508">
        <v>102998</v>
      </c>
      <c r="B1771" s="509" t="s">
        <v>4002</v>
      </c>
      <c r="C1771" s="508" t="s">
        <v>5</v>
      </c>
      <c r="D1771" s="510">
        <v>109.73</v>
      </c>
      <c r="E1771" s="461" t="s">
        <v>174</v>
      </c>
    </row>
    <row r="1772" spans="1:5" ht="27" x14ac:dyDescent="0.25">
      <c r="A1772" s="508">
        <v>102999</v>
      </c>
      <c r="B1772" s="509" t="s">
        <v>4003</v>
      </c>
      <c r="C1772" s="508" t="s">
        <v>5</v>
      </c>
      <c r="D1772" s="510">
        <v>138.88</v>
      </c>
      <c r="E1772" s="461" t="s">
        <v>174</v>
      </c>
    </row>
    <row r="1773" spans="1:5" ht="27" x14ac:dyDescent="0.25">
      <c r="A1773" s="508">
        <v>103000</v>
      </c>
      <c r="B1773" s="509" t="s">
        <v>4004</v>
      </c>
      <c r="C1773" s="508" t="s">
        <v>5</v>
      </c>
      <c r="D1773" s="510">
        <v>139.47</v>
      </c>
      <c r="E1773" s="461" t="s">
        <v>174</v>
      </c>
    </row>
    <row r="1774" spans="1:5" ht="27" x14ac:dyDescent="0.25">
      <c r="A1774" s="508">
        <v>103001</v>
      </c>
      <c r="B1774" s="509" t="s">
        <v>4005</v>
      </c>
      <c r="C1774" s="508" t="s">
        <v>107</v>
      </c>
      <c r="D1774" s="510">
        <v>259.27</v>
      </c>
      <c r="E1774" s="461" t="s">
        <v>174</v>
      </c>
    </row>
    <row r="1775" spans="1:5" ht="27" x14ac:dyDescent="0.25">
      <c r="A1775" s="508">
        <v>103002</v>
      </c>
      <c r="B1775" s="509" t="s">
        <v>4006</v>
      </c>
      <c r="C1775" s="508" t="s">
        <v>107</v>
      </c>
      <c r="D1775" s="510">
        <v>322.95</v>
      </c>
      <c r="E1775" s="461" t="s">
        <v>174</v>
      </c>
    </row>
    <row r="1776" spans="1:5" ht="27" x14ac:dyDescent="0.25">
      <c r="A1776" s="508">
        <v>103003</v>
      </c>
      <c r="B1776" s="509" t="s">
        <v>4007</v>
      </c>
      <c r="C1776" s="508" t="s">
        <v>107</v>
      </c>
      <c r="D1776" s="510">
        <v>450.37</v>
      </c>
      <c r="E1776" s="461" t="s">
        <v>174</v>
      </c>
    </row>
    <row r="1777" spans="1:5" ht="27" x14ac:dyDescent="0.25">
      <c r="A1777" s="508">
        <v>103005</v>
      </c>
      <c r="B1777" s="509" t="s">
        <v>4008</v>
      </c>
      <c r="C1777" s="508" t="s">
        <v>107</v>
      </c>
      <c r="D1777" s="510">
        <v>645.65</v>
      </c>
      <c r="E1777" s="461" t="s">
        <v>174</v>
      </c>
    </row>
    <row r="1778" spans="1:5" ht="27" x14ac:dyDescent="0.25">
      <c r="A1778" s="508">
        <v>103006</v>
      </c>
      <c r="B1778" s="509" t="s">
        <v>4009</v>
      </c>
      <c r="C1778" s="508" t="s">
        <v>107</v>
      </c>
      <c r="D1778" s="510">
        <v>887.3</v>
      </c>
      <c r="E1778" s="461" t="s">
        <v>174</v>
      </c>
    </row>
    <row r="1779" spans="1:5" ht="27" x14ac:dyDescent="0.25">
      <c r="A1779" s="508">
        <v>103007</v>
      </c>
      <c r="B1779" s="509" t="s">
        <v>4010</v>
      </c>
      <c r="C1779" s="508" t="s">
        <v>107</v>
      </c>
      <c r="D1779" s="510">
        <v>1176.1500000000001</v>
      </c>
      <c r="E1779" s="461" t="s">
        <v>174</v>
      </c>
    </row>
    <row r="1780" spans="1:5" ht="27" x14ac:dyDescent="0.25">
      <c r="A1780" s="508">
        <v>97933</v>
      </c>
      <c r="B1780" s="509" t="s">
        <v>2215</v>
      </c>
      <c r="C1780" s="508" t="s">
        <v>107</v>
      </c>
      <c r="D1780" s="510">
        <v>1111.67</v>
      </c>
      <c r="E1780" s="461" t="s">
        <v>174</v>
      </c>
    </row>
    <row r="1781" spans="1:5" ht="27" x14ac:dyDescent="0.25">
      <c r="A1781" s="508">
        <v>97934</v>
      </c>
      <c r="B1781" s="509" t="s">
        <v>5245</v>
      </c>
      <c r="C1781" s="508" t="s">
        <v>107</v>
      </c>
      <c r="D1781" s="510">
        <v>2482.0700000000002</v>
      </c>
      <c r="E1781" s="461" t="s">
        <v>174</v>
      </c>
    </row>
    <row r="1782" spans="1:5" ht="27" x14ac:dyDescent="0.25">
      <c r="A1782" s="508">
        <v>97935</v>
      </c>
      <c r="B1782" s="509" t="s">
        <v>2216</v>
      </c>
      <c r="C1782" s="508" t="s">
        <v>107</v>
      </c>
      <c r="D1782" s="510">
        <v>913.78</v>
      </c>
      <c r="E1782" s="461" t="s">
        <v>174</v>
      </c>
    </row>
    <row r="1783" spans="1:5" ht="27" x14ac:dyDescent="0.25">
      <c r="A1783" s="508">
        <v>97936</v>
      </c>
      <c r="B1783" s="509" t="s">
        <v>2217</v>
      </c>
      <c r="C1783" s="508" t="s">
        <v>107</v>
      </c>
      <c r="D1783" s="510">
        <v>2116.5700000000002</v>
      </c>
      <c r="E1783" s="461" t="s">
        <v>174</v>
      </c>
    </row>
    <row r="1784" spans="1:5" ht="27" x14ac:dyDescent="0.25">
      <c r="A1784" s="508">
        <v>97947</v>
      </c>
      <c r="B1784" s="509" t="s">
        <v>2218</v>
      </c>
      <c r="C1784" s="508" t="s">
        <v>107</v>
      </c>
      <c r="D1784" s="508">
        <v>1917.18</v>
      </c>
      <c r="E1784" s="461" t="s">
        <v>174</v>
      </c>
    </row>
    <row r="1785" spans="1:5" ht="27" x14ac:dyDescent="0.25">
      <c r="A1785" s="508">
        <v>97948</v>
      </c>
      <c r="B1785" s="509" t="s">
        <v>2219</v>
      </c>
      <c r="C1785" s="508" t="s">
        <v>107</v>
      </c>
      <c r="D1785" s="508">
        <v>3524.45</v>
      </c>
      <c r="E1785" s="461" t="s">
        <v>174</v>
      </c>
    </row>
    <row r="1786" spans="1:5" ht="27" x14ac:dyDescent="0.25">
      <c r="A1786" s="508">
        <v>97949</v>
      </c>
      <c r="B1786" s="509" t="s">
        <v>2220</v>
      </c>
      <c r="C1786" s="508" t="s">
        <v>107</v>
      </c>
      <c r="D1786" s="510">
        <v>1936.42</v>
      </c>
      <c r="E1786" s="461" t="s">
        <v>174</v>
      </c>
    </row>
    <row r="1787" spans="1:5" ht="27" x14ac:dyDescent="0.25">
      <c r="A1787" s="508">
        <v>97950</v>
      </c>
      <c r="B1787" s="509" t="s">
        <v>2221</v>
      </c>
      <c r="C1787" s="508" t="s">
        <v>107</v>
      </c>
      <c r="D1787" s="510">
        <v>3399.82</v>
      </c>
      <c r="E1787" s="461" t="s">
        <v>174</v>
      </c>
    </row>
    <row r="1788" spans="1:5" ht="27" x14ac:dyDescent="0.25">
      <c r="A1788" s="508">
        <v>97951</v>
      </c>
      <c r="B1788" s="509" t="s">
        <v>2222</v>
      </c>
      <c r="C1788" s="508" t="s">
        <v>107</v>
      </c>
      <c r="D1788" s="510">
        <v>3092.32</v>
      </c>
      <c r="E1788" s="461" t="s">
        <v>174</v>
      </c>
    </row>
    <row r="1789" spans="1:5" ht="27" x14ac:dyDescent="0.25">
      <c r="A1789" s="508">
        <v>97952</v>
      </c>
      <c r="B1789" s="509" t="s">
        <v>2223</v>
      </c>
      <c r="C1789" s="508" t="s">
        <v>107</v>
      </c>
      <c r="D1789" s="510">
        <v>5331.8</v>
      </c>
      <c r="E1789" s="461" t="s">
        <v>174</v>
      </c>
    </row>
    <row r="1790" spans="1:5" ht="27" x14ac:dyDescent="0.25">
      <c r="A1790" s="508">
        <v>97953</v>
      </c>
      <c r="B1790" s="509" t="s">
        <v>2224</v>
      </c>
      <c r="C1790" s="508" t="s">
        <v>107</v>
      </c>
      <c r="D1790" s="510">
        <v>1480.77</v>
      </c>
      <c r="E1790" s="461" t="s">
        <v>174</v>
      </c>
    </row>
    <row r="1791" spans="1:5" ht="27" x14ac:dyDescent="0.25">
      <c r="A1791" s="508">
        <v>97955</v>
      </c>
      <c r="B1791" s="509" t="s">
        <v>2225</v>
      </c>
      <c r="C1791" s="508" t="s">
        <v>107</v>
      </c>
      <c r="D1791" s="510">
        <v>3201.38</v>
      </c>
      <c r="E1791" s="461" t="s">
        <v>174</v>
      </c>
    </row>
    <row r="1792" spans="1:5" ht="27" x14ac:dyDescent="0.25">
      <c r="A1792" s="508">
        <v>97956</v>
      </c>
      <c r="B1792" s="509" t="s">
        <v>2226</v>
      </c>
      <c r="C1792" s="508" t="s">
        <v>107</v>
      </c>
      <c r="D1792" s="510">
        <v>1602.34</v>
      </c>
      <c r="E1792" s="461" t="s">
        <v>174</v>
      </c>
    </row>
    <row r="1793" spans="1:5" ht="27" x14ac:dyDescent="0.25">
      <c r="A1793" s="508">
        <v>97957</v>
      </c>
      <c r="B1793" s="509" t="s">
        <v>2227</v>
      </c>
      <c r="C1793" s="508" t="s">
        <v>107</v>
      </c>
      <c r="D1793" s="510">
        <v>2856.13</v>
      </c>
      <c r="E1793" s="461" t="s">
        <v>174</v>
      </c>
    </row>
    <row r="1794" spans="1:5" ht="27" x14ac:dyDescent="0.25">
      <c r="A1794" s="508">
        <v>97961</v>
      </c>
      <c r="B1794" s="509" t="s">
        <v>2228</v>
      </c>
      <c r="C1794" s="508" t="s">
        <v>107</v>
      </c>
      <c r="D1794" s="510">
        <v>2591.46</v>
      </c>
      <c r="E1794" s="461" t="s">
        <v>174</v>
      </c>
    </row>
    <row r="1795" spans="1:5" ht="27" x14ac:dyDescent="0.25">
      <c r="A1795" s="508">
        <v>97973</v>
      </c>
      <c r="B1795" s="509" t="s">
        <v>2229</v>
      </c>
      <c r="C1795" s="508" t="s">
        <v>107</v>
      </c>
      <c r="D1795" s="510">
        <v>4829.41</v>
      </c>
      <c r="E1795" s="461" t="s">
        <v>174</v>
      </c>
    </row>
    <row r="1796" spans="1:5" ht="27" x14ac:dyDescent="0.25">
      <c r="A1796" s="508">
        <v>97974</v>
      </c>
      <c r="B1796" s="509" t="s">
        <v>5246</v>
      </c>
      <c r="C1796" s="508" t="s">
        <v>107</v>
      </c>
      <c r="D1796" s="508">
        <v>514.67999999999995</v>
      </c>
      <c r="E1796" s="461" t="s">
        <v>174</v>
      </c>
    </row>
    <row r="1797" spans="1:5" ht="27" x14ac:dyDescent="0.25">
      <c r="A1797" s="508">
        <v>97975</v>
      </c>
      <c r="B1797" s="509" t="s">
        <v>5247</v>
      </c>
      <c r="C1797" s="508" t="s">
        <v>107</v>
      </c>
      <c r="D1797" s="508">
        <v>665.85</v>
      </c>
      <c r="E1797" s="461" t="s">
        <v>174</v>
      </c>
    </row>
    <row r="1798" spans="1:5" ht="27" x14ac:dyDescent="0.25">
      <c r="A1798" s="508">
        <v>97976</v>
      </c>
      <c r="B1798" s="509" t="s">
        <v>5248</v>
      </c>
      <c r="C1798" s="508" t="s">
        <v>107</v>
      </c>
      <c r="D1798" s="508">
        <v>1238.0899999999999</v>
      </c>
      <c r="E1798" s="461" t="s">
        <v>174</v>
      </c>
    </row>
    <row r="1799" spans="1:5" ht="27" x14ac:dyDescent="0.25">
      <c r="A1799" s="508">
        <v>97977</v>
      </c>
      <c r="B1799" s="509" t="s">
        <v>5249</v>
      </c>
      <c r="C1799" s="508" t="s">
        <v>107</v>
      </c>
      <c r="D1799" s="510">
        <v>1769.94</v>
      </c>
      <c r="E1799" s="461" t="s">
        <v>174</v>
      </c>
    </row>
    <row r="1800" spans="1:5" ht="27" x14ac:dyDescent="0.25">
      <c r="A1800" s="508">
        <v>97978</v>
      </c>
      <c r="B1800" s="509" t="s">
        <v>5250</v>
      </c>
      <c r="C1800" s="508" t="s">
        <v>107</v>
      </c>
      <c r="D1800" s="510">
        <v>1022.46</v>
      </c>
      <c r="E1800" s="461" t="s">
        <v>174</v>
      </c>
    </row>
    <row r="1801" spans="1:5" ht="40.5" x14ac:dyDescent="0.25">
      <c r="A1801" s="508">
        <v>97980</v>
      </c>
      <c r="B1801" s="509" t="s">
        <v>5251</v>
      </c>
      <c r="C1801" s="508" t="s">
        <v>107</v>
      </c>
      <c r="D1801" s="510">
        <v>2261</v>
      </c>
      <c r="E1801" s="461" t="s">
        <v>174</v>
      </c>
    </row>
    <row r="1802" spans="1:5" ht="27" x14ac:dyDescent="0.25">
      <c r="A1802" s="508">
        <v>97981</v>
      </c>
      <c r="B1802" s="509" t="s">
        <v>2230</v>
      </c>
      <c r="C1802" s="508" t="s">
        <v>5</v>
      </c>
      <c r="D1802" s="510">
        <v>1308.6400000000001</v>
      </c>
      <c r="E1802" s="461" t="s">
        <v>174</v>
      </c>
    </row>
    <row r="1803" spans="1:5" ht="27" x14ac:dyDescent="0.25">
      <c r="A1803" s="508">
        <v>97983</v>
      </c>
      <c r="B1803" s="509" t="s">
        <v>2231</v>
      </c>
      <c r="C1803" s="508" t="s">
        <v>5</v>
      </c>
      <c r="D1803" s="510">
        <v>532.62</v>
      </c>
      <c r="E1803" s="461" t="s">
        <v>174</v>
      </c>
    </row>
    <row r="1804" spans="1:5" ht="27" x14ac:dyDescent="0.25">
      <c r="A1804" s="508">
        <v>97985</v>
      </c>
      <c r="B1804" s="509" t="s">
        <v>2232</v>
      </c>
      <c r="C1804" s="508" t="s">
        <v>5</v>
      </c>
      <c r="D1804" s="508">
        <v>1576.39</v>
      </c>
      <c r="E1804" s="461" t="s">
        <v>174</v>
      </c>
    </row>
    <row r="1805" spans="1:5" ht="27" x14ac:dyDescent="0.25">
      <c r="A1805" s="508">
        <v>97987</v>
      </c>
      <c r="B1805" s="509" t="s">
        <v>2233</v>
      </c>
      <c r="C1805" s="508" t="s">
        <v>5</v>
      </c>
      <c r="D1805" s="508">
        <v>708.79</v>
      </c>
      <c r="E1805" s="461" t="s">
        <v>174</v>
      </c>
    </row>
    <row r="1806" spans="1:5" ht="40.5" x14ac:dyDescent="0.25">
      <c r="A1806" s="508">
        <v>97988</v>
      </c>
      <c r="B1806" s="509" t="s">
        <v>5252</v>
      </c>
      <c r="C1806" s="508" t="s">
        <v>107</v>
      </c>
      <c r="D1806" s="508">
        <v>3307.06</v>
      </c>
      <c r="E1806" s="461" t="s">
        <v>174</v>
      </c>
    </row>
    <row r="1807" spans="1:5" ht="27" x14ac:dyDescent="0.25">
      <c r="A1807" s="508">
        <v>97989</v>
      </c>
      <c r="B1807" s="509" t="s">
        <v>2234</v>
      </c>
      <c r="C1807" s="508" t="s">
        <v>5</v>
      </c>
      <c r="D1807" s="508">
        <v>1844.05</v>
      </c>
      <c r="E1807" s="461" t="s">
        <v>174</v>
      </c>
    </row>
    <row r="1808" spans="1:5" ht="27" x14ac:dyDescent="0.25">
      <c r="A1808" s="508">
        <v>97991</v>
      </c>
      <c r="B1808" s="509" t="s">
        <v>2235</v>
      </c>
      <c r="C1808" s="508" t="s">
        <v>5</v>
      </c>
      <c r="D1808" s="508">
        <v>971.53</v>
      </c>
      <c r="E1808" s="461" t="s">
        <v>174</v>
      </c>
    </row>
    <row r="1809" spans="1:5" ht="40.5" x14ac:dyDescent="0.25">
      <c r="A1809" s="508">
        <v>97992</v>
      </c>
      <c r="B1809" s="509" t="s">
        <v>5253</v>
      </c>
      <c r="C1809" s="508" t="s">
        <v>107</v>
      </c>
      <c r="D1809" s="508">
        <v>4231.76</v>
      </c>
      <c r="E1809" s="461" t="s">
        <v>174</v>
      </c>
    </row>
    <row r="1810" spans="1:5" ht="27" x14ac:dyDescent="0.25">
      <c r="A1810" s="508">
        <v>97993</v>
      </c>
      <c r="B1810" s="509" t="s">
        <v>2236</v>
      </c>
      <c r="C1810" s="508" t="s">
        <v>5</v>
      </c>
      <c r="D1810" s="508">
        <v>2245.69</v>
      </c>
      <c r="E1810" s="461" t="s">
        <v>174</v>
      </c>
    </row>
    <row r="1811" spans="1:5" ht="40.5" x14ac:dyDescent="0.25">
      <c r="A1811" s="508">
        <v>97994</v>
      </c>
      <c r="B1811" s="509" t="s">
        <v>5254</v>
      </c>
      <c r="C1811" s="508" t="s">
        <v>107</v>
      </c>
      <c r="D1811" s="508">
        <v>2881</v>
      </c>
      <c r="E1811" s="461" t="s">
        <v>174</v>
      </c>
    </row>
    <row r="1812" spans="1:5" ht="27" x14ac:dyDescent="0.25">
      <c r="A1812" s="508">
        <v>97995</v>
      </c>
      <c r="B1812" s="509" t="s">
        <v>2237</v>
      </c>
      <c r="C1812" s="508" t="s">
        <v>5</v>
      </c>
      <c r="D1812" s="508">
        <v>1456.3</v>
      </c>
      <c r="E1812" s="461" t="s">
        <v>174</v>
      </c>
    </row>
    <row r="1813" spans="1:5" ht="27" x14ac:dyDescent="0.25">
      <c r="A1813" s="508">
        <v>97996</v>
      </c>
      <c r="B1813" s="509" t="s">
        <v>5255</v>
      </c>
      <c r="C1813" s="508" t="s">
        <v>107</v>
      </c>
      <c r="D1813" s="508">
        <v>3647.03</v>
      </c>
      <c r="E1813" s="461" t="s">
        <v>174</v>
      </c>
    </row>
    <row r="1814" spans="1:5" ht="27" x14ac:dyDescent="0.25">
      <c r="A1814" s="508">
        <v>97997</v>
      </c>
      <c r="B1814" s="509" t="s">
        <v>2238</v>
      </c>
      <c r="C1814" s="508" t="s">
        <v>5</v>
      </c>
      <c r="D1814" s="508">
        <v>1740.79</v>
      </c>
      <c r="E1814" s="461" t="s">
        <v>174</v>
      </c>
    </row>
    <row r="1815" spans="1:5" ht="27" x14ac:dyDescent="0.25">
      <c r="A1815" s="508">
        <v>97999</v>
      </c>
      <c r="B1815" s="509" t="s">
        <v>2239</v>
      </c>
      <c r="C1815" s="508" t="s">
        <v>5</v>
      </c>
      <c r="D1815" s="508">
        <v>2025.35</v>
      </c>
      <c r="E1815" s="461" t="s">
        <v>174</v>
      </c>
    </row>
    <row r="1816" spans="1:5" ht="27" x14ac:dyDescent="0.25">
      <c r="A1816" s="508">
        <v>98001</v>
      </c>
      <c r="B1816" s="509" t="s">
        <v>2240</v>
      </c>
      <c r="C1816" s="508" t="s">
        <v>5</v>
      </c>
      <c r="D1816" s="508">
        <v>2309.83</v>
      </c>
      <c r="E1816" s="461" t="s">
        <v>174</v>
      </c>
    </row>
    <row r="1817" spans="1:5" ht="27" x14ac:dyDescent="0.25">
      <c r="A1817" s="508">
        <v>98002</v>
      </c>
      <c r="B1817" s="509" t="s">
        <v>5256</v>
      </c>
      <c r="C1817" s="508" t="s">
        <v>107</v>
      </c>
      <c r="D1817" s="508">
        <v>5979.65</v>
      </c>
      <c r="E1817" s="461" t="s">
        <v>174</v>
      </c>
    </row>
    <row r="1818" spans="1:5" ht="27" x14ac:dyDescent="0.25">
      <c r="A1818" s="508">
        <v>98003</v>
      </c>
      <c r="B1818" s="509" t="s">
        <v>2241</v>
      </c>
      <c r="C1818" s="508" t="s">
        <v>5</v>
      </c>
      <c r="D1818" s="508">
        <v>2594.37</v>
      </c>
      <c r="E1818" s="461" t="s">
        <v>174</v>
      </c>
    </row>
    <row r="1819" spans="1:5" ht="27" x14ac:dyDescent="0.25">
      <c r="A1819" s="508">
        <v>98005</v>
      </c>
      <c r="B1819" s="509" t="s">
        <v>2242</v>
      </c>
      <c r="C1819" s="508" t="s">
        <v>5</v>
      </c>
      <c r="D1819" s="508">
        <v>2878.94</v>
      </c>
      <c r="E1819" s="461" t="s">
        <v>174</v>
      </c>
    </row>
    <row r="1820" spans="1:5" ht="27" x14ac:dyDescent="0.25">
      <c r="A1820" s="508">
        <v>98006</v>
      </c>
      <c r="B1820" s="509" t="s">
        <v>5257</v>
      </c>
      <c r="C1820" s="508" t="s">
        <v>107</v>
      </c>
      <c r="D1820" s="508">
        <v>7520.43</v>
      </c>
      <c r="E1820" s="461" t="s">
        <v>174</v>
      </c>
    </row>
    <row r="1821" spans="1:5" ht="27" x14ac:dyDescent="0.25">
      <c r="A1821" s="508">
        <v>98007</v>
      </c>
      <c r="B1821" s="509" t="s">
        <v>2243</v>
      </c>
      <c r="C1821" s="508" t="s">
        <v>5</v>
      </c>
      <c r="D1821" s="508">
        <v>3163.43</v>
      </c>
      <c r="E1821" s="461" t="s">
        <v>174</v>
      </c>
    </row>
    <row r="1822" spans="1:5" ht="40.5" x14ac:dyDescent="0.25">
      <c r="A1822" s="508">
        <v>98008</v>
      </c>
      <c r="B1822" s="509" t="s">
        <v>5258</v>
      </c>
      <c r="C1822" s="508" t="s">
        <v>107</v>
      </c>
      <c r="D1822" s="508">
        <v>4517.0600000000004</v>
      </c>
      <c r="E1822" s="461" t="s">
        <v>174</v>
      </c>
    </row>
    <row r="1823" spans="1:5" ht="27" x14ac:dyDescent="0.25">
      <c r="A1823" s="508">
        <v>98009</v>
      </c>
      <c r="B1823" s="509" t="s">
        <v>2244</v>
      </c>
      <c r="C1823" s="508" t="s">
        <v>5</v>
      </c>
      <c r="D1823" s="508">
        <v>2025.35</v>
      </c>
      <c r="E1823" s="461" t="s">
        <v>174</v>
      </c>
    </row>
    <row r="1824" spans="1:5" ht="27" x14ac:dyDescent="0.25">
      <c r="A1824" s="508">
        <v>98010</v>
      </c>
      <c r="B1824" s="509" t="s">
        <v>5259</v>
      </c>
      <c r="C1824" s="508" t="s">
        <v>107</v>
      </c>
      <c r="D1824" s="508">
        <v>5511.16</v>
      </c>
      <c r="E1824" s="461" t="s">
        <v>174</v>
      </c>
    </row>
    <row r="1825" spans="1:5" ht="27" x14ac:dyDescent="0.25">
      <c r="A1825" s="508">
        <v>98011</v>
      </c>
      <c r="B1825" s="509" t="s">
        <v>2245</v>
      </c>
      <c r="C1825" s="508" t="s">
        <v>5</v>
      </c>
      <c r="D1825" s="508">
        <v>2309.83</v>
      </c>
      <c r="E1825" s="461" t="s">
        <v>174</v>
      </c>
    </row>
    <row r="1826" spans="1:5" ht="40.5" x14ac:dyDescent="0.25">
      <c r="A1826" s="508">
        <v>98012</v>
      </c>
      <c r="B1826" s="509" t="s">
        <v>5260</v>
      </c>
      <c r="C1826" s="508" t="s">
        <v>107</v>
      </c>
      <c r="D1826" s="508">
        <v>6477.78</v>
      </c>
      <c r="E1826" s="461" t="s">
        <v>174</v>
      </c>
    </row>
    <row r="1827" spans="1:5" ht="27" x14ac:dyDescent="0.25">
      <c r="A1827" s="508">
        <v>98013</v>
      </c>
      <c r="B1827" s="509" t="s">
        <v>2246</v>
      </c>
      <c r="C1827" s="508" t="s">
        <v>5</v>
      </c>
      <c r="D1827" s="508">
        <v>2594.37</v>
      </c>
      <c r="E1827" s="461" t="s">
        <v>174</v>
      </c>
    </row>
    <row r="1828" spans="1:5" ht="27" x14ac:dyDescent="0.25">
      <c r="A1828" s="508">
        <v>98014</v>
      </c>
      <c r="B1828" s="509" t="s">
        <v>5261</v>
      </c>
      <c r="C1828" s="508" t="s">
        <v>107</v>
      </c>
      <c r="D1828" s="508">
        <v>7444.39</v>
      </c>
      <c r="E1828" s="461" t="s">
        <v>174</v>
      </c>
    </row>
    <row r="1829" spans="1:5" ht="27" x14ac:dyDescent="0.25">
      <c r="A1829" s="508">
        <v>98015</v>
      </c>
      <c r="B1829" s="509" t="s">
        <v>2247</v>
      </c>
      <c r="C1829" s="508" t="s">
        <v>5</v>
      </c>
      <c r="D1829" s="508">
        <v>2878.94</v>
      </c>
      <c r="E1829" s="461" t="s">
        <v>174</v>
      </c>
    </row>
    <row r="1830" spans="1:5" ht="40.5" x14ac:dyDescent="0.25">
      <c r="A1830" s="508">
        <v>98016</v>
      </c>
      <c r="B1830" s="509" t="s">
        <v>5262</v>
      </c>
      <c r="C1830" s="508" t="s">
        <v>107</v>
      </c>
      <c r="D1830" s="508">
        <v>8411.11</v>
      </c>
      <c r="E1830" s="461" t="s">
        <v>174</v>
      </c>
    </row>
    <row r="1831" spans="1:5" ht="27" x14ac:dyDescent="0.25">
      <c r="A1831" s="508">
        <v>98017</v>
      </c>
      <c r="B1831" s="509" t="s">
        <v>2248</v>
      </c>
      <c r="C1831" s="508" t="s">
        <v>5</v>
      </c>
      <c r="D1831" s="508">
        <v>3163.43</v>
      </c>
      <c r="E1831" s="461" t="s">
        <v>174</v>
      </c>
    </row>
    <row r="1832" spans="1:5" ht="27" x14ac:dyDescent="0.25">
      <c r="A1832" s="508">
        <v>98018</v>
      </c>
      <c r="B1832" s="509" t="s">
        <v>5263</v>
      </c>
      <c r="C1832" s="508" t="s">
        <v>107</v>
      </c>
      <c r="D1832" s="508">
        <v>9377.7000000000007</v>
      </c>
      <c r="E1832" s="461" t="s">
        <v>174</v>
      </c>
    </row>
    <row r="1833" spans="1:5" ht="27" x14ac:dyDescent="0.25">
      <c r="A1833" s="508">
        <v>98019</v>
      </c>
      <c r="B1833" s="509" t="s">
        <v>2249</v>
      </c>
      <c r="C1833" s="508" t="s">
        <v>5</v>
      </c>
      <c r="D1833" s="508">
        <v>3474.09</v>
      </c>
      <c r="E1833" s="461" t="s">
        <v>174</v>
      </c>
    </row>
    <row r="1834" spans="1:5" ht="27" x14ac:dyDescent="0.25">
      <c r="A1834" s="508">
        <v>98020</v>
      </c>
      <c r="B1834" s="509" t="s">
        <v>5264</v>
      </c>
      <c r="C1834" s="508" t="s">
        <v>107</v>
      </c>
      <c r="D1834" s="508">
        <v>6663.02</v>
      </c>
      <c r="E1834" s="461" t="s">
        <v>174</v>
      </c>
    </row>
    <row r="1835" spans="1:5" ht="27" x14ac:dyDescent="0.25">
      <c r="A1835" s="508">
        <v>98021</v>
      </c>
      <c r="B1835" s="509" t="s">
        <v>2250</v>
      </c>
      <c r="C1835" s="508" t="s">
        <v>5</v>
      </c>
      <c r="D1835" s="508">
        <v>2620.5500000000002</v>
      </c>
      <c r="E1835" s="461" t="s">
        <v>174</v>
      </c>
    </row>
    <row r="1836" spans="1:5" ht="27" x14ac:dyDescent="0.25">
      <c r="A1836" s="508">
        <v>98022</v>
      </c>
      <c r="B1836" s="509" t="s">
        <v>5265</v>
      </c>
      <c r="C1836" s="508" t="s">
        <v>107</v>
      </c>
      <c r="D1836" s="510">
        <v>7812.32</v>
      </c>
      <c r="E1836" s="461" t="s">
        <v>174</v>
      </c>
    </row>
    <row r="1837" spans="1:5" ht="27" x14ac:dyDescent="0.25">
      <c r="A1837" s="508">
        <v>98023</v>
      </c>
      <c r="B1837" s="509" t="s">
        <v>2251</v>
      </c>
      <c r="C1837" s="508" t="s">
        <v>5</v>
      </c>
      <c r="D1837" s="510">
        <v>2905.05</v>
      </c>
      <c r="E1837" s="461" t="s">
        <v>174</v>
      </c>
    </row>
    <row r="1838" spans="1:5" ht="27" x14ac:dyDescent="0.25">
      <c r="A1838" s="508">
        <v>98024</v>
      </c>
      <c r="B1838" s="509" t="s">
        <v>5266</v>
      </c>
      <c r="C1838" s="508" t="s">
        <v>107</v>
      </c>
      <c r="D1838" s="510">
        <v>9022.34</v>
      </c>
      <c r="E1838" s="461" t="s">
        <v>174</v>
      </c>
    </row>
    <row r="1839" spans="1:5" ht="27" x14ac:dyDescent="0.25">
      <c r="A1839" s="508">
        <v>98025</v>
      </c>
      <c r="B1839" s="509" t="s">
        <v>2252</v>
      </c>
      <c r="C1839" s="508" t="s">
        <v>5</v>
      </c>
      <c r="D1839" s="510">
        <v>3189.62</v>
      </c>
      <c r="E1839" s="461" t="s">
        <v>174</v>
      </c>
    </row>
    <row r="1840" spans="1:5" ht="27" x14ac:dyDescent="0.25">
      <c r="A1840" s="508">
        <v>98026</v>
      </c>
      <c r="B1840" s="509" t="s">
        <v>5267</v>
      </c>
      <c r="C1840" s="508" t="s">
        <v>107</v>
      </c>
      <c r="D1840" s="508">
        <v>10179.290000000001</v>
      </c>
      <c r="E1840" s="461" t="s">
        <v>174</v>
      </c>
    </row>
    <row r="1841" spans="1:5" ht="27" x14ac:dyDescent="0.25">
      <c r="A1841" s="508">
        <v>98027</v>
      </c>
      <c r="B1841" s="509" t="s">
        <v>2253</v>
      </c>
      <c r="C1841" s="508" t="s">
        <v>5</v>
      </c>
      <c r="D1841" s="508">
        <v>3474.09</v>
      </c>
      <c r="E1841" s="461" t="s">
        <v>174</v>
      </c>
    </row>
    <row r="1842" spans="1:5" ht="27" x14ac:dyDescent="0.25">
      <c r="A1842" s="508">
        <v>98028</v>
      </c>
      <c r="B1842" s="509" t="s">
        <v>5268</v>
      </c>
      <c r="C1842" s="508" t="s">
        <v>107</v>
      </c>
      <c r="D1842" s="508">
        <v>11336.28</v>
      </c>
      <c r="E1842" s="461" t="s">
        <v>174</v>
      </c>
    </row>
    <row r="1843" spans="1:5" ht="27" x14ac:dyDescent="0.25">
      <c r="A1843" s="508">
        <v>98029</v>
      </c>
      <c r="B1843" s="509" t="s">
        <v>2254</v>
      </c>
      <c r="C1843" s="508" t="s">
        <v>5</v>
      </c>
      <c r="D1843" s="508">
        <v>3763.99</v>
      </c>
      <c r="E1843" s="461" t="s">
        <v>174</v>
      </c>
    </row>
    <row r="1844" spans="1:5" ht="40.5" x14ac:dyDescent="0.25">
      <c r="A1844" s="508">
        <v>98030</v>
      </c>
      <c r="B1844" s="509" t="s">
        <v>5269</v>
      </c>
      <c r="C1844" s="508" t="s">
        <v>107</v>
      </c>
      <c r="D1844" s="508">
        <v>9237.2000000000007</v>
      </c>
      <c r="E1844" s="461" t="s">
        <v>174</v>
      </c>
    </row>
    <row r="1845" spans="1:5" ht="27" x14ac:dyDescent="0.25">
      <c r="A1845" s="508">
        <v>98031</v>
      </c>
      <c r="B1845" s="509" t="s">
        <v>2255</v>
      </c>
      <c r="C1845" s="508" t="s">
        <v>5</v>
      </c>
      <c r="D1845" s="508">
        <v>3195.07</v>
      </c>
      <c r="E1845" s="461" t="s">
        <v>174</v>
      </c>
    </row>
    <row r="1846" spans="1:5" ht="27" x14ac:dyDescent="0.25">
      <c r="A1846" s="508">
        <v>98032</v>
      </c>
      <c r="B1846" s="509" t="s">
        <v>5270</v>
      </c>
      <c r="C1846" s="508" t="s">
        <v>107</v>
      </c>
      <c r="D1846" s="508">
        <v>10632.11</v>
      </c>
      <c r="E1846" s="461" t="s">
        <v>174</v>
      </c>
    </row>
    <row r="1847" spans="1:5" ht="27" x14ac:dyDescent="0.25">
      <c r="A1847" s="508">
        <v>98033</v>
      </c>
      <c r="B1847" s="509" t="s">
        <v>2256</v>
      </c>
      <c r="C1847" s="508" t="s">
        <v>5</v>
      </c>
      <c r="D1847" s="508">
        <v>3479.55</v>
      </c>
      <c r="E1847" s="461" t="s">
        <v>174</v>
      </c>
    </row>
    <row r="1848" spans="1:5" ht="40.5" x14ac:dyDescent="0.25">
      <c r="A1848" s="508">
        <v>98034</v>
      </c>
      <c r="B1848" s="509" t="s">
        <v>5271</v>
      </c>
      <c r="C1848" s="508" t="s">
        <v>107</v>
      </c>
      <c r="D1848" s="508">
        <v>12027.03</v>
      </c>
      <c r="E1848" s="461" t="s">
        <v>174</v>
      </c>
    </row>
    <row r="1849" spans="1:5" ht="27" x14ac:dyDescent="0.25">
      <c r="A1849" s="508">
        <v>98035</v>
      </c>
      <c r="B1849" s="509" t="s">
        <v>2257</v>
      </c>
      <c r="C1849" s="508" t="s">
        <v>5</v>
      </c>
      <c r="D1849" s="508">
        <v>3763.99</v>
      </c>
      <c r="E1849" s="461" t="s">
        <v>174</v>
      </c>
    </row>
    <row r="1850" spans="1:5" ht="27" x14ac:dyDescent="0.25">
      <c r="A1850" s="508">
        <v>98036</v>
      </c>
      <c r="B1850" s="509" t="s">
        <v>5272</v>
      </c>
      <c r="C1850" s="508" t="s">
        <v>107</v>
      </c>
      <c r="D1850" s="508">
        <v>13422</v>
      </c>
      <c r="E1850" s="461" t="s">
        <v>174</v>
      </c>
    </row>
    <row r="1851" spans="1:5" ht="27" x14ac:dyDescent="0.25">
      <c r="A1851" s="508">
        <v>98037</v>
      </c>
      <c r="B1851" s="509" t="s">
        <v>2258</v>
      </c>
      <c r="C1851" s="508" t="s">
        <v>5</v>
      </c>
      <c r="D1851" s="510">
        <v>4053.92</v>
      </c>
      <c r="E1851" s="461" t="s">
        <v>174</v>
      </c>
    </row>
    <row r="1852" spans="1:5" ht="27" x14ac:dyDescent="0.25">
      <c r="A1852" s="508">
        <v>98038</v>
      </c>
      <c r="B1852" s="509" t="s">
        <v>5273</v>
      </c>
      <c r="C1852" s="508" t="s">
        <v>107</v>
      </c>
      <c r="D1852" s="510">
        <v>12283.18</v>
      </c>
      <c r="E1852" s="461" t="s">
        <v>174</v>
      </c>
    </row>
    <row r="1853" spans="1:5" ht="27" x14ac:dyDescent="0.25">
      <c r="A1853" s="508">
        <v>98039</v>
      </c>
      <c r="B1853" s="509" t="s">
        <v>2259</v>
      </c>
      <c r="C1853" s="508" t="s">
        <v>5</v>
      </c>
      <c r="D1853" s="510">
        <v>3769.45</v>
      </c>
      <c r="E1853" s="461" t="s">
        <v>174</v>
      </c>
    </row>
    <row r="1854" spans="1:5" ht="27" x14ac:dyDescent="0.25">
      <c r="A1854" s="508">
        <v>98040</v>
      </c>
      <c r="B1854" s="509" t="s">
        <v>5274</v>
      </c>
      <c r="C1854" s="508" t="s">
        <v>107</v>
      </c>
      <c r="D1854" s="510">
        <v>13886.42</v>
      </c>
      <c r="E1854" s="461" t="s">
        <v>174</v>
      </c>
    </row>
    <row r="1855" spans="1:5" ht="27" x14ac:dyDescent="0.25">
      <c r="A1855" s="508">
        <v>98041</v>
      </c>
      <c r="B1855" s="509" t="s">
        <v>2260</v>
      </c>
      <c r="C1855" s="508" t="s">
        <v>5</v>
      </c>
      <c r="D1855" s="510">
        <v>4053.92</v>
      </c>
      <c r="E1855" s="461" t="s">
        <v>174</v>
      </c>
    </row>
    <row r="1856" spans="1:5" ht="27" x14ac:dyDescent="0.25">
      <c r="A1856" s="508">
        <v>98042</v>
      </c>
      <c r="B1856" s="509" t="s">
        <v>5275</v>
      </c>
      <c r="C1856" s="508" t="s">
        <v>107</v>
      </c>
      <c r="D1856" s="510">
        <v>15489.72</v>
      </c>
      <c r="E1856" s="461" t="s">
        <v>174</v>
      </c>
    </row>
    <row r="1857" spans="1:5" ht="27" x14ac:dyDescent="0.25">
      <c r="A1857" s="508">
        <v>98043</v>
      </c>
      <c r="B1857" s="509" t="s">
        <v>2261</v>
      </c>
      <c r="C1857" s="508" t="s">
        <v>5</v>
      </c>
      <c r="D1857" s="510">
        <v>4343.95</v>
      </c>
      <c r="E1857" s="461" t="s">
        <v>174</v>
      </c>
    </row>
    <row r="1858" spans="1:5" ht="40.5" x14ac:dyDescent="0.25">
      <c r="A1858" s="508">
        <v>98044</v>
      </c>
      <c r="B1858" s="509" t="s">
        <v>5276</v>
      </c>
      <c r="C1858" s="508" t="s">
        <v>107</v>
      </c>
      <c r="D1858" s="510">
        <v>15745.9</v>
      </c>
      <c r="E1858" s="461" t="s">
        <v>174</v>
      </c>
    </row>
    <row r="1859" spans="1:5" ht="27" x14ac:dyDescent="0.25">
      <c r="A1859" s="508">
        <v>98045</v>
      </c>
      <c r="B1859" s="509" t="s">
        <v>2262</v>
      </c>
      <c r="C1859" s="508" t="s">
        <v>5</v>
      </c>
      <c r="D1859" s="510">
        <v>4343.95</v>
      </c>
      <c r="E1859" s="461" t="s">
        <v>174</v>
      </c>
    </row>
    <row r="1860" spans="1:5" ht="27" x14ac:dyDescent="0.25">
      <c r="A1860" s="508">
        <v>98046</v>
      </c>
      <c r="B1860" s="509" t="s">
        <v>5277</v>
      </c>
      <c r="C1860" s="508" t="s">
        <v>107</v>
      </c>
      <c r="D1860" s="510">
        <v>17557.32</v>
      </c>
      <c r="E1860" s="461" t="s">
        <v>174</v>
      </c>
    </row>
    <row r="1861" spans="1:5" ht="27" x14ac:dyDescent="0.25">
      <c r="A1861" s="508">
        <v>98047</v>
      </c>
      <c r="B1861" s="509" t="s">
        <v>2263</v>
      </c>
      <c r="C1861" s="508" t="s">
        <v>5</v>
      </c>
      <c r="D1861" s="510">
        <v>4633.8900000000003</v>
      </c>
      <c r="E1861" s="461" t="s">
        <v>174</v>
      </c>
    </row>
    <row r="1862" spans="1:5" ht="27" x14ac:dyDescent="0.25">
      <c r="A1862" s="508">
        <v>98048</v>
      </c>
      <c r="B1862" s="509" t="s">
        <v>5278</v>
      </c>
      <c r="C1862" s="508" t="s">
        <v>107</v>
      </c>
      <c r="D1862" s="510">
        <v>19625.04</v>
      </c>
      <c r="E1862" s="461" t="s">
        <v>174</v>
      </c>
    </row>
    <row r="1863" spans="1:5" ht="27" x14ac:dyDescent="0.25">
      <c r="A1863" s="508">
        <v>98049</v>
      </c>
      <c r="B1863" s="509" t="s">
        <v>2264</v>
      </c>
      <c r="C1863" s="508" t="s">
        <v>5</v>
      </c>
      <c r="D1863" s="510">
        <v>4870.5</v>
      </c>
      <c r="E1863" s="461" t="s">
        <v>174</v>
      </c>
    </row>
    <row r="1864" spans="1:5" ht="27" x14ac:dyDescent="0.25">
      <c r="A1864" s="508">
        <v>98050</v>
      </c>
      <c r="B1864" s="509" t="s">
        <v>2265</v>
      </c>
      <c r="C1864" s="508" t="s">
        <v>5</v>
      </c>
      <c r="D1864" s="510">
        <v>294.67</v>
      </c>
      <c r="E1864" s="461" t="s">
        <v>174</v>
      </c>
    </row>
    <row r="1865" spans="1:5" ht="27" x14ac:dyDescent="0.25">
      <c r="A1865" s="508">
        <v>98051</v>
      </c>
      <c r="B1865" s="509" t="s">
        <v>2266</v>
      </c>
      <c r="C1865" s="508" t="s">
        <v>5</v>
      </c>
      <c r="D1865" s="510">
        <v>1045.18</v>
      </c>
      <c r="E1865" s="461" t="s">
        <v>174</v>
      </c>
    </row>
    <row r="1866" spans="1:5" ht="40.5" x14ac:dyDescent="0.25">
      <c r="A1866" s="508">
        <v>98405</v>
      </c>
      <c r="B1866" s="509" t="s">
        <v>5279</v>
      </c>
      <c r="C1866" s="508" t="s">
        <v>107</v>
      </c>
      <c r="D1866" s="510">
        <v>2784.4</v>
      </c>
      <c r="E1866" s="461" t="s">
        <v>174</v>
      </c>
    </row>
    <row r="1867" spans="1:5" ht="27" x14ac:dyDescent="0.25">
      <c r="A1867" s="508">
        <v>98406</v>
      </c>
      <c r="B1867" s="509" t="s">
        <v>5280</v>
      </c>
      <c r="C1867" s="508" t="s">
        <v>107</v>
      </c>
      <c r="D1867" s="510">
        <v>6750.02</v>
      </c>
      <c r="E1867" s="461" t="s">
        <v>174</v>
      </c>
    </row>
    <row r="1868" spans="1:5" ht="27" x14ac:dyDescent="0.25">
      <c r="A1868" s="508">
        <v>98407</v>
      </c>
      <c r="B1868" s="509" t="s">
        <v>5281</v>
      </c>
      <c r="C1868" s="508" t="s">
        <v>107</v>
      </c>
      <c r="D1868" s="510">
        <v>4412.9799999999996</v>
      </c>
      <c r="E1868" s="461" t="s">
        <v>174</v>
      </c>
    </row>
    <row r="1869" spans="1:5" ht="27" x14ac:dyDescent="0.25">
      <c r="A1869" s="508">
        <v>98408</v>
      </c>
      <c r="B1869" s="509" t="s">
        <v>5282</v>
      </c>
      <c r="C1869" s="508" t="s">
        <v>107</v>
      </c>
      <c r="D1869" s="510">
        <v>5179.0200000000004</v>
      </c>
      <c r="E1869" s="461" t="s">
        <v>174</v>
      </c>
    </row>
    <row r="1870" spans="1:5" ht="27" x14ac:dyDescent="0.25">
      <c r="A1870" s="508">
        <v>98409</v>
      </c>
      <c r="B1870" s="509" t="s">
        <v>2267</v>
      </c>
      <c r="C1870" s="508" t="s">
        <v>5</v>
      </c>
      <c r="D1870" s="510">
        <v>403.38</v>
      </c>
      <c r="E1870" s="461" t="s">
        <v>174</v>
      </c>
    </row>
    <row r="1871" spans="1:5" ht="27" x14ac:dyDescent="0.25">
      <c r="A1871" s="508">
        <v>98410</v>
      </c>
      <c r="B1871" s="509" t="s">
        <v>5283</v>
      </c>
      <c r="C1871" s="508" t="s">
        <v>107</v>
      </c>
      <c r="D1871" s="510">
        <v>1308.3599999999999</v>
      </c>
      <c r="E1871" s="461" t="s">
        <v>174</v>
      </c>
    </row>
    <row r="1872" spans="1:5" ht="27" x14ac:dyDescent="0.25">
      <c r="A1872" s="508">
        <v>99240</v>
      </c>
      <c r="B1872" s="509" t="s">
        <v>2268</v>
      </c>
      <c r="C1872" s="508" t="s">
        <v>5</v>
      </c>
      <c r="D1872" s="510">
        <v>704.98</v>
      </c>
      <c r="E1872" s="461" t="s">
        <v>174</v>
      </c>
    </row>
    <row r="1873" spans="1:5" ht="27" x14ac:dyDescent="0.25">
      <c r="A1873" s="508">
        <v>99241</v>
      </c>
      <c r="B1873" s="509" t="s">
        <v>2269</v>
      </c>
      <c r="C1873" s="508" t="s">
        <v>5</v>
      </c>
      <c r="D1873" s="510">
        <v>1945.36</v>
      </c>
      <c r="E1873" s="461" t="s">
        <v>174</v>
      </c>
    </row>
    <row r="1874" spans="1:5" ht="40.5" x14ac:dyDescent="0.25">
      <c r="A1874" s="508">
        <v>99242</v>
      </c>
      <c r="B1874" s="509" t="s">
        <v>5284</v>
      </c>
      <c r="C1874" s="508" t="s">
        <v>107</v>
      </c>
      <c r="D1874" s="510">
        <v>3198.29</v>
      </c>
      <c r="E1874" s="461" t="s">
        <v>174</v>
      </c>
    </row>
    <row r="1875" spans="1:5" ht="27" x14ac:dyDescent="0.25">
      <c r="A1875" s="508">
        <v>99243</v>
      </c>
      <c r="B1875" s="509" t="s">
        <v>2270</v>
      </c>
      <c r="C1875" s="508" t="s">
        <v>5</v>
      </c>
      <c r="D1875" s="510">
        <v>1741.04</v>
      </c>
      <c r="E1875" s="461" t="s">
        <v>174</v>
      </c>
    </row>
    <row r="1876" spans="1:5" ht="40.5" x14ac:dyDescent="0.25">
      <c r="A1876" s="508">
        <v>99244</v>
      </c>
      <c r="B1876" s="509" t="s">
        <v>5285</v>
      </c>
      <c r="C1876" s="508" t="s">
        <v>107</v>
      </c>
      <c r="D1876" s="510">
        <v>5380.47</v>
      </c>
      <c r="E1876" s="461" t="s">
        <v>174</v>
      </c>
    </row>
    <row r="1877" spans="1:5" ht="27" x14ac:dyDescent="0.25">
      <c r="A1877" s="508">
        <v>99246</v>
      </c>
      <c r="B1877" s="509" t="s">
        <v>2271</v>
      </c>
      <c r="C1877" s="508" t="s">
        <v>5</v>
      </c>
      <c r="D1877" s="510">
        <v>966.33</v>
      </c>
      <c r="E1877" s="461" t="s">
        <v>174</v>
      </c>
    </row>
    <row r="1878" spans="1:5" ht="27" x14ac:dyDescent="0.25">
      <c r="A1878" s="508">
        <v>99247</v>
      </c>
      <c r="B1878" s="509" t="s">
        <v>2272</v>
      </c>
      <c r="C1878" s="508" t="s">
        <v>5</v>
      </c>
      <c r="D1878" s="510">
        <v>2218.09</v>
      </c>
      <c r="E1878" s="461" t="s">
        <v>174</v>
      </c>
    </row>
    <row r="1879" spans="1:5" ht="40.5" x14ac:dyDescent="0.25">
      <c r="A1879" s="508">
        <v>99248</v>
      </c>
      <c r="B1879" s="509" t="s">
        <v>5286</v>
      </c>
      <c r="C1879" s="508" t="s">
        <v>107</v>
      </c>
      <c r="D1879" s="510">
        <v>4100.49</v>
      </c>
      <c r="E1879" s="461" t="s">
        <v>174</v>
      </c>
    </row>
    <row r="1880" spans="1:5" ht="27" x14ac:dyDescent="0.25">
      <c r="A1880" s="508">
        <v>99249</v>
      </c>
      <c r="B1880" s="509" t="s">
        <v>2273</v>
      </c>
      <c r="C1880" s="508" t="s">
        <v>5</v>
      </c>
      <c r="D1880" s="510">
        <v>2126.64</v>
      </c>
      <c r="E1880" s="461" t="s">
        <v>174</v>
      </c>
    </row>
    <row r="1881" spans="1:5" ht="40.5" x14ac:dyDescent="0.25">
      <c r="A1881" s="508">
        <v>99252</v>
      </c>
      <c r="B1881" s="509" t="s">
        <v>5287</v>
      </c>
      <c r="C1881" s="508" t="s">
        <v>107</v>
      </c>
      <c r="D1881" s="510">
        <v>2812.88</v>
      </c>
      <c r="E1881" s="461" t="s">
        <v>174</v>
      </c>
    </row>
    <row r="1882" spans="1:5" ht="27" x14ac:dyDescent="0.25">
      <c r="A1882" s="508">
        <v>99254</v>
      </c>
      <c r="B1882" s="509" t="s">
        <v>2274</v>
      </c>
      <c r="C1882" s="508" t="s">
        <v>5</v>
      </c>
      <c r="D1882" s="510">
        <v>1399.83</v>
      </c>
      <c r="E1882" s="461" t="s">
        <v>174</v>
      </c>
    </row>
    <row r="1883" spans="1:5" ht="40.5" x14ac:dyDescent="0.25">
      <c r="A1883" s="508">
        <v>99256</v>
      </c>
      <c r="B1883" s="509" t="s">
        <v>5288</v>
      </c>
      <c r="C1883" s="508" t="s">
        <v>107</v>
      </c>
      <c r="D1883" s="510">
        <v>6323.54</v>
      </c>
      <c r="E1883" s="461" t="s">
        <v>174</v>
      </c>
    </row>
    <row r="1884" spans="1:5" ht="40.5" x14ac:dyDescent="0.25">
      <c r="A1884" s="508">
        <v>99259</v>
      </c>
      <c r="B1884" s="509" t="s">
        <v>5289</v>
      </c>
      <c r="C1884" s="508" t="s">
        <v>107</v>
      </c>
      <c r="D1884" s="510">
        <v>3560.11</v>
      </c>
      <c r="E1884" s="461" t="s">
        <v>174</v>
      </c>
    </row>
    <row r="1885" spans="1:5" ht="27" x14ac:dyDescent="0.25">
      <c r="A1885" s="508">
        <v>99261</v>
      </c>
      <c r="B1885" s="509" t="s">
        <v>2275</v>
      </c>
      <c r="C1885" s="508" t="s">
        <v>5</v>
      </c>
      <c r="D1885" s="510">
        <v>1672.57</v>
      </c>
      <c r="E1885" s="461" t="s">
        <v>174</v>
      </c>
    </row>
    <row r="1886" spans="1:5" ht="27" x14ac:dyDescent="0.25">
      <c r="A1886" s="508">
        <v>99263</v>
      </c>
      <c r="B1886" s="509" t="s">
        <v>2276</v>
      </c>
      <c r="C1886" s="508" t="s">
        <v>5</v>
      </c>
      <c r="D1886" s="510">
        <v>2490.85</v>
      </c>
      <c r="E1886" s="461" t="s">
        <v>174</v>
      </c>
    </row>
    <row r="1887" spans="1:5" ht="40.5" x14ac:dyDescent="0.25">
      <c r="A1887" s="508">
        <v>99265</v>
      </c>
      <c r="B1887" s="509" t="s">
        <v>5290</v>
      </c>
      <c r="C1887" s="508" t="s">
        <v>107</v>
      </c>
      <c r="D1887" s="510">
        <v>4307.26</v>
      </c>
      <c r="E1887" s="461" t="s">
        <v>174</v>
      </c>
    </row>
    <row r="1888" spans="1:5" ht="27" x14ac:dyDescent="0.25">
      <c r="A1888" s="508">
        <v>99266</v>
      </c>
      <c r="B1888" s="509" t="s">
        <v>2277</v>
      </c>
      <c r="C1888" s="508" t="s">
        <v>5</v>
      </c>
      <c r="D1888" s="510">
        <v>1945.36</v>
      </c>
      <c r="E1888" s="461" t="s">
        <v>174</v>
      </c>
    </row>
    <row r="1889" spans="1:5" ht="40.5" x14ac:dyDescent="0.25">
      <c r="A1889" s="508">
        <v>99267</v>
      </c>
      <c r="B1889" s="509" t="s">
        <v>5291</v>
      </c>
      <c r="C1889" s="508" t="s">
        <v>107</v>
      </c>
      <c r="D1889" s="510">
        <v>5054.5</v>
      </c>
      <c r="E1889" s="461" t="s">
        <v>174</v>
      </c>
    </row>
    <row r="1890" spans="1:5" ht="27" x14ac:dyDescent="0.25">
      <c r="A1890" s="508">
        <v>99268</v>
      </c>
      <c r="B1890" s="509" t="s">
        <v>5292</v>
      </c>
      <c r="C1890" s="508" t="s">
        <v>107</v>
      </c>
      <c r="D1890" s="510">
        <v>509.81</v>
      </c>
      <c r="E1890" s="461" t="s">
        <v>174</v>
      </c>
    </row>
    <row r="1891" spans="1:5" ht="27" x14ac:dyDescent="0.25">
      <c r="A1891" s="508">
        <v>99269</v>
      </c>
      <c r="B1891" s="509" t="s">
        <v>2278</v>
      </c>
      <c r="C1891" s="508" t="s">
        <v>5</v>
      </c>
      <c r="D1891" s="510">
        <v>2218.09</v>
      </c>
      <c r="E1891" s="461" t="s">
        <v>174</v>
      </c>
    </row>
    <row r="1892" spans="1:5" ht="27" x14ac:dyDescent="0.25">
      <c r="A1892" s="508">
        <v>99270</v>
      </c>
      <c r="B1892" s="509" t="s">
        <v>5293</v>
      </c>
      <c r="C1892" s="508" t="s">
        <v>107</v>
      </c>
      <c r="D1892" s="510">
        <v>660.16</v>
      </c>
      <c r="E1892" s="461" t="s">
        <v>174</v>
      </c>
    </row>
    <row r="1893" spans="1:5" ht="40.5" x14ac:dyDescent="0.25">
      <c r="A1893" s="508">
        <v>99271</v>
      </c>
      <c r="B1893" s="509" t="s">
        <v>5294</v>
      </c>
      <c r="C1893" s="508" t="s">
        <v>107</v>
      </c>
      <c r="D1893" s="510">
        <v>7266.58</v>
      </c>
      <c r="E1893" s="461" t="s">
        <v>174</v>
      </c>
    </row>
    <row r="1894" spans="1:5" ht="27" x14ac:dyDescent="0.25">
      <c r="A1894" s="508">
        <v>99272</v>
      </c>
      <c r="B1894" s="509" t="s">
        <v>5295</v>
      </c>
      <c r="C1894" s="508" t="s">
        <v>107</v>
      </c>
      <c r="D1894" s="510">
        <v>1189.1300000000001</v>
      </c>
      <c r="E1894" s="461" t="s">
        <v>174</v>
      </c>
    </row>
    <row r="1895" spans="1:5" ht="27" x14ac:dyDescent="0.25">
      <c r="A1895" s="508">
        <v>99273</v>
      </c>
      <c r="B1895" s="509" t="s">
        <v>5296</v>
      </c>
      <c r="C1895" s="508" t="s">
        <v>107</v>
      </c>
      <c r="D1895" s="510">
        <v>1683.15</v>
      </c>
      <c r="E1895" s="461" t="s">
        <v>174</v>
      </c>
    </row>
    <row r="1896" spans="1:5" ht="40.5" x14ac:dyDescent="0.25">
      <c r="A1896" s="508">
        <v>99274</v>
      </c>
      <c r="B1896" s="509" t="s">
        <v>5297</v>
      </c>
      <c r="C1896" s="508" t="s">
        <v>107</v>
      </c>
      <c r="D1896" s="510">
        <v>5836.34</v>
      </c>
      <c r="E1896" s="461" t="s">
        <v>174</v>
      </c>
    </row>
    <row r="1897" spans="1:5" ht="27" x14ac:dyDescent="0.25">
      <c r="A1897" s="508">
        <v>99275</v>
      </c>
      <c r="B1897" s="509" t="s">
        <v>5298</v>
      </c>
      <c r="C1897" s="508" t="s">
        <v>107</v>
      </c>
      <c r="D1897" s="510">
        <v>1012.91</v>
      </c>
      <c r="E1897" s="461" t="s">
        <v>174</v>
      </c>
    </row>
    <row r="1898" spans="1:5" ht="27" x14ac:dyDescent="0.25">
      <c r="A1898" s="508">
        <v>99276</v>
      </c>
      <c r="B1898" s="509" t="s">
        <v>2279</v>
      </c>
      <c r="C1898" s="508" t="s">
        <v>5</v>
      </c>
      <c r="D1898" s="510">
        <v>2763.66</v>
      </c>
      <c r="E1898" s="461" t="s">
        <v>174</v>
      </c>
    </row>
    <row r="1899" spans="1:5" ht="27" x14ac:dyDescent="0.25">
      <c r="A1899" s="508">
        <v>99277</v>
      </c>
      <c r="B1899" s="509" t="s">
        <v>2280</v>
      </c>
      <c r="C1899" s="508" t="s">
        <v>5</v>
      </c>
      <c r="D1899" s="510">
        <v>2490.85</v>
      </c>
      <c r="E1899" s="461" t="s">
        <v>174</v>
      </c>
    </row>
    <row r="1900" spans="1:5" ht="27" x14ac:dyDescent="0.25">
      <c r="A1900" s="508">
        <v>99278</v>
      </c>
      <c r="B1900" s="509" t="s">
        <v>2281</v>
      </c>
      <c r="C1900" s="508" t="s">
        <v>5</v>
      </c>
      <c r="D1900" s="510">
        <v>401.07</v>
      </c>
      <c r="E1900" s="461" t="s">
        <v>174</v>
      </c>
    </row>
    <row r="1901" spans="1:5" ht="40.5" x14ac:dyDescent="0.25">
      <c r="A1901" s="508">
        <v>99279</v>
      </c>
      <c r="B1901" s="509" t="s">
        <v>5299</v>
      </c>
      <c r="C1901" s="508" t="s">
        <v>107</v>
      </c>
      <c r="D1901" s="510">
        <v>6587.91</v>
      </c>
      <c r="E1901" s="461" t="s">
        <v>174</v>
      </c>
    </row>
    <row r="1902" spans="1:5" ht="40.5" x14ac:dyDescent="0.25">
      <c r="A1902" s="508">
        <v>99280</v>
      </c>
      <c r="B1902" s="509" t="s">
        <v>5300</v>
      </c>
      <c r="C1902" s="508" t="s">
        <v>107</v>
      </c>
      <c r="D1902" s="510">
        <v>2175.21</v>
      </c>
      <c r="E1902" s="461" t="s">
        <v>174</v>
      </c>
    </row>
    <row r="1903" spans="1:5" ht="27" x14ac:dyDescent="0.25">
      <c r="A1903" s="508">
        <v>99281</v>
      </c>
      <c r="B1903" s="509" t="s">
        <v>2282</v>
      </c>
      <c r="C1903" s="508" t="s">
        <v>5</v>
      </c>
      <c r="D1903" s="510">
        <v>2763.66</v>
      </c>
      <c r="E1903" s="461" t="s">
        <v>174</v>
      </c>
    </row>
    <row r="1904" spans="1:5" ht="27" x14ac:dyDescent="0.25">
      <c r="A1904" s="508">
        <v>99282</v>
      </c>
      <c r="B1904" s="509" t="s">
        <v>2283</v>
      </c>
      <c r="C1904" s="508" t="s">
        <v>5</v>
      </c>
      <c r="D1904" s="510">
        <v>3063.74</v>
      </c>
      <c r="E1904" s="461" t="s">
        <v>174</v>
      </c>
    </row>
    <row r="1905" spans="1:5" ht="27" x14ac:dyDescent="0.25">
      <c r="A1905" s="508">
        <v>99283</v>
      </c>
      <c r="B1905" s="509" t="s">
        <v>2284</v>
      </c>
      <c r="C1905" s="508" t="s">
        <v>5</v>
      </c>
      <c r="D1905" s="510">
        <v>1226.99</v>
      </c>
      <c r="E1905" s="461" t="s">
        <v>174</v>
      </c>
    </row>
    <row r="1906" spans="1:5" ht="40.5" x14ac:dyDescent="0.25">
      <c r="A1906" s="508">
        <v>99284</v>
      </c>
      <c r="B1906" s="509" t="s">
        <v>5301</v>
      </c>
      <c r="C1906" s="508" t="s">
        <v>107</v>
      </c>
      <c r="D1906" s="510">
        <v>8209.7199999999993</v>
      </c>
      <c r="E1906" s="461" t="s">
        <v>174</v>
      </c>
    </row>
    <row r="1907" spans="1:5" ht="27" x14ac:dyDescent="0.25">
      <c r="A1907" s="508">
        <v>99285</v>
      </c>
      <c r="B1907" s="509" t="s">
        <v>5302</v>
      </c>
      <c r="C1907" s="508" t="s">
        <v>107</v>
      </c>
      <c r="D1907" s="510">
        <v>1380.02</v>
      </c>
      <c r="E1907" s="461" t="s">
        <v>174</v>
      </c>
    </row>
    <row r="1908" spans="1:5" ht="40.5" x14ac:dyDescent="0.25">
      <c r="A1908" s="508">
        <v>99286</v>
      </c>
      <c r="B1908" s="509" t="s">
        <v>5303</v>
      </c>
      <c r="C1908" s="508" t="s">
        <v>107</v>
      </c>
      <c r="D1908" s="510">
        <v>7339.52</v>
      </c>
      <c r="E1908" s="461" t="s">
        <v>174</v>
      </c>
    </row>
    <row r="1909" spans="1:5" ht="40.5" x14ac:dyDescent="0.25">
      <c r="A1909" s="508">
        <v>99287</v>
      </c>
      <c r="B1909" s="509" t="s">
        <v>5304</v>
      </c>
      <c r="C1909" s="508" t="s">
        <v>107</v>
      </c>
      <c r="D1909" s="510">
        <v>10375.799999999999</v>
      </c>
      <c r="E1909" s="461" t="s">
        <v>174</v>
      </c>
    </row>
    <row r="1910" spans="1:5" ht="27" x14ac:dyDescent="0.25">
      <c r="A1910" s="508">
        <v>99288</v>
      </c>
      <c r="B1910" s="509" t="s">
        <v>2285</v>
      </c>
      <c r="C1910" s="508" t="s">
        <v>5</v>
      </c>
      <c r="D1910" s="510">
        <v>529.58000000000004</v>
      </c>
      <c r="E1910" s="461" t="s">
        <v>174</v>
      </c>
    </row>
    <row r="1911" spans="1:5" ht="27" x14ac:dyDescent="0.25">
      <c r="A1911" s="508">
        <v>99289</v>
      </c>
      <c r="B1911" s="509" t="s">
        <v>2286</v>
      </c>
      <c r="C1911" s="508" t="s">
        <v>5</v>
      </c>
      <c r="D1911" s="510">
        <v>3036.39</v>
      </c>
      <c r="E1911" s="461" t="s">
        <v>174</v>
      </c>
    </row>
    <row r="1912" spans="1:5" ht="40.5" x14ac:dyDescent="0.25">
      <c r="A1912" s="508">
        <v>99290</v>
      </c>
      <c r="B1912" s="509" t="s">
        <v>5305</v>
      </c>
      <c r="C1912" s="508" t="s">
        <v>107</v>
      </c>
      <c r="D1912" s="510">
        <v>4409.95</v>
      </c>
      <c r="E1912" s="461" t="s">
        <v>174</v>
      </c>
    </row>
    <row r="1913" spans="1:5" ht="27" x14ac:dyDescent="0.25">
      <c r="A1913" s="508">
        <v>99291</v>
      </c>
      <c r="B1913" s="509" t="s">
        <v>2287</v>
      </c>
      <c r="C1913" s="508" t="s">
        <v>5</v>
      </c>
      <c r="D1913" s="510">
        <v>3036.39</v>
      </c>
      <c r="E1913" s="461" t="s">
        <v>174</v>
      </c>
    </row>
    <row r="1914" spans="1:5" ht="40.5" x14ac:dyDescent="0.25">
      <c r="A1914" s="508">
        <v>99292</v>
      </c>
      <c r="B1914" s="509" t="s">
        <v>5306</v>
      </c>
      <c r="C1914" s="508" t="s">
        <v>107</v>
      </c>
      <c r="D1914" s="510">
        <v>2686.59</v>
      </c>
      <c r="E1914" s="461" t="s">
        <v>174</v>
      </c>
    </row>
    <row r="1915" spans="1:5" ht="27" x14ac:dyDescent="0.25">
      <c r="A1915" s="508">
        <v>99293</v>
      </c>
      <c r="B1915" s="509" t="s">
        <v>2288</v>
      </c>
      <c r="C1915" s="508" t="s">
        <v>5</v>
      </c>
      <c r="D1915" s="510">
        <v>1484.05</v>
      </c>
      <c r="E1915" s="461" t="s">
        <v>174</v>
      </c>
    </row>
    <row r="1916" spans="1:5" ht="40.5" x14ac:dyDescent="0.25">
      <c r="A1916" s="508">
        <v>99294</v>
      </c>
      <c r="B1916" s="509" t="s">
        <v>5307</v>
      </c>
      <c r="C1916" s="508" t="s">
        <v>107</v>
      </c>
      <c r="D1916" s="510">
        <v>9152.75</v>
      </c>
      <c r="E1916" s="461" t="s">
        <v>174</v>
      </c>
    </row>
    <row r="1917" spans="1:5" ht="27" x14ac:dyDescent="0.25">
      <c r="A1917" s="508">
        <v>99296</v>
      </c>
      <c r="B1917" s="509" t="s">
        <v>2289</v>
      </c>
      <c r="C1917" s="508" t="s">
        <v>5</v>
      </c>
      <c r="D1917" s="508">
        <v>3336.48</v>
      </c>
      <c r="E1917" s="461" t="s">
        <v>174</v>
      </c>
    </row>
    <row r="1918" spans="1:5" ht="27" x14ac:dyDescent="0.25">
      <c r="A1918" s="508">
        <v>99297</v>
      </c>
      <c r="B1918" s="509" t="s">
        <v>2290</v>
      </c>
      <c r="C1918" s="508" t="s">
        <v>5</v>
      </c>
      <c r="D1918" s="508">
        <v>3331.76</v>
      </c>
      <c r="E1918" s="461" t="s">
        <v>174</v>
      </c>
    </row>
    <row r="1919" spans="1:5" ht="40.5" x14ac:dyDescent="0.25">
      <c r="A1919" s="508">
        <v>99298</v>
      </c>
      <c r="B1919" s="509" t="s">
        <v>5308</v>
      </c>
      <c r="C1919" s="508" t="s">
        <v>107</v>
      </c>
      <c r="D1919" s="508">
        <v>11736.28</v>
      </c>
      <c r="E1919" s="461" t="s">
        <v>174</v>
      </c>
    </row>
    <row r="1920" spans="1:5" ht="27" x14ac:dyDescent="0.25">
      <c r="A1920" s="508">
        <v>99299</v>
      </c>
      <c r="B1920" s="509" t="s">
        <v>2291</v>
      </c>
      <c r="C1920" s="508" t="s">
        <v>5</v>
      </c>
      <c r="D1920" s="508">
        <v>3609.14</v>
      </c>
      <c r="E1920" s="461" t="s">
        <v>174</v>
      </c>
    </row>
    <row r="1921" spans="1:5" ht="40.5" x14ac:dyDescent="0.25">
      <c r="A1921" s="508">
        <v>99300</v>
      </c>
      <c r="B1921" s="509" t="s">
        <v>5309</v>
      </c>
      <c r="C1921" s="508" t="s">
        <v>107</v>
      </c>
      <c r="D1921" s="508">
        <v>13096.8</v>
      </c>
      <c r="E1921" s="461" t="s">
        <v>174</v>
      </c>
    </row>
    <row r="1922" spans="1:5" ht="40.5" x14ac:dyDescent="0.25">
      <c r="A1922" s="508">
        <v>99301</v>
      </c>
      <c r="B1922" s="509" t="s">
        <v>5310</v>
      </c>
      <c r="C1922" s="508" t="s">
        <v>107</v>
      </c>
      <c r="D1922" s="508">
        <v>6503.82</v>
      </c>
      <c r="E1922" s="461" t="s">
        <v>174</v>
      </c>
    </row>
    <row r="1923" spans="1:5" ht="27" x14ac:dyDescent="0.25">
      <c r="A1923" s="508">
        <v>99302</v>
      </c>
      <c r="B1923" s="509" t="s">
        <v>2292</v>
      </c>
      <c r="C1923" s="508" t="s">
        <v>5</v>
      </c>
      <c r="D1923" s="508">
        <v>3886.58</v>
      </c>
      <c r="E1923" s="461" t="s">
        <v>174</v>
      </c>
    </row>
    <row r="1924" spans="1:5" ht="40.5" x14ac:dyDescent="0.25">
      <c r="A1924" s="508">
        <v>99303</v>
      </c>
      <c r="B1924" s="509" t="s">
        <v>5311</v>
      </c>
      <c r="C1924" s="508" t="s">
        <v>107</v>
      </c>
      <c r="D1924" s="508">
        <v>11985.85</v>
      </c>
      <c r="E1924" s="461" t="s">
        <v>174</v>
      </c>
    </row>
    <row r="1925" spans="1:5" ht="27" x14ac:dyDescent="0.25">
      <c r="A1925" s="508">
        <v>99304</v>
      </c>
      <c r="B1925" s="509" t="s">
        <v>2293</v>
      </c>
      <c r="C1925" s="508" t="s">
        <v>5</v>
      </c>
      <c r="D1925" s="508">
        <v>3613.86</v>
      </c>
      <c r="E1925" s="461" t="s">
        <v>174</v>
      </c>
    </row>
    <row r="1926" spans="1:5" ht="40.5" x14ac:dyDescent="0.25">
      <c r="A1926" s="508">
        <v>99305</v>
      </c>
      <c r="B1926" s="509" t="s">
        <v>5312</v>
      </c>
      <c r="C1926" s="508" t="s">
        <v>107</v>
      </c>
      <c r="D1926" s="508">
        <v>13549.63</v>
      </c>
      <c r="E1926" s="461" t="s">
        <v>174</v>
      </c>
    </row>
    <row r="1927" spans="1:5" ht="27" x14ac:dyDescent="0.25">
      <c r="A1927" s="508">
        <v>99306</v>
      </c>
      <c r="B1927" s="509" t="s">
        <v>2294</v>
      </c>
      <c r="C1927" s="508" t="s">
        <v>5</v>
      </c>
      <c r="D1927" s="508">
        <v>3886.58</v>
      </c>
      <c r="E1927" s="461" t="s">
        <v>174</v>
      </c>
    </row>
    <row r="1928" spans="1:5" ht="27" x14ac:dyDescent="0.25">
      <c r="A1928" s="508">
        <v>99307</v>
      </c>
      <c r="B1928" s="509" t="s">
        <v>2295</v>
      </c>
      <c r="C1928" s="508" t="s">
        <v>5</v>
      </c>
      <c r="D1928" s="508">
        <v>2513.4899999999998</v>
      </c>
      <c r="E1928" s="461" t="s">
        <v>174</v>
      </c>
    </row>
    <row r="1929" spans="1:5" ht="40.5" x14ac:dyDescent="0.25">
      <c r="A1929" s="508">
        <v>99308</v>
      </c>
      <c r="B1929" s="509" t="s">
        <v>5313</v>
      </c>
      <c r="C1929" s="508" t="s">
        <v>107</v>
      </c>
      <c r="D1929" s="508">
        <v>15113.46</v>
      </c>
      <c r="E1929" s="461" t="s">
        <v>174</v>
      </c>
    </row>
    <row r="1930" spans="1:5" ht="27" x14ac:dyDescent="0.25">
      <c r="A1930" s="508">
        <v>99309</v>
      </c>
      <c r="B1930" s="509" t="s">
        <v>2296</v>
      </c>
      <c r="C1930" s="508" t="s">
        <v>5</v>
      </c>
      <c r="D1930" s="508">
        <v>4164.1000000000004</v>
      </c>
      <c r="E1930" s="461" t="s">
        <v>174</v>
      </c>
    </row>
    <row r="1931" spans="1:5" ht="40.5" x14ac:dyDescent="0.25">
      <c r="A1931" s="508">
        <v>99310</v>
      </c>
      <c r="B1931" s="509" t="s">
        <v>5314</v>
      </c>
      <c r="C1931" s="508" t="s">
        <v>107</v>
      </c>
      <c r="D1931" s="508">
        <v>15363.05</v>
      </c>
      <c r="E1931" s="461" t="s">
        <v>174</v>
      </c>
    </row>
    <row r="1932" spans="1:5" ht="27" x14ac:dyDescent="0.25">
      <c r="A1932" s="508">
        <v>99311</v>
      </c>
      <c r="B1932" s="509" t="s">
        <v>2297</v>
      </c>
      <c r="C1932" s="508" t="s">
        <v>5</v>
      </c>
      <c r="D1932" s="508">
        <v>4164.1000000000004</v>
      </c>
      <c r="E1932" s="461" t="s">
        <v>174</v>
      </c>
    </row>
    <row r="1933" spans="1:5" ht="40.5" x14ac:dyDescent="0.25">
      <c r="A1933" s="508">
        <v>99312</v>
      </c>
      <c r="B1933" s="509" t="s">
        <v>5315</v>
      </c>
      <c r="C1933" s="508" t="s">
        <v>107</v>
      </c>
      <c r="D1933" s="508">
        <v>7625.37</v>
      </c>
      <c r="E1933" s="461" t="s">
        <v>174</v>
      </c>
    </row>
    <row r="1934" spans="1:5" ht="40.5" x14ac:dyDescent="0.25">
      <c r="A1934" s="508">
        <v>99313</v>
      </c>
      <c r="B1934" s="509" t="s">
        <v>5316</v>
      </c>
      <c r="C1934" s="508" t="s">
        <v>107</v>
      </c>
      <c r="D1934" s="508">
        <v>17130</v>
      </c>
      <c r="E1934" s="461" t="s">
        <v>174</v>
      </c>
    </row>
    <row r="1935" spans="1:5" ht="27" x14ac:dyDescent="0.25">
      <c r="A1935" s="508">
        <v>99314</v>
      </c>
      <c r="B1935" s="509" t="s">
        <v>2298</v>
      </c>
      <c r="C1935" s="508" t="s">
        <v>5</v>
      </c>
      <c r="D1935" s="508">
        <v>4441.55</v>
      </c>
      <c r="E1935" s="461" t="s">
        <v>174</v>
      </c>
    </row>
    <row r="1936" spans="1:5" ht="40.5" x14ac:dyDescent="0.25">
      <c r="A1936" s="508">
        <v>99315</v>
      </c>
      <c r="B1936" s="509" t="s">
        <v>5317</v>
      </c>
      <c r="C1936" s="508" t="s">
        <v>107</v>
      </c>
      <c r="D1936" s="508">
        <v>19146.66</v>
      </c>
      <c r="E1936" s="461" t="s">
        <v>174</v>
      </c>
    </row>
    <row r="1937" spans="1:5" ht="27" x14ac:dyDescent="0.25">
      <c r="A1937" s="508">
        <v>99317</v>
      </c>
      <c r="B1937" s="509" t="s">
        <v>2299</v>
      </c>
      <c r="C1937" s="508" t="s">
        <v>5</v>
      </c>
      <c r="D1937" s="508">
        <v>2786.24</v>
      </c>
      <c r="E1937" s="461" t="s">
        <v>174</v>
      </c>
    </row>
    <row r="1938" spans="1:5" ht="27" x14ac:dyDescent="0.25">
      <c r="A1938" s="508">
        <v>99318</v>
      </c>
      <c r="B1938" s="509" t="s">
        <v>2300</v>
      </c>
      <c r="C1938" s="508" t="s">
        <v>5</v>
      </c>
      <c r="D1938" s="508">
        <v>293.63</v>
      </c>
      <c r="E1938" s="461" t="s">
        <v>174</v>
      </c>
    </row>
    <row r="1939" spans="1:5" ht="27" x14ac:dyDescent="0.25">
      <c r="A1939" s="508">
        <v>99319</v>
      </c>
      <c r="B1939" s="509" t="s">
        <v>2301</v>
      </c>
      <c r="C1939" s="508" t="s">
        <v>5</v>
      </c>
      <c r="D1939" s="508">
        <v>976.87</v>
      </c>
      <c r="E1939" s="461" t="s">
        <v>174</v>
      </c>
    </row>
    <row r="1940" spans="1:5" ht="40.5" x14ac:dyDescent="0.25">
      <c r="A1940" s="508">
        <v>99320</v>
      </c>
      <c r="B1940" s="509" t="s">
        <v>5318</v>
      </c>
      <c r="C1940" s="508" t="s">
        <v>107</v>
      </c>
      <c r="D1940" s="508">
        <v>8807.61</v>
      </c>
      <c r="E1940" s="461" t="s">
        <v>174</v>
      </c>
    </row>
    <row r="1941" spans="1:5" ht="27" x14ac:dyDescent="0.25">
      <c r="A1941" s="508">
        <v>99321</v>
      </c>
      <c r="B1941" s="509" t="s">
        <v>2302</v>
      </c>
      <c r="C1941" s="508" t="s">
        <v>5</v>
      </c>
      <c r="D1941" s="508">
        <v>3059.03</v>
      </c>
      <c r="E1941" s="461" t="s">
        <v>174</v>
      </c>
    </row>
    <row r="1942" spans="1:5" ht="40.5" x14ac:dyDescent="0.25">
      <c r="A1942" s="508">
        <v>99322</v>
      </c>
      <c r="B1942" s="509" t="s">
        <v>5319</v>
      </c>
      <c r="C1942" s="508" t="s">
        <v>107</v>
      </c>
      <c r="D1942" s="508">
        <v>9936.81</v>
      </c>
      <c r="E1942" s="461" t="s">
        <v>174</v>
      </c>
    </row>
    <row r="1943" spans="1:5" ht="27" x14ac:dyDescent="0.25">
      <c r="A1943" s="508">
        <v>99323</v>
      </c>
      <c r="B1943" s="509" t="s">
        <v>2303</v>
      </c>
      <c r="C1943" s="508" t="s">
        <v>5</v>
      </c>
      <c r="D1943" s="508">
        <v>3331.76</v>
      </c>
      <c r="E1943" s="461" t="s">
        <v>174</v>
      </c>
    </row>
    <row r="1944" spans="1:5" ht="40.5" x14ac:dyDescent="0.25">
      <c r="A1944" s="508">
        <v>99324</v>
      </c>
      <c r="B1944" s="509" t="s">
        <v>5320</v>
      </c>
      <c r="C1944" s="508" t="s">
        <v>107</v>
      </c>
      <c r="D1944" s="508">
        <v>11066.03</v>
      </c>
      <c r="E1944" s="461" t="s">
        <v>174</v>
      </c>
    </row>
    <row r="1945" spans="1:5" ht="27" x14ac:dyDescent="0.25">
      <c r="A1945" s="508">
        <v>99325</v>
      </c>
      <c r="B1945" s="509" t="s">
        <v>2304</v>
      </c>
      <c r="C1945" s="508" t="s">
        <v>5</v>
      </c>
      <c r="D1945" s="508">
        <v>3609.14</v>
      </c>
      <c r="E1945" s="461" t="s">
        <v>174</v>
      </c>
    </row>
    <row r="1946" spans="1:5" ht="40.5" x14ac:dyDescent="0.25">
      <c r="A1946" s="508">
        <v>99326</v>
      </c>
      <c r="B1946" s="509" t="s">
        <v>5321</v>
      </c>
      <c r="C1946" s="508" t="s">
        <v>107</v>
      </c>
      <c r="D1946" s="508">
        <v>9015.33</v>
      </c>
      <c r="E1946" s="461" t="s">
        <v>174</v>
      </c>
    </row>
    <row r="1947" spans="1:5" ht="27" x14ac:dyDescent="0.25">
      <c r="A1947" s="508">
        <v>99327</v>
      </c>
      <c r="B1947" s="509" t="s">
        <v>2305</v>
      </c>
      <c r="C1947" s="508" t="s">
        <v>5</v>
      </c>
      <c r="D1947" s="508">
        <v>4672.87</v>
      </c>
      <c r="E1947" s="461" t="s">
        <v>174</v>
      </c>
    </row>
    <row r="1948" spans="1:5" ht="27" x14ac:dyDescent="0.25">
      <c r="A1948" s="508">
        <v>101800</v>
      </c>
      <c r="B1948" s="509" t="s">
        <v>2306</v>
      </c>
      <c r="C1948" s="508" t="s">
        <v>107</v>
      </c>
      <c r="D1948" s="508">
        <v>1629.75</v>
      </c>
      <c r="E1948" s="461" t="s">
        <v>174</v>
      </c>
    </row>
    <row r="1949" spans="1:5" ht="27" x14ac:dyDescent="0.25">
      <c r="A1949" s="508">
        <v>101801</v>
      </c>
      <c r="B1949" s="509" t="s">
        <v>2307</v>
      </c>
      <c r="C1949" s="508" t="s">
        <v>107</v>
      </c>
      <c r="D1949" s="508">
        <v>1183.08</v>
      </c>
      <c r="E1949" s="461" t="s">
        <v>174</v>
      </c>
    </row>
    <row r="1950" spans="1:5" ht="27" x14ac:dyDescent="0.25">
      <c r="A1950" s="508">
        <v>101806</v>
      </c>
      <c r="B1950" s="509" t="s">
        <v>5322</v>
      </c>
      <c r="C1950" s="508" t="s">
        <v>107</v>
      </c>
      <c r="D1950" s="510">
        <v>593.94000000000005</v>
      </c>
      <c r="E1950" s="461" t="s">
        <v>174</v>
      </c>
    </row>
    <row r="1951" spans="1:5" ht="40.5" x14ac:dyDescent="0.25">
      <c r="A1951" s="508">
        <v>101807</v>
      </c>
      <c r="B1951" s="509" t="s">
        <v>5323</v>
      </c>
      <c r="C1951" s="508" t="s">
        <v>107</v>
      </c>
      <c r="D1951" s="510">
        <v>544.35</v>
      </c>
      <c r="E1951" s="461" t="s">
        <v>174</v>
      </c>
    </row>
    <row r="1952" spans="1:5" ht="27" x14ac:dyDescent="0.25">
      <c r="A1952" s="508">
        <v>101808</v>
      </c>
      <c r="B1952" s="509" t="s">
        <v>5324</v>
      </c>
      <c r="C1952" s="508" t="s">
        <v>107</v>
      </c>
      <c r="D1952" s="508">
        <v>558.96</v>
      </c>
      <c r="E1952" s="461" t="s">
        <v>174</v>
      </c>
    </row>
    <row r="1953" spans="1:5" ht="40.5" x14ac:dyDescent="0.25">
      <c r="A1953" s="508">
        <v>101809</v>
      </c>
      <c r="B1953" s="509" t="s">
        <v>5325</v>
      </c>
      <c r="C1953" s="508" t="s">
        <v>107</v>
      </c>
      <c r="D1953" s="508">
        <v>3122.57</v>
      </c>
      <c r="E1953" s="461" t="s">
        <v>174</v>
      </c>
    </row>
    <row r="1954" spans="1:5" ht="27" x14ac:dyDescent="0.25">
      <c r="A1954" s="508">
        <v>102139</v>
      </c>
      <c r="B1954" s="509" t="s">
        <v>5326</v>
      </c>
      <c r="C1954" s="508" t="s">
        <v>107</v>
      </c>
      <c r="D1954" s="508">
        <v>1800.24</v>
      </c>
      <c r="E1954" s="461" t="s">
        <v>174</v>
      </c>
    </row>
    <row r="1955" spans="1:5" ht="27" x14ac:dyDescent="0.25">
      <c r="A1955" s="508">
        <v>102141</v>
      </c>
      <c r="B1955" s="509" t="s">
        <v>5327</v>
      </c>
      <c r="C1955" s="508" t="s">
        <v>107</v>
      </c>
      <c r="D1955" s="508">
        <v>2778.39</v>
      </c>
      <c r="E1955" s="461" t="s">
        <v>174</v>
      </c>
    </row>
    <row r="1956" spans="1:5" ht="27" x14ac:dyDescent="0.25">
      <c r="A1956" s="508">
        <v>102142</v>
      </c>
      <c r="B1956" s="509" t="s">
        <v>5328</v>
      </c>
      <c r="C1956" s="508" t="s">
        <v>107</v>
      </c>
      <c r="D1956" s="510">
        <v>2735.24</v>
      </c>
      <c r="E1956" s="461" t="s">
        <v>174</v>
      </c>
    </row>
    <row r="1957" spans="1:5" ht="27" x14ac:dyDescent="0.25">
      <c r="A1957" s="508">
        <v>102457</v>
      </c>
      <c r="B1957" s="509" t="s">
        <v>5329</v>
      </c>
      <c r="C1957" s="508" t="s">
        <v>107</v>
      </c>
      <c r="D1957" s="510">
        <v>1740.49</v>
      </c>
      <c r="E1957" s="461" t="s">
        <v>174</v>
      </c>
    </row>
    <row r="1958" spans="1:5" ht="27" x14ac:dyDescent="0.25">
      <c r="A1958" s="508">
        <v>94263</v>
      </c>
      <c r="B1958" s="509" t="s">
        <v>5330</v>
      </c>
      <c r="C1958" s="508" t="s">
        <v>5</v>
      </c>
      <c r="D1958" s="508">
        <v>35.36</v>
      </c>
      <c r="E1958" s="461" t="s">
        <v>174</v>
      </c>
    </row>
    <row r="1959" spans="1:5" ht="27" x14ac:dyDescent="0.25">
      <c r="A1959" s="508">
        <v>94264</v>
      </c>
      <c r="B1959" s="509" t="s">
        <v>5331</v>
      </c>
      <c r="C1959" s="508" t="s">
        <v>5</v>
      </c>
      <c r="D1959" s="508">
        <v>40.28</v>
      </c>
      <c r="E1959" s="461" t="s">
        <v>174</v>
      </c>
    </row>
    <row r="1960" spans="1:5" ht="27" x14ac:dyDescent="0.25">
      <c r="A1960" s="508">
        <v>94265</v>
      </c>
      <c r="B1960" s="509" t="s">
        <v>5332</v>
      </c>
      <c r="C1960" s="508" t="s">
        <v>5</v>
      </c>
      <c r="D1960" s="508">
        <v>47.15</v>
      </c>
      <c r="E1960" s="461" t="s">
        <v>174</v>
      </c>
    </row>
    <row r="1961" spans="1:5" ht="27" x14ac:dyDescent="0.25">
      <c r="A1961" s="508">
        <v>94266</v>
      </c>
      <c r="B1961" s="509" t="s">
        <v>5333</v>
      </c>
      <c r="C1961" s="508" t="s">
        <v>5</v>
      </c>
      <c r="D1961" s="508">
        <v>52.79</v>
      </c>
      <c r="E1961" s="461" t="s">
        <v>174</v>
      </c>
    </row>
    <row r="1962" spans="1:5" ht="40.5" x14ac:dyDescent="0.25">
      <c r="A1962" s="508">
        <v>94267</v>
      </c>
      <c r="B1962" s="509" t="s">
        <v>5334</v>
      </c>
      <c r="C1962" s="508" t="s">
        <v>5</v>
      </c>
      <c r="D1962" s="508">
        <v>57.06</v>
      </c>
      <c r="E1962" s="461" t="s">
        <v>174</v>
      </c>
    </row>
    <row r="1963" spans="1:5" ht="40.5" x14ac:dyDescent="0.25">
      <c r="A1963" s="508">
        <v>94268</v>
      </c>
      <c r="B1963" s="509" t="s">
        <v>5335</v>
      </c>
      <c r="C1963" s="508" t="s">
        <v>5</v>
      </c>
      <c r="D1963" s="508">
        <v>63.26</v>
      </c>
      <c r="E1963" s="461" t="s">
        <v>174</v>
      </c>
    </row>
    <row r="1964" spans="1:5" ht="40.5" x14ac:dyDescent="0.25">
      <c r="A1964" s="508">
        <v>94269</v>
      </c>
      <c r="B1964" s="509" t="s">
        <v>5336</v>
      </c>
      <c r="C1964" s="508" t="s">
        <v>5</v>
      </c>
      <c r="D1964" s="508">
        <v>81.13</v>
      </c>
      <c r="E1964" s="461" t="s">
        <v>174</v>
      </c>
    </row>
    <row r="1965" spans="1:5" ht="40.5" x14ac:dyDescent="0.25">
      <c r="A1965" s="508">
        <v>94270</v>
      </c>
      <c r="B1965" s="509" t="s">
        <v>5337</v>
      </c>
      <c r="C1965" s="508" t="s">
        <v>5</v>
      </c>
      <c r="D1965" s="508">
        <v>89.76</v>
      </c>
      <c r="E1965" s="461" t="s">
        <v>174</v>
      </c>
    </row>
    <row r="1966" spans="1:5" ht="40.5" x14ac:dyDescent="0.25">
      <c r="A1966" s="508">
        <v>94271</v>
      </c>
      <c r="B1966" s="509" t="s">
        <v>5338</v>
      </c>
      <c r="C1966" s="508" t="s">
        <v>5</v>
      </c>
      <c r="D1966" s="508">
        <v>98.71</v>
      </c>
      <c r="E1966" s="461" t="s">
        <v>174</v>
      </c>
    </row>
    <row r="1967" spans="1:5" ht="40.5" x14ac:dyDescent="0.25">
      <c r="A1967" s="508">
        <v>94272</v>
      </c>
      <c r="B1967" s="509" t="s">
        <v>5339</v>
      </c>
      <c r="C1967" s="508" t="s">
        <v>5</v>
      </c>
      <c r="D1967" s="508">
        <v>110.24</v>
      </c>
      <c r="E1967" s="461" t="s">
        <v>174</v>
      </c>
    </row>
    <row r="1968" spans="1:5" ht="40.5" x14ac:dyDescent="0.25">
      <c r="A1968" s="508">
        <v>94273</v>
      </c>
      <c r="B1968" s="509" t="s">
        <v>5340</v>
      </c>
      <c r="C1968" s="508" t="s">
        <v>5</v>
      </c>
      <c r="D1968" s="510">
        <v>47.75</v>
      </c>
      <c r="E1968" s="461" t="s">
        <v>174</v>
      </c>
    </row>
    <row r="1969" spans="1:5" ht="40.5" x14ac:dyDescent="0.25">
      <c r="A1969" s="508">
        <v>94274</v>
      </c>
      <c r="B1969" s="509" t="s">
        <v>5341</v>
      </c>
      <c r="C1969" s="508" t="s">
        <v>5</v>
      </c>
      <c r="D1969" s="510">
        <v>50.82</v>
      </c>
      <c r="E1969" s="461" t="s">
        <v>174</v>
      </c>
    </row>
    <row r="1970" spans="1:5" ht="40.5" x14ac:dyDescent="0.25">
      <c r="A1970" s="508">
        <v>94275</v>
      </c>
      <c r="B1970" s="509" t="s">
        <v>5342</v>
      </c>
      <c r="C1970" s="508" t="s">
        <v>5</v>
      </c>
      <c r="D1970" s="510">
        <v>43.42</v>
      </c>
      <c r="E1970" s="461" t="s">
        <v>174</v>
      </c>
    </row>
    <row r="1971" spans="1:5" ht="40.5" x14ac:dyDescent="0.25">
      <c r="A1971" s="508">
        <v>94276</v>
      </c>
      <c r="B1971" s="509" t="s">
        <v>5343</v>
      </c>
      <c r="C1971" s="508" t="s">
        <v>5</v>
      </c>
      <c r="D1971" s="510">
        <v>46.5</v>
      </c>
      <c r="E1971" s="461" t="s">
        <v>174</v>
      </c>
    </row>
    <row r="1972" spans="1:5" ht="40.5" x14ac:dyDescent="0.25">
      <c r="A1972" s="508">
        <v>94277</v>
      </c>
      <c r="B1972" s="509" t="s">
        <v>5344</v>
      </c>
      <c r="C1972" s="508" t="s">
        <v>5</v>
      </c>
      <c r="D1972" s="510">
        <v>38.409999999999997</v>
      </c>
      <c r="E1972" s="461" t="s">
        <v>174</v>
      </c>
    </row>
    <row r="1973" spans="1:5" ht="40.5" x14ac:dyDescent="0.25">
      <c r="A1973" s="508">
        <v>94278</v>
      </c>
      <c r="B1973" s="509" t="s">
        <v>5345</v>
      </c>
      <c r="C1973" s="508" t="s">
        <v>5</v>
      </c>
      <c r="D1973" s="510">
        <v>41.48</v>
      </c>
      <c r="E1973" s="461" t="s">
        <v>174</v>
      </c>
    </row>
    <row r="1974" spans="1:5" ht="40.5" x14ac:dyDescent="0.25">
      <c r="A1974" s="508">
        <v>94279</v>
      </c>
      <c r="B1974" s="509" t="s">
        <v>5346</v>
      </c>
      <c r="C1974" s="508" t="s">
        <v>5</v>
      </c>
      <c r="D1974" s="508">
        <v>45.86</v>
      </c>
      <c r="E1974" s="461" t="s">
        <v>174</v>
      </c>
    </row>
    <row r="1975" spans="1:5" ht="40.5" x14ac:dyDescent="0.25">
      <c r="A1975" s="508">
        <v>94280</v>
      </c>
      <c r="B1975" s="509" t="s">
        <v>5347</v>
      </c>
      <c r="C1975" s="508" t="s">
        <v>5</v>
      </c>
      <c r="D1975" s="508">
        <v>48.93</v>
      </c>
      <c r="E1975" s="461" t="s">
        <v>174</v>
      </c>
    </row>
    <row r="1976" spans="1:5" ht="27" x14ac:dyDescent="0.25">
      <c r="A1976" s="508">
        <v>94281</v>
      </c>
      <c r="B1976" s="509" t="s">
        <v>5348</v>
      </c>
      <c r="C1976" s="508" t="s">
        <v>5</v>
      </c>
      <c r="D1976" s="508">
        <v>43.46</v>
      </c>
      <c r="E1976" s="461" t="s">
        <v>174</v>
      </c>
    </row>
    <row r="1977" spans="1:5" ht="27" x14ac:dyDescent="0.25">
      <c r="A1977" s="508">
        <v>94282</v>
      </c>
      <c r="B1977" s="509" t="s">
        <v>5349</v>
      </c>
      <c r="C1977" s="508" t="s">
        <v>5</v>
      </c>
      <c r="D1977" s="510">
        <v>51.57</v>
      </c>
      <c r="E1977" s="461" t="s">
        <v>174</v>
      </c>
    </row>
    <row r="1978" spans="1:5" ht="27" x14ac:dyDescent="0.25">
      <c r="A1978" s="508">
        <v>94283</v>
      </c>
      <c r="B1978" s="509" t="s">
        <v>5350</v>
      </c>
      <c r="C1978" s="508" t="s">
        <v>5</v>
      </c>
      <c r="D1978" s="510">
        <v>58.85</v>
      </c>
      <c r="E1978" s="461" t="s">
        <v>174</v>
      </c>
    </row>
    <row r="1979" spans="1:5" ht="27" x14ac:dyDescent="0.25">
      <c r="A1979" s="508">
        <v>94284</v>
      </c>
      <c r="B1979" s="509" t="s">
        <v>5351</v>
      </c>
      <c r="C1979" s="508" t="s">
        <v>5</v>
      </c>
      <c r="D1979" s="510">
        <v>66.97</v>
      </c>
      <c r="E1979" s="461" t="s">
        <v>174</v>
      </c>
    </row>
    <row r="1980" spans="1:5" ht="27" x14ac:dyDescent="0.25">
      <c r="A1980" s="508">
        <v>94285</v>
      </c>
      <c r="B1980" s="509" t="s">
        <v>5352</v>
      </c>
      <c r="C1980" s="508" t="s">
        <v>5</v>
      </c>
      <c r="D1980" s="508">
        <v>76.77</v>
      </c>
      <c r="E1980" s="461" t="s">
        <v>174</v>
      </c>
    </row>
    <row r="1981" spans="1:5" ht="27" x14ac:dyDescent="0.25">
      <c r="A1981" s="508">
        <v>94286</v>
      </c>
      <c r="B1981" s="509" t="s">
        <v>5353</v>
      </c>
      <c r="C1981" s="508" t="s">
        <v>5</v>
      </c>
      <c r="D1981" s="508">
        <v>84.89</v>
      </c>
      <c r="E1981" s="461" t="s">
        <v>174</v>
      </c>
    </row>
    <row r="1982" spans="1:5" ht="27" x14ac:dyDescent="0.25">
      <c r="A1982" s="508">
        <v>94287</v>
      </c>
      <c r="B1982" s="509" t="s">
        <v>5354</v>
      </c>
      <c r="C1982" s="508" t="s">
        <v>5</v>
      </c>
      <c r="D1982" s="508">
        <v>33.42</v>
      </c>
      <c r="E1982" s="461" t="s">
        <v>174</v>
      </c>
    </row>
    <row r="1983" spans="1:5" ht="27" x14ac:dyDescent="0.25">
      <c r="A1983" s="508">
        <v>94288</v>
      </c>
      <c r="B1983" s="509" t="s">
        <v>5355</v>
      </c>
      <c r="C1983" s="508" t="s">
        <v>5</v>
      </c>
      <c r="D1983" s="508">
        <v>40.64</v>
      </c>
      <c r="E1983" s="461" t="s">
        <v>174</v>
      </c>
    </row>
    <row r="1984" spans="1:5" ht="27" x14ac:dyDescent="0.25">
      <c r="A1984" s="508">
        <v>94289</v>
      </c>
      <c r="B1984" s="509" t="s">
        <v>5356</v>
      </c>
      <c r="C1984" s="508" t="s">
        <v>5</v>
      </c>
      <c r="D1984" s="508">
        <v>43.26</v>
      </c>
      <c r="E1984" s="461" t="s">
        <v>174</v>
      </c>
    </row>
    <row r="1985" spans="1:5" ht="27" x14ac:dyDescent="0.25">
      <c r="A1985" s="508">
        <v>94290</v>
      </c>
      <c r="B1985" s="509" t="s">
        <v>5357</v>
      </c>
      <c r="C1985" s="508" t="s">
        <v>5</v>
      </c>
      <c r="D1985" s="508">
        <v>50.48</v>
      </c>
      <c r="E1985" s="461" t="s">
        <v>174</v>
      </c>
    </row>
    <row r="1986" spans="1:5" ht="27" x14ac:dyDescent="0.25">
      <c r="A1986" s="508">
        <v>94291</v>
      </c>
      <c r="B1986" s="509" t="s">
        <v>5358</v>
      </c>
      <c r="C1986" s="508" t="s">
        <v>5</v>
      </c>
      <c r="D1986" s="510">
        <v>53.64</v>
      </c>
      <c r="E1986" s="461" t="s">
        <v>174</v>
      </c>
    </row>
    <row r="1987" spans="1:5" ht="27" x14ac:dyDescent="0.25">
      <c r="A1987" s="508">
        <v>94292</v>
      </c>
      <c r="B1987" s="509" t="s">
        <v>5359</v>
      </c>
      <c r="C1987" s="508" t="s">
        <v>5</v>
      </c>
      <c r="D1987" s="510">
        <v>60.86</v>
      </c>
      <c r="E1987" s="461" t="s">
        <v>174</v>
      </c>
    </row>
    <row r="1988" spans="1:5" ht="27" x14ac:dyDescent="0.25">
      <c r="A1988" s="508">
        <v>94293</v>
      </c>
      <c r="B1988" s="509" t="s">
        <v>5360</v>
      </c>
      <c r="C1988" s="508" t="s">
        <v>5</v>
      </c>
      <c r="D1988" s="508">
        <v>170.67</v>
      </c>
      <c r="E1988" s="461" t="s">
        <v>174</v>
      </c>
    </row>
    <row r="1989" spans="1:5" ht="15" x14ac:dyDescent="0.25">
      <c r="A1989" s="508">
        <v>94294</v>
      </c>
      <c r="B1989" s="509" t="s">
        <v>5361</v>
      </c>
      <c r="C1989" s="508" t="s">
        <v>5</v>
      </c>
      <c r="D1989" s="508">
        <v>9.56</v>
      </c>
      <c r="E1989" s="461" t="s">
        <v>174</v>
      </c>
    </row>
    <row r="1990" spans="1:5" ht="40.5" x14ac:dyDescent="0.25">
      <c r="A1990" s="508">
        <v>104491</v>
      </c>
      <c r="B1990" s="509" t="s">
        <v>5362</v>
      </c>
      <c r="C1990" s="508" t="s">
        <v>5</v>
      </c>
      <c r="D1990" s="508">
        <v>4032.54</v>
      </c>
      <c r="E1990" s="461" t="s">
        <v>174</v>
      </c>
    </row>
    <row r="1991" spans="1:5" ht="40.5" x14ac:dyDescent="0.25">
      <c r="A1991" s="508">
        <v>104492</v>
      </c>
      <c r="B1991" s="509" t="s">
        <v>5363</v>
      </c>
      <c r="C1991" s="508" t="s">
        <v>5</v>
      </c>
      <c r="D1991" s="508">
        <v>5042.68</v>
      </c>
      <c r="E1991" s="461" t="s">
        <v>174</v>
      </c>
    </row>
    <row r="1992" spans="1:5" ht="40.5" x14ac:dyDescent="0.25">
      <c r="A1992" s="508">
        <v>104494</v>
      </c>
      <c r="B1992" s="509" t="s">
        <v>5364</v>
      </c>
      <c r="C1992" s="508" t="s">
        <v>5</v>
      </c>
      <c r="D1992" s="508">
        <v>6809.68</v>
      </c>
      <c r="E1992" s="461" t="s">
        <v>174</v>
      </c>
    </row>
    <row r="1993" spans="1:5" ht="40.5" x14ac:dyDescent="0.25">
      <c r="A1993" s="508">
        <v>104497</v>
      </c>
      <c r="B1993" s="509" t="s">
        <v>5365</v>
      </c>
      <c r="C1993" s="508" t="s">
        <v>5</v>
      </c>
      <c r="D1993" s="508">
        <v>8159.54</v>
      </c>
      <c r="E1993" s="461" t="s">
        <v>174</v>
      </c>
    </row>
    <row r="1994" spans="1:5" ht="27" x14ac:dyDescent="0.25">
      <c r="A1994" s="508">
        <v>104515</v>
      </c>
      <c r="B1994" s="509" t="s">
        <v>5366</v>
      </c>
      <c r="C1994" s="508" t="s">
        <v>150</v>
      </c>
      <c r="D1994" s="510">
        <v>21.85</v>
      </c>
      <c r="E1994" s="461" t="s">
        <v>174</v>
      </c>
    </row>
    <row r="1995" spans="1:5" ht="27" x14ac:dyDescent="0.25">
      <c r="A1995" s="508">
        <v>102727</v>
      </c>
      <c r="B1995" s="509" t="s">
        <v>3700</v>
      </c>
      <c r="C1995" s="508" t="s">
        <v>150</v>
      </c>
      <c r="D1995" s="508">
        <v>96.7</v>
      </c>
      <c r="E1995" s="461" t="s">
        <v>174</v>
      </c>
    </row>
    <row r="1996" spans="1:5" ht="27" x14ac:dyDescent="0.25">
      <c r="A1996" s="508">
        <v>102728</v>
      </c>
      <c r="B1996" s="509" t="s">
        <v>3701</v>
      </c>
      <c r="C1996" s="508" t="s">
        <v>106</v>
      </c>
      <c r="D1996" s="508">
        <v>14.78</v>
      </c>
      <c r="E1996" s="461" t="s">
        <v>174</v>
      </c>
    </row>
    <row r="1997" spans="1:5" ht="15" x14ac:dyDescent="0.25">
      <c r="A1997" s="508">
        <v>102729</v>
      </c>
      <c r="B1997" s="509" t="s">
        <v>3702</v>
      </c>
      <c r="C1997" s="508" t="s">
        <v>106</v>
      </c>
      <c r="D1997" s="508">
        <v>13.53</v>
      </c>
      <c r="E1997" s="461" t="s">
        <v>174</v>
      </c>
    </row>
    <row r="1998" spans="1:5" ht="15" x14ac:dyDescent="0.25">
      <c r="A1998" s="508">
        <v>102730</v>
      </c>
      <c r="B1998" s="509" t="s">
        <v>3703</v>
      </c>
      <c r="C1998" s="508" t="s">
        <v>106</v>
      </c>
      <c r="D1998" s="508">
        <v>11.89</v>
      </c>
      <c r="E1998" s="461" t="s">
        <v>174</v>
      </c>
    </row>
    <row r="1999" spans="1:5" ht="27" x14ac:dyDescent="0.25">
      <c r="A1999" s="508">
        <v>102731</v>
      </c>
      <c r="B1999" s="509" t="s">
        <v>3704</v>
      </c>
      <c r="C1999" s="508" t="s">
        <v>106</v>
      </c>
      <c r="D1999" s="508">
        <v>9.92</v>
      </c>
      <c r="E1999" s="461" t="s">
        <v>174</v>
      </c>
    </row>
    <row r="2000" spans="1:5" ht="15" x14ac:dyDescent="0.25">
      <c r="A2000" s="508">
        <v>102732</v>
      </c>
      <c r="B2000" s="509" t="s">
        <v>3705</v>
      </c>
      <c r="C2000" s="508" t="s">
        <v>106</v>
      </c>
      <c r="D2000" s="508">
        <v>9.25</v>
      </c>
      <c r="E2000" s="461" t="s">
        <v>174</v>
      </c>
    </row>
    <row r="2001" spans="1:5" ht="15" x14ac:dyDescent="0.25">
      <c r="A2001" s="508">
        <v>102733</v>
      </c>
      <c r="B2001" s="509" t="s">
        <v>3706</v>
      </c>
      <c r="C2001" s="508" t="s">
        <v>106</v>
      </c>
      <c r="D2001" s="508">
        <v>10.199999999999999</v>
      </c>
      <c r="E2001" s="461" t="s">
        <v>174</v>
      </c>
    </row>
    <row r="2002" spans="1:5" ht="15" x14ac:dyDescent="0.25">
      <c r="A2002" s="508">
        <v>102734</v>
      </c>
      <c r="B2002" s="509" t="s">
        <v>3707</v>
      </c>
      <c r="C2002" s="508" t="s">
        <v>106</v>
      </c>
      <c r="D2002" s="510">
        <v>13.7</v>
      </c>
      <c r="E2002" s="461" t="s">
        <v>174</v>
      </c>
    </row>
    <row r="2003" spans="1:5" ht="15" x14ac:dyDescent="0.25">
      <c r="A2003" s="508">
        <v>102735</v>
      </c>
      <c r="B2003" s="509" t="s">
        <v>3708</v>
      </c>
      <c r="C2003" s="508" t="s">
        <v>106</v>
      </c>
      <c r="D2003" s="510">
        <v>12.6</v>
      </c>
      <c r="E2003" s="461" t="s">
        <v>174</v>
      </c>
    </row>
    <row r="2004" spans="1:5" ht="27" x14ac:dyDescent="0.25">
      <c r="A2004" s="508">
        <v>102736</v>
      </c>
      <c r="B2004" s="509" t="s">
        <v>3709</v>
      </c>
      <c r="C2004" s="508" t="s">
        <v>163</v>
      </c>
      <c r="D2004" s="510">
        <v>595.79999999999995</v>
      </c>
      <c r="E2004" s="461" t="s">
        <v>174</v>
      </c>
    </row>
    <row r="2005" spans="1:5" ht="27" x14ac:dyDescent="0.25">
      <c r="A2005" s="508">
        <v>102737</v>
      </c>
      <c r="B2005" s="509" t="s">
        <v>3710</v>
      </c>
      <c r="C2005" s="508" t="s">
        <v>107</v>
      </c>
      <c r="D2005" s="508">
        <v>1077.3399999999999</v>
      </c>
      <c r="E2005" s="461" t="s">
        <v>174</v>
      </c>
    </row>
    <row r="2006" spans="1:5" ht="27" x14ac:dyDescent="0.25">
      <c r="A2006" s="508">
        <v>102738</v>
      </c>
      <c r="B2006" s="509" t="s">
        <v>3711</v>
      </c>
      <c r="C2006" s="508" t="s">
        <v>107</v>
      </c>
      <c r="D2006" s="508">
        <v>2201.63</v>
      </c>
      <c r="E2006" s="461" t="s">
        <v>174</v>
      </c>
    </row>
    <row r="2007" spans="1:5" ht="27" x14ac:dyDescent="0.25">
      <c r="A2007" s="508">
        <v>102739</v>
      </c>
      <c r="B2007" s="509" t="s">
        <v>3712</v>
      </c>
      <c r="C2007" s="508" t="s">
        <v>107</v>
      </c>
      <c r="D2007" s="508">
        <v>3673.8</v>
      </c>
      <c r="E2007" s="461" t="s">
        <v>174</v>
      </c>
    </row>
    <row r="2008" spans="1:5" ht="27" x14ac:dyDescent="0.25">
      <c r="A2008" s="508">
        <v>102740</v>
      </c>
      <c r="B2008" s="509" t="s">
        <v>3713</v>
      </c>
      <c r="C2008" s="508" t="s">
        <v>107</v>
      </c>
      <c r="D2008" s="508">
        <v>5494.06</v>
      </c>
      <c r="E2008" s="461" t="s">
        <v>174</v>
      </c>
    </row>
    <row r="2009" spans="1:5" ht="27" x14ac:dyDescent="0.25">
      <c r="A2009" s="508">
        <v>102741</v>
      </c>
      <c r="B2009" s="509" t="s">
        <v>3714</v>
      </c>
      <c r="C2009" s="508" t="s">
        <v>107</v>
      </c>
      <c r="D2009" s="510">
        <v>7698.22</v>
      </c>
      <c r="E2009" s="461" t="s">
        <v>174</v>
      </c>
    </row>
    <row r="2010" spans="1:5" ht="27" x14ac:dyDescent="0.25">
      <c r="A2010" s="508">
        <v>102742</v>
      </c>
      <c r="B2010" s="509" t="s">
        <v>3715</v>
      </c>
      <c r="C2010" s="508" t="s">
        <v>107</v>
      </c>
      <c r="D2010" s="510">
        <v>13312.8</v>
      </c>
      <c r="E2010" s="461" t="s">
        <v>174</v>
      </c>
    </row>
    <row r="2011" spans="1:5" ht="27" x14ac:dyDescent="0.25">
      <c r="A2011" s="508">
        <v>102743</v>
      </c>
      <c r="B2011" s="509" t="s">
        <v>3716</v>
      </c>
      <c r="C2011" s="508" t="s">
        <v>107</v>
      </c>
      <c r="D2011" s="508">
        <v>4478.96</v>
      </c>
      <c r="E2011" s="461" t="s">
        <v>174</v>
      </c>
    </row>
    <row r="2012" spans="1:5" ht="27" x14ac:dyDescent="0.25">
      <c r="A2012" s="508">
        <v>102744</v>
      </c>
      <c r="B2012" s="509" t="s">
        <v>3717</v>
      </c>
      <c r="C2012" s="508" t="s">
        <v>107</v>
      </c>
      <c r="D2012" s="508">
        <v>6690.94</v>
      </c>
      <c r="E2012" s="461" t="s">
        <v>174</v>
      </c>
    </row>
    <row r="2013" spans="1:5" ht="27" x14ac:dyDescent="0.25">
      <c r="A2013" s="508">
        <v>102745</v>
      </c>
      <c r="B2013" s="509" t="s">
        <v>3718</v>
      </c>
      <c r="C2013" s="508" t="s">
        <v>107</v>
      </c>
      <c r="D2013" s="508">
        <v>9384.31</v>
      </c>
      <c r="E2013" s="461" t="s">
        <v>174</v>
      </c>
    </row>
    <row r="2014" spans="1:5" ht="27" x14ac:dyDescent="0.25">
      <c r="A2014" s="508">
        <v>102746</v>
      </c>
      <c r="B2014" s="509" t="s">
        <v>3719</v>
      </c>
      <c r="C2014" s="508" t="s">
        <v>107</v>
      </c>
      <c r="D2014" s="508">
        <v>16246.14</v>
      </c>
      <c r="E2014" s="461" t="s">
        <v>174</v>
      </c>
    </row>
    <row r="2015" spans="1:5" ht="27" x14ac:dyDescent="0.25">
      <c r="A2015" s="508">
        <v>102747</v>
      </c>
      <c r="B2015" s="509" t="s">
        <v>3720</v>
      </c>
      <c r="C2015" s="508" t="s">
        <v>107</v>
      </c>
      <c r="D2015" s="508">
        <v>8326.5</v>
      </c>
      <c r="E2015" s="461" t="s">
        <v>174</v>
      </c>
    </row>
    <row r="2016" spans="1:5" ht="27" x14ac:dyDescent="0.25">
      <c r="A2016" s="508">
        <v>102748</v>
      </c>
      <c r="B2016" s="509" t="s">
        <v>3721</v>
      </c>
      <c r="C2016" s="508" t="s">
        <v>107</v>
      </c>
      <c r="D2016" s="508">
        <v>11627.18</v>
      </c>
      <c r="E2016" s="461" t="s">
        <v>174</v>
      </c>
    </row>
    <row r="2017" spans="1:5" ht="27" x14ac:dyDescent="0.25">
      <c r="A2017" s="508">
        <v>102749</v>
      </c>
      <c r="B2017" s="509" t="s">
        <v>3722</v>
      </c>
      <c r="C2017" s="508" t="s">
        <v>107</v>
      </c>
      <c r="D2017" s="508">
        <v>19939.61</v>
      </c>
      <c r="E2017" s="461" t="s">
        <v>174</v>
      </c>
    </row>
    <row r="2018" spans="1:5" ht="27" x14ac:dyDescent="0.25">
      <c r="A2018" s="508">
        <v>102750</v>
      </c>
      <c r="B2018" s="509" t="s">
        <v>3723</v>
      </c>
      <c r="C2018" s="508" t="s">
        <v>107</v>
      </c>
      <c r="D2018" s="508">
        <v>2681.67</v>
      </c>
      <c r="E2018" s="461" t="s">
        <v>174</v>
      </c>
    </row>
    <row r="2019" spans="1:5" ht="27" x14ac:dyDescent="0.25">
      <c r="A2019" s="508">
        <v>102751</v>
      </c>
      <c r="B2019" s="509" t="s">
        <v>3724</v>
      </c>
      <c r="C2019" s="508" t="s">
        <v>107</v>
      </c>
      <c r="D2019" s="510">
        <v>4637.78</v>
      </c>
      <c r="E2019" s="461" t="s">
        <v>174</v>
      </c>
    </row>
    <row r="2020" spans="1:5" ht="27" x14ac:dyDescent="0.25">
      <c r="A2020" s="508">
        <v>102752</v>
      </c>
      <c r="B2020" s="509" t="s">
        <v>3725</v>
      </c>
      <c r="C2020" s="508" t="s">
        <v>107</v>
      </c>
      <c r="D2020" s="508">
        <v>7365.42</v>
      </c>
      <c r="E2020" s="461" t="s">
        <v>174</v>
      </c>
    </row>
    <row r="2021" spans="1:5" ht="27" x14ac:dyDescent="0.25">
      <c r="A2021" s="508">
        <v>102753</v>
      </c>
      <c r="B2021" s="509" t="s">
        <v>3726</v>
      </c>
      <c r="C2021" s="508" t="s">
        <v>107</v>
      </c>
      <c r="D2021" s="510">
        <v>10872.82</v>
      </c>
      <c r="E2021" s="461" t="s">
        <v>174</v>
      </c>
    </row>
    <row r="2022" spans="1:5" ht="27" x14ac:dyDescent="0.25">
      <c r="A2022" s="508">
        <v>102754</v>
      </c>
      <c r="B2022" s="509" t="s">
        <v>3727</v>
      </c>
      <c r="C2022" s="508" t="s">
        <v>107</v>
      </c>
      <c r="D2022" s="510">
        <v>20656.3</v>
      </c>
      <c r="E2022" s="461" t="s">
        <v>174</v>
      </c>
    </row>
    <row r="2023" spans="1:5" ht="27" x14ac:dyDescent="0.25">
      <c r="A2023" s="508">
        <v>102755</v>
      </c>
      <c r="B2023" s="509" t="s">
        <v>3728</v>
      </c>
      <c r="C2023" s="508" t="s">
        <v>107</v>
      </c>
      <c r="D2023" s="510">
        <v>10301.73</v>
      </c>
      <c r="E2023" s="461" t="s">
        <v>174</v>
      </c>
    </row>
    <row r="2024" spans="1:5" ht="27" x14ac:dyDescent="0.25">
      <c r="A2024" s="508">
        <v>102756</v>
      </c>
      <c r="B2024" s="509" t="s">
        <v>3729</v>
      </c>
      <c r="C2024" s="508" t="s">
        <v>107</v>
      </c>
      <c r="D2024" s="510">
        <v>15252.15</v>
      </c>
      <c r="E2024" s="461" t="s">
        <v>174</v>
      </c>
    </row>
    <row r="2025" spans="1:5" ht="27" x14ac:dyDescent="0.25">
      <c r="A2025" s="508">
        <v>102757</v>
      </c>
      <c r="B2025" s="509" t="s">
        <v>3730</v>
      </c>
      <c r="C2025" s="508" t="s">
        <v>107</v>
      </c>
      <c r="D2025" s="508">
        <v>28352.560000000001</v>
      </c>
      <c r="E2025" s="461" t="s">
        <v>174</v>
      </c>
    </row>
    <row r="2026" spans="1:5" ht="27" x14ac:dyDescent="0.25">
      <c r="A2026" s="508">
        <v>102758</v>
      </c>
      <c r="B2026" s="509" t="s">
        <v>3731</v>
      </c>
      <c r="C2026" s="508" t="s">
        <v>107</v>
      </c>
      <c r="D2026" s="508">
        <v>13252.16</v>
      </c>
      <c r="E2026" s="461" t="s">
        <v>174</v>
      </c>
    </row>
    <row r="2027" spans="1:5" ht="27" x14ac:dyDescent="0.25">
      <c r="A2027" s="508">
        <v>102759</v>
      </c>
      <c r="B2027" s="509" t="s">
        <v>3732</v>
      </c>
      <c r="C2027" s="508" t="s">
        <v>107</v>
      </c>
      <c r="D2027" s="510">
        <v>19652.919999999998</v>
      </c>
      <c r="E2027" s="461" t="s">
        <v>174</v>
      </c>
    </row>
    <row r="2028" spans="1:5" ht="27" x14ac:dyDescent="0.25">
      <c r="A2028" s="508">
        <v>102760</v>
      </c>
      <c r="B2028" s="509" t="s">
        <v>3733</v>
      </c>
      <c r="C2028" s="508" t="s">
        <v>107</v>
      </c>
      <c r="D2028" s="508">
        <v>36194.86</v>
      </c>
      <c r="E2028" s="461" t="s">
        <v>174</v>
      </c>
    </row>
    <row r="2029" spans="1:5" ht="27" x14ac:dyDescent="0.25">
      <c r="A2029" s="508">
        <v>102761</v>
      </c>
      <c r="B2029" s="509" t="s">
        <v>3734</v>
      </c>
      <c r="C2029" s="508" t="s">
        <v>107</v>
      </c>
      <c r="D2029" s="510">
        <v>12751.39</v>
      </c>
      <c r="E2029" s="461" t="s">
        <v>174</v>
      </c>
    </row>
    <row r="2030" spans="1:5" ht="27" x14ac:dyDescent="0.25">
      <c r="A2030" s="508">
        <v>102762</v>
      </c>
      <c r="B2030" s="509" t="s">
        <v>3735</v>
      </c>
      <c r="C2030" s="508" t="s">
        <v>107</v>
      </c>
      <c r="D2030" s="508">
        <v>19661.89</v>
      </c>
      <c r="E2030" s="461" t="s">
        <v>174</v>
      </c>
    </row>
    <row r="2031" spans="1:5" ht="27" x14ac:dyDescent="0.25">
      <c r="A2031" s="508">
        <v>102763</v>
      </c>
      <c r="B2031" s="509" t="s">
        <v>3736</v>
      </c>
      <c r="C2031" s="508" t="s">
        <v>107</v>
      </c>
      <c r="D2031" s="510">
        <v>27329.97</v>
      </c>
      <c r="E2031" s="461" t="s">
        <v>174</v>
      </c>
    </row>
    <row r="2032" spans="1:5" ht="27" x14ac:dyDescent="0.25">
      <c r="A2032" s="508">
        <v>102764</v>
      </c>
      <c r="B2032" s="509" t="s">
        <v>3737</v>
      </c>
      <c r="C2032" s="508" t="s">
        <v>107</v>
      </c>
      <c r="D2032" s="510">
        <v>38439.449999999997</v>
      </c>
      <c r="E2032" s="461" t="s">
        <v>174</v>
      </c>
    </row>
    <row r="2033" spans="1:5" ht="27" x14ac:dyDescent="0.25">
      <c r="A2033" s="508">
        <v>102765</v>
      </c>
      <c r="B2033" s="509" t="s">
        <v>3738</v>
      </c>
      <c r="C2033" s="508" t="s">
        <v>107</v>
      </c>
      <c r="D2033" s="508">
        <v>15942.87</v>
      </c>
      <c r="E2033" s="461" t="s">
        <v>174</v>
      </c>
    </row>
    <row r="2034" spans="1:5" ht="27" x14ac:dyDescent="0.25">
      <c r="A2034" s="508">
        <v>102766</v>
      </c>
      <c r="B2034" s="509" t="s">
        <v>3739</v>
      </c>
      <c r="C2034" s="508" t="s">
        <v>107</v>
      </c>
      <c r="D2034" s="510">
        <v>23998.45</v>
      </c>
      <c r="E2034" s="461" t="s">
        <v>174</v>
      </c>
    </row>
    <row r="2035" spans="1:5" ht="27" x14ac:dyDescent="0.25">
      <c r="A2035" s="508">
        <v>102767</v>
      </c>
      <c r="B2035" s="509" t="s">
        <v>3740</v>
      </c>
      <c r="C2035" s="508" t="s">
        <v>107</v>
      </c>
      <c r="D2035" s="510">
        <v>33567.19</v>
      </c>
      <c r="E2035" s="461" t="s">
        <v>174</v>
      </c>
    </row>
    <row r="2036" spans="1:5" ht="27" x14ac:dyDescent="0.25">
      <c r="A2036" s="508">
        <v>102768</v>
      </c>
      <c r="B2036" s="509" t="s">
        <v>3741</v>
      </c>
      <c r="C2036" s="508" t="s">
        <v>107</v>
      </c>
      <c r="D2036" s="510">
        <v>46788.61</v>
      </c>
      <c r="E2036" s="461" t="s">
        <v>174</v>
      </c>
    </row>
    <row r="2037" spans="1:5" ht="27" x14ac:dyDescent="0.25">
      <c r="A2037" s="508">
        <v>102769</v>
      </c>
      <c r="B2037" s="509" t="s">
        <v>3742</v>
      </c>
      <c r="C2037" s="508" t="s">
        <v>107</v>
      </c>
      <c r="D2037" s="510">
        <v>18505.669999999998</v>
      </c>
      <c r="E2037" s="461" t="s">
        <v>174</v>
      </c>
    </row>
    <row r="2038" spans="1:5" ht="27" x14ac:dyDescent="0.25">
      <c r="A2038" s="508">
        <v>102770</v>
      </c>
      <c r="B2038" s="509" t="s">
        <v>3743</v>
      </c>
      <c r="C2038" s="508" t="s">
        <v>107</v>
      </c>
      <c r="D2038" s="510">
        <v>28385.37</v>
      </c>
      <c r="E2038" s="461" t="s">
        <v>174</v>
      </c>
    </row>
    <row r="2039" spans="1:5" ht="27" x14ac:dyDescent="0.25">
      <c r="A2039" s="508">
        <v>102771</v>
      </c>
      <c r="B2039" s="509" t="s">
        <v>3744</v>
      </c>
      <c r="C2039" s="508" t="s">
        <v>107</v>
      </c>
      <c r="D2039" s="508">
        <v>39691.360000000001</v>
      </c>
      <c r="E2039" s="461" t="s">
        <v>174</v>
      </c>
    </row>
    <row r="2040" spans="1:5" ht="27" x14ac:dyDescent="0.25">
      <c r="A2040" s="508">
        <v>102772</v>
      </c>
      <c r="B2040" s="509" t="s">
        <v>3745</v>
      </c>
      <c r="C2040" s="508" t="s">
        <v>107</v>
      </c>
      <c r="D2040" s="510">
        <v>55679.31</v>
      </c>
      <c r="E2040" s="461" t="s">
        <v>174</v>
      </c>
    </row>
    <row r="2041" spans="1:5" ht="27" x14ac:dyDescent="0.25">
      <c r="A2041" s="508">
        <v>102773</v>
      </c>
      <c r="B2041" s="509" t="s">
        <v>3746</v>
      </c>
      <c r="C2041" s="508" t="s">
        <v>107</v>
      </c>
      <c r="D2041" s="510">
        <v>8145.86</v>
      </c>
      <c r="E2041" s="461" t="s">
        <v>174</v>
      </c>
    </row>
    <row r="2042" spans="1:5" ht="27" x14ac:dyDescent="0.25">
      <c r="A2042" s="508">
        <v>102774</v>
      </c>
      <c r="B2042" s="509" t="s">
        <v>3747</v>
      </c>
      <c r="C2042" s="508" t="s">
        <v>107</v>
      </c>
      <c r="D2042" s="510">
        <v>8145.86</v>
      </c>
      <c r="E2042" s="461" t="s">
        <v>174</v>
      </c>
    </row>
    <row r="2043" spans="1:5" ht="27" x14ac:dyDescent="0.25">
      <c r="A2043" s="508">
        <v>102775</v>
      </c>
      <c r="B2043" s="509" t="s">
        <v>3748</v>
      </c>
      <c r="C2043" s="508" t="s">
        <v>107</v>
      </c>
      <c r="D2043" s="510">
        <v>12267.08</v>
      </c>
      <c r="E2043" s="461" t="s">
        <v>174</v>
      </c>
    </row>
    <row r="2044" spans="1:5" ht="27" x14ac:dyDescent="0.25">
      <c r="A2044" s="508">
        <v>102776</v>
      </c>
      <c r="B2044" s="509" t="s">
        <v>3749</v>
      </c>
      <c r="C2044" s="508" t="s">
        <v>107</v>
      </c>
      <c r="D2044" s="510">
        <v>12267.08</v>
      </c>
      <c r="E2044" s="461" t="s">
        <v>174</v>
      </c>
    </row>
    <row r="2045" spans="1:5" ht="27" x14ac:dyDescent="0.25">
      <c r="A2045" s="508">
        <v>102777</v>
      </c>
      <c r="B2045" s="509" t="s">
        <v>3750</v>
      </c>
      <c r="C2045" s="508" t="s">
        <v>107</v>
      </c>
      <c r="D2045" s="510">
        <v>18635.650000000001</v>
      </c>
      <c r="E2045" s="461" t="s">
        <v>174</v>
      </c>
    </row>
    <row r="2046" spans="1:5" ht="27" x14ac:dyDescent="0.25">
      <c r="A2046" s="508">
        <v>102778</v>
      </c>
      <c r="B2046" s="509" t="s">
        <v>3751</v>
      </c>
      <c r="C2046" s="508" t="s">
        <v>107</v>
      </c>
      <c r="D2046" s="508">
        <v>27026.18</v>
      </c>
      <c r="E2046" s="461" t="s">
        <v>174</v>
      </c>
    </row>
    <row r="2047" spans="1:5" ht="27" x14ac:dyDescent="0.25">
      <c r="A2047" s="508">
        <v>102779</v>
      </c>
      <c r="B2047" s="509" t="s">
        <v>3752</v>
      </c>
      <c r="C2047" s="508" t="s">
        <v>107</v>
      </c>
      <c r="D2047" s="508">
        <v>8145.86</v>
      </c>
      <c r="E2047" s="461" t="s">
        <v>174</v>
      </c>
    </row>
    <row r="2048" spans="1:5" ht="27" x14ac:dyDescent="0.25">
      <c r="A2048" s="508">
        <v>102780</v>
      </c>
      <c r="B2048" s="509" t="s">
        <v>3753</v>
      </c>
      <c r="C2048" s="508" t="s">
        <v>107</v>
      </c>
      <c r="D2048" s="508">
        <v>9362.91</v>
      </c>
      <c r="E2048" s="461" t="s">
        <v>174</v>
      </c>
    </row>
    <row r="2049" spans="1:5" ht="27" x14ac:dyDescent="0.25">
      <c r="A2049" s="508">
        <v>102781</v>
      </c>
      <c r="B2049" s="509" t="s">
        <v>3754</v>
      </c>
      <c r="C2049" s="508" t="s">
        <v>107</v>
      </c>
      <c r="D2049" s="508">
        <v>13999.28</v>
      </c>
      <c r="E2049" s="461" t="s">
        <v>174</v>
      </c>
    </row>
    <row r="2050" spans="1:5" ht="27" x14ac:dyDescent="0.25">
      <c r="A2050" s="508">
        <v>102782</v>
      </c>
      <c r="B2050" s="509" t="s">
        <v>3755</v>
      </c>
      <c r="C2050" s="508" t="s">
        <v>107</v>
      </c>
      <c r="D2050" s="508">
        <v>15466</v>
      </c>
      <c r="E2050" s="461" t="s">
        <v>174</v>
      </c>
    </row>
    <row r="2051" spans="1:5" ht="27" x14ac:dyDescent="0.25">
      <c r="A2051" s="508">
        <v>102783</v>
      </c>
      <c r="B2051" s="509" t="s">
        <v>3756</v>
      </c>
      <c r="C2051" s="508" t="s">
        <v>107</v>
      </c>
      <c r="D2051" s="508">
        <v>20617.53</v>
      </c>
      <c r="E2051" s="461" t="s">
        <v>174</v>
      </c>
    </row>
    <row r="2052" spans="1:5" ht="27" x14ac:dyDescent="0.25">
      <c r="A2052" s="508">
        <v>102784</v>
      </c>
      <c r="B2052" s="509" t="s">
        <v>3757</v>
      </c>
      <c r="C2052" s="508" t="s">
        <v>107</v>
      </c>
      <c r="D2052" s="508">
        <v>31221.45</v>
      </c>
      <c r="E2052" s="461" t="s">
        <v>174</v>
      </c>
    </row>
    <row r="2053" spans="1:5" ht="27" x14ac:dyDescent="0.25">
      <c r="A2053" s="508">
        <v>102785</v>
      </c>
      <c r="B2053" s="509" t="s">
        <v>3758</v>
      </c>
      <c r="C2053" s="508" t="s">
        <v>107</v>
      </c>
      <c r="D2053" s="510">
        <v>9362.91</v>
      </c>
      <c r="E2053" s="461" t="s">
        <v>174</v>
      </c>
    </row>
    <row r="2054" spans="1:5" ht="27" x14ac:dyDescent="0.25">
      <c r="A2054" s="508">
        <v>102786</v>
      </c>
      <c r="B2054" s="509" t="s">
        <v>3759</v>
      </c>
      <c r="C2054" s="508" t="s">
        <v>107</v>
      </c>
      <c r="D2054" s="508">
        <v>10314.48</v>
      </c>
      <c r="E2054" s="461" t="s">
        <v>174</v>
      </c>
    </row>
    <row r="2055" spans="1:5" ht="27" x14ac:dyDescent="0.25">
      <c r="A2055" s="508">
        <v>102787</v>
      </c>
      <c r="B2055" s="509" t="s">
        <v>3760</v>
      </c>
      <c r="C2055" s="508" t="s">
        <v>107</v>
      </c>
      <c r="D2055" s="510">
        <v>15466</v>
      </c>
      <c r="E2055" s="461" t="s">
        <v>174</v>
      </c>
    </row>
    <row r="2056" spans="1:5" ht="27" x14ac:dyDescent="0.25">
      <c r="A2056" s="508">
        <v>102788</v>
      </c>
      <c r="B2056" s="509" t="s">
        <v>3761</v>
      </c>
      <c r="C2056" s="508" t="s">
        <v>107</v>
      </c>
      <c r="D2056" s="510">
        <v>16882.939999999999</v>
      </c>
      <c r="E2056" s="461" t="s">
        <v>174</v>
      </c>
    </row>
    <row r="2057" spans="1:5" ht="27" x14ac:dyDescent="0.25">
      <c r="A2057" s="508">
        <v>102789</v>
      </c>
      <c r="B2057" s="509" t="s">
        <v>3762</v>
      </c>
      <c r="C2057" s="508" t="s">
        <v>107</v>
      </c>
      <c r="D2057" s="510">
        <v>22300.74</v>
      </c>
      <c r="E2057" s="461" t="s">
        <v>174</v>
      </c>
    </row>
    <row r="2058" spans="1:5" ht="27" x14ac:dyDescent="0.25">
      <c r="A2058" s="508">
        <v>102790</v>
      </c>
      <c r="B2058" s="509" t="s">
        <v>3763</v>
      </c>
      <c r="C2058" s="508" t="s">
        <v>107</v>
      </c>
      <c r="D2058" s="510">
        <v>36246.339999999997</v>
      </c>
      <c r="E2058" s="461" t="s">
        <v>174</v>
      </c>
    </row>
    <row r="2059" spans="1:5" ht="27" x14ac:dyDescent="0.25">
      <c r="A2059" s="508">
        <v>102791</v>
      </c>
      <c r="B2059" s="509" t="s">
        <v>3764</v>
      </c>
      <c r="C2059" s="508" t="s">
        <v>107</v>
      </c>
      <c r="D2059" s="510">
        <v>29738.91</v>
      </c>
      <c r="E2059" s="461" t="s">
        <v>174</v>
      </c>
    </row>
    <row r="2060" spans="1:5" ht="27" x14ac:dyDescent="0.25">
      <c r="A2060" s="508">
        <v>102792</v>
      </c>
      <c r="B2060" s="509" t="s">
        <v>3765</v>
      </c>
      <c r="C2060" s="508" t="s">
        <v>107</v>
      </c>
      <c r="D2060" s="510">
        <v>48237.599999999999</v>
      </c>
      <c r="E2060" s="461" t="s">
        <v>174</v>
      </c>
    </row>
    <row r="2061" spans="1:5" ht="27" x14ac:dyDescent="0.25">
      <c r="A2061" s="508">
        <v>102793</v>
      </c>
      <c r="B2061" s="509" t="s">
        <v>3766</v>
      </c>
      <c r="C2061" s="508" t="s">
        <v>107</v>
      </c>
      <c r="D2061" s="508">
        <v>64551.4</v>
      </c>
      <c r="E2061" s="461" t="s">
        <v>174</v>
      </c>
    </row>
    <row r="2062" spans="1:5" ht="27" x14ac:dyDescent="0.25">
      <c r="A2062" s="508">
        <v>102794</v>
      </c>
      <c r="B2062" s="509" t="s">
        <v>3767</v>
      </c>
      <c r="C2062" s="508" t="s">
        <v>107</v>
      </c>
      <c r="D2062" s="508">
        <v>92683.33</v>
      </c>
      <c r="E2062" s="461" t="s">
        <v>174</v>
      </c>
    </row>
    <row r="2063" spans="1:5" ht="27" x14ac:dyDescent="0.25">
      <c r="A2063" s="508">
        <v>102795</v>
      </c>
      <c r="B2063" s="509" t="s">
        <v>3768</v>
      </c>
      <c r="C2063" s="508" t="s">
        <v>107</v>
      </c>
      <c r="D2063" s="508">
        <v>31639.7</v>
      </c>
      <c r="E2063" s="461" t="s">
        <v>174</v>
      </c>
    </row>
    <row r="2064" spans="1:5" ht="27" x14ac:dyDescent="0.25">
      <c r="A2064" s="508">
        <v>102796</v>
      </c>
      <c r="B2064" s="509" t="s">
        <v>3769</v>
      </c>
      <c r="C2064" s="508" t="s">
        <v>107</v>
      </c>
      <c r="D2064" s="508">
        <v>50879.26</v>
      </c>
      <c r="E2064" s="461" t="s">
        <v>174</v>
      </c>
    </row>
    <row r="2065" spans="1:5" ht="27" x14ac:dyDescent="0.25">
      <c r="A2065" s="508">
        <v>102797</v>
      </c>
      <c r="B2065" s="509" t="s">
        <v>3770</v>
      </c>
      <c r="C2065" s="508" t="s">
        <v>107</v>
      </c>
      <c r="D2065" s="508">
        <v>71877.960000000006</v>
      </c>
      <c r="E2065" s="461" t="s">
        <v>174</v>
      </c>
    </row>
    <row r="2066" spans="1:5" ht="27" x14ac:dyDescent="0.25">
      <c r="A2066" s="508">
        <v>102798</v>
      </c>
      <c r="B2066" s="509" t="s">
        <v>3771</v>
      </c>
      <c r="C2066" s="508" t="s">
        <v>107</v>
      </c>
      <c r="D2066" s="508">
        <v>88117.4</v>
      </c>
      <c r="E2066" s="461" t="s">
        <v>174</v>
      </c>
    </row>
    <row r="2067" spans="1:5" ht="27" x14ac:dyDescent="0.25">
      <c r="A2067" s="508">
        <v>102799</v>
      </c>
      <c r="B2067" s="509" t="s">
        <v>3772</v>
      </c>
      <c r="C2067" s="508" t="s">
        <v>107</v>
      </c>
      <c r="D2067" s="508">
        <v>32326.57</v>
      </c>
      <c r="E2067" s="461" t="s">
        <v>174</v>
      </c>
    </row>
    <row r="2068" spans="1:5" ht="27" x14ac:dyDescent="0.25">
      <c r="A2068" s="508">
        <v>102800</v>
      </c>
      <c r="B2068" s="509" t="s">
        <v>3773</v>
      </c>
      <c r="C2068" s="508" t="s">
        <v>107</v>
      </c>
      <c r="D2068" s="508">
        <v>55786.44</v>
      </c>
      <c r="E2068" s="461" t="s">
        <v>174</v>
      </c>
    </row>
    <row r="2069" spans="1:5" ht="27" x14ac:dyDescent="0.25">
      <c r="A2069" s="508">
        <v>102801</v>
      </c>
      <c r="B2069" s="509" t="s">
        <v>3774</v>
      </c>
      <c r="C2069" s="508" t="s">
        <v>107</v>
      </c>
      <c r="D2069" s="508">
        <v>77803.08</v>
      </c>
      <c r="E2069" s="461" t="s">
        <v>174</v>
      </c>
    </row>
    <row r="2070" spans="1:5" ht="27" x14ac:dyDescent="0.25">
      <c r="A2070" s="508">
        <v>102802</v>
      </c>
      <c r="B2070" s="509" t="s">
        <v>3775</v>
      </c>
      <c r="C2070" s="508" t="s">
        <v>107</v>
      </c>
      <c r="D2070" s="508">
        <v>93361.75</v>
      </c>
      <c r="E2070" s="461" t="s">
        <v>174</v>
      </c>
    </row>
    <row r="2071" spans="1:5" ht="27" x14ac:dyDescent="0.25">
      <c r="A2071" s="508">
        <v>101570</v>
      </c>
      <c r="B2071" s="509" t="s">
        <v>2308</v>
      </c>
      <c r="C2071" s="508" t="s">
        <v>150</v>
      </c>
      <c r="D2071" s="508">
        <v>25.88</v>
      </c>
      <c r="E2071" s="461" t="s">
        <v>174</v>
      </c>
    </row>
    <row r="2072" spans="1:5" ht="27" x14ac:dyDescent="0.25">
      <c r="A2072" s="508">
        <v>101571</v>
      </c>
      <c r="B2072" s="509" t="s">
        <v>2309</v>
      </c>
      <c r="C2072" s="508" t="s">
        <v>150</v>
      </c>
      <c r="D2072" s="508">
        <v>35.42</v>
      </c>
      <c r="E2072" s="461" t="s">
        <v>174</v>
      </c>
    </row>
    <row r="2073" spans="1:5" ht="27" x14ac:dyDescent="0.25">
      <c r="A2073" s="508">
        <v>101572</v>
      </c>
      <c r="B2073" s="509" t="s">
        <v>2310</v>
      </c>
      <c r="C2073" s="508" t="s">
        <v>150</v>
      </c>
      <c r="D2073" s="510">
        <v>20.260000000000002</v>
      </c>
      <c r="E2073" s="461" t="s">
        <v>174</v>
      </c>
    </row>
    <row r="2074" spans="1:5" ht="27" x14ac:dyDescent="0.25">
      <c r="A2074" s="508">
        <v>101573</v>
      </c>
      <c r="B2074" s="509" t="s">
        <v>2311</v>
      </c>
      <c r="C2074" s="508" t="s">
        <v>150</v>
      </c>
      <c r="D2074" s="508">
        <v>29.8</v>
      </c>
      <c r="E2074" s="461" t="s">
        <v>174</v>
      </c>
    </row>
    <row r="2075" spans="1:5" ht="27" x14ac:dyDescent="0.25">
      <c r="A2075" s="508">
        <v>101574</v>
      </c>
      <c r="B2075" s="509" t="s">
        <v>2312</v>
      </c>
      <c r="C2075" s="508" t="s">
        <v>150</v>
      </c>
      <c r="D2075" s="508">
        <v>15.43</v>
      </c>
      <c r="E2075" s="461" t="s">
        <v>174</v>
      </c>
    </row>
    <row r="2076" spans="1:5" ht="27" x14ac:dyDescent="0.25">
      <c r="A2076" s="508">
        <v>101575</v>
      </c>
      <c r="B2076" s="509" t="s">
        <v>2313</v>
      </c>
      <c r="C2076" s="508" t="s">
        <v>150</v>
      </c>
      <c r="D2076" s="508">
        <v>25.15</v>
      </c>
      <c r="E2076" s="461" t="s">
        <v>174</v>
      </c>
    </row>
    <row r="2077" spans="1:5" ht="27" x14ac:dyDescent="0.25">
      <c r="A2077" s="508">
        <v>101576</v>
      </c>
      <c r="B2077" s="509" t="s">
        <v>2314</v>
      </c>
      <c r="C2077" s="508" t="s">
        <v>150</v>
      </c>
      <c r="D2077" s="508">
        <v>45.41</v>
      </c>
      <c r="E2077" s="461" t="s">
        <v>174</v>
      </c>
    </row>
    <row r="2078" spans="1:5" ht="27" x14ac:dyDescent="0.25">
      <c r="A2078" s="508">
        <v>101577</v>
      </c>
      <c r="B2078" s="509" t="s">
        <v>2315</v>
      </c>
      <c r="C2078" s="508" t="s">
        <v>150</v>
      </c>
      <c r="D2078" s="508">
        <v>57.61</v>
      </c>
      <c r="E2078" s="461" t="s">
        <v>174</v>
      </c>
    </row>
    <row r="2079" spans="1:5" ht="27" x14ac:dyDescent="0.25">
      <c r="A2079" s="508">
        <v>101578</v>
      </c>
      <c r="B2079" s="509" t="s">
        <v>2316</v>
      </c>
      <c r="C2079" s="508" t="s">
        <v>150</v>
      </c>
      <c r="D2079" s="508">
        <v>37.35</v>
      </c>
      <c r="E2079" s="461" t="s">
        <v>174</v>
      </c>
    </row>
    <row r="2080" spans="1:5" ht="27" x14ac:dyDescent="0.25">
      <c r="A2080" s="508">
        <v>101579</v>
      </c>
      <c r="B2080" s="509" t="s">
        <v>2317</v>
      </c>
      <c r="C2080" s="508" t="s">
        <v>150</v>
      </c>
      <c r="D2080" s="510">
        <v>49.55</v>
      </c>
      <c r="E2080" s="461" t="s">
        <v>174</v>
      </c>
    </row>
    <row r="2081" spans="1:5" ht="27" x14ac:dyDescent="0.25">
      <c r="A2081" s="508">
        <v>101580</v>
      </c>
      <c r="B2081" s="509" t="s">
        <v>2318</v>
      </c>
      <c r="C2081" s="508" t="s">
        <v>150</v>
      </c>
      <c r="D2081" s="508">
        <v>32.72</v>
      </c>
      <c r="E2081" s="461" t="s">
        <v>174</v>
      </c>
    </row>
    <row r="2082" spans="1:5" ht="27" x14ac:dyDescent="0.25">
      <c r="A2082" s="508">
        <v>101581</v>
      </c>
      <c r="B2082" s="509" t="s">
        <v>2319</v>
      </c>
      <c r="C2082" s="508" t="s">
        <v>150</v>
      </c>
      <c r="D2082" s="508">
        <v>45.11</v>
      </c>
      <c r="E2082" s="461" t="s">
        <v>174</v>
      </c>
    </row>
    <row r="2083" spans="1:5" ht="27" x14ac:dyDescent="0.25">
      <c r="A2083" s="508">
        <v>101582</v>
      </c>
      <c r="B2083" s="509" t="s">
        <v>2320</v>
      </c>
      <c r="C2083" s="508" t="s">
        <v>150</v>
      </c>
      <c r="D2083" s="508">
        <v>74.430000000000007</v>
      </c>
      <c r="E2083" s="461" t="s">
        <v>174</v>
      </c>
    </row>
    <row r="2084" spans="1:5" ht="27" x14ac:dyDescent="0.25">
      <c r="A2084" s="508">
        <v>101583</v>
      </c>
      <c r="B2084" s="509" t="s">
        <v>2321</v>
      </c>
      <c r="C2084" s="508" t="s">
        <v>150</v>
      </c>
      <c r="D2084" s="508">
        <v>93.42</v>
      </c>
      <c r="E2084" s="461" t="s">
        <v>174</v>
      </c>
    </row>
    <row r="2085" spans="1:5" ht="27" x14ac:dyDescent="0.25">
      <c r="A2085" s="508">
        <v>101584</v>
      </c>
      <c r="B2085" s="509" t="s">
        <v>2322</v>
      </c>
      <c r="C2085" s="508" t="s">
        <v>150</v>
      </c>
      <c r="D2085" s="508">
        <v>60.91</v>
      </c>
      <c r="E2085" s="461" t="s">
        <v>174</v>
      </c>
    </row>
    <row r="2086" spans="1:5" ht="27" x14ac:dyDescent="0.25">
      <c r="A2086" s="508">
        <v>101585</v>
      </c>
      <c r="B2086" s="509" t="s">
        <v>2323</v>
      </c>
      <c r="C2086" s="508" t="s">
        <v>150</v>
      </c>
      <c r="D2086" s="508">
        <v>79.89</v>
      </c>
      <c r="E2086" s="461" t="s">
        <v>174</v>
      </c>
    </row>
    <row r="2087" spans="1:5" ht="27" x14ac:dyDescent="0.25">
      <c r="A2087" s="508">
        <v>101586</v>
      </c>
      <c r="B2087" s="509" t="s">
        <v>2324</v>
      </c>
      <c r="C2087" s="508" t="s">
        <v>150</v>
      </c>
      <c r="D2087" s="508">
        <v>52.12</v>
      </c>
      <c r="E2087" s="461" t="s">
        <v>174</v>
      </c>
    </row>
    <row r="2088" spans="1:5" ht="27" x14ac:dyDescent="0.25">
      <c r="A2088" s="508">
        <v>101587</v>
      </c>
      <c r="B2088" s="509" t="s">
        <v>2325</v>
      </c>
      <c r="C2088" s="508" t="s">
        <v>150</v>
      </c>
      <c r="D2088" s="508">
        <v>71.3</v>
      </c>
      <c r="E2088" s="461" t="s">
        <v>174</v>
      </c>
    </row>
    <row r="2089" spans="1:5" ht="27" x14ac:dyDescent="0.25">
      <c r="A2089" s="508">
        <v>101588</v>
      </c>
      <c r="B2089" s="509" t="s">
        <v>2326</v>
      </c>
      <c r="C2089" s="508" t="s">
        <v>150</v>
      </c>
      <c r="D2089" s="508">
        <v>94.58</v>
      </c>
      <c r="E2089" s="461" t="s">
        <v>174</v>
      </c>
    </row>
    <row r="2090" spans="1:5" ht="27" x14ac:dyDescent="0.25">
      <c r="A2090" s="508">
        <v>101589</v>
      </c>
      <c r="B2090" s="509" t="s">
        <v>2327</v>
      </c>
      <c r="C2090" s="508" t="s">
        <v>150</v>
      </c>
      <c r="D2090" s="508">
        <v>137.83000000000001</v>
      </c>
      <c r="E2090" s="461" t="s">
        <v>174</v>
      </c>
    </row>
    <row r="2091" spans="1:5" ht="27" x14ac:dyDescent="0.25">
      <c r="A2091" s="508">
        <v>101590</v>
      </c>
      <c r="B2091" s="509" t="s">
        <v>2328</v>
      </c>
      <c r="C2091" s="508" t="s">
        <v>150</v>
      </c>
      <c r="D2091" s="508">
        <v>71.64</v>
      </c>
      <c r="E2091" s="461" t="s">
        <v>174</v>
      </c>
    </row>
    <row r="2092" spans="1:5" ht="27" x14ac:dyDescent="0.25">
      <c r="A2092" s="508">
        <v>101591</v>
      </c>
      <c r="B2092" s="509" t="s">
        <v>2329</v>
      </c>
      <c r="C2092" s="508" t="s">
        <v>150</v>
      </c>
      <c r="D2092" s="508">
        <v>114.9</v>
      </c>
      <c r="E2092" s="461" t="s">
        <v>174</v>
      </c>
    </row>
    <row r="2093" spans="1:5" ht="27" x14ac:dyDescent="0.25">
      <c r="A2093" s="508">
        <v>101592</v>
      </c>
      <c r="B2093" s="509" t="s">
        <v>2330</v>
      </c>
      <c r="C2093" s="508" t="s">
        <v>150</v>
      </c>
      <c r="D2093" s="508">
        <v>50.47</v>
      </c>
      <c r="E2093" s="461" t="s">
        <v>174</v>
      </c>
    </row>
    <row r="2094" spans="1:5" ht="27" x14ac:dyDescent="0.25">
      <c r="A2094" s="508">
        <v>101593</v>
      </c>
      <c r="B2094" s="509" t="s">
        <v>2331</v>
      </c>
      <c r="C2094" s="508" t="s">
        <v>150</v>
      </c>
      <c r="D2094" s="508">
        <v>93.87</v>
      </c>
      <c r="E2094" s="461" t="s">
        <v>174</v>
      </c>
    </row>
    <row r="2095" spans="1:5" ht="27" x14ac:dyDescent="0.25">
      <c r="A2095" s="508">
        <v>101600</v>
      </c>
      <c r="B2095" s="509" t="s">
        <v>2332</v>
      </c>
      <c r="C2095" s="508" t="s">
        <v>150</v>
      </c>
      <c r="D2095" s="508">
        <v>17.7</v>
      </c>
      <c r="E2095" s="461" t="s">
        <v>174</v>
      </c>
    </row>
    <row r="2096" spans="1:5" ht="27" x14ac:dyDescent="0.25">
      <c r="A2096" s="508">
        <v>101601</v>
      </c>
      <c r="B2096" s="509" t="s">
        <v>2333</v>
      </c>
      <c r="C2096" s="508" t="s">
        <v>150</v>
      </c>
      <c r="D2096" s="508">
        <v>26.2</v>
      </c>
      <c r="E2096" s="461" t="s">
        <v>174</v>
      </c>
    </row>
    <row r="2097" spans="1:5" ht="27" x14ac:dyDescent="0.25">
      <c r="A2097" s="508">
        <v>101602</v>
      </c>
      <c r="B2097" s="509" t="s">
        <v>2334</v>
      </c>
      <c r="C2097" s="508" t="s">
        <v>150</v>
      </c>
      <c r="D2097" s="508">
        <v>13.13</v>
      </c>
      <c r="E2097" s="461" t="s">
        <v>174</v>
      </c>
    </row>
    <row r="2098" spans="1:5" ht="27" x14ac:dyDescent="0.25">
      <c r="A2098" s="508">
        <v>101603</v>
      </c>
      <c r="B2098" s="509" t="s">
        <v>2335</v>
      </c>
      <c r="C2098" s="508" t="s">
        <v>150</v>
      </c>
      <c r="D2098" s="508">
        <v>21.63</v>
      </c>
      <c r="E2098" s="461" t="s">
        <v>174</v>
      </c>
    </row>
    <row r="2099" spans="1:5" ht="27" x14ac:dyDescent="0.25">
      <c r="A2099" s="508">
        <v>101604</v>
      </c>
      <c r="B2099" s="509" t="s">
        <v>2336</v>
      </c>
      <c r="C2099" s="508" t="s">
        <v>150</v>
      </c>
      <c r="D2099" s="508">
        <v>8.59</v>
      </c>
      <c r="E2099" s="461" t="s">
        <v>174</v>
      </c>
    </row>
    <row r="2100" spans="1:5" ht="27" x14ac:dyDescent="0.25">
      <c r="A2100" s="508">
        <v>101605</v>
      </c>
      <c r="B2100" s="509" t="s">
        <v>2337</v>
      </c>
      <c r="C2100" s="508" t="s">
        <v>150</v>
      </c>
      <c r="D2100" s="508">
        <v>17.09</v>
      </c>
      <c r="E2100" s="461" t="s">
        <v>174</v>
      </c>
    </row>
    <row r="2101" spans="1:5" ht="40.5" x14ac:dyDescent="0.25">
      <c r="A2101" s="508">
        <v>90788</v>
      </c>
      <c r="B2101" s="509" t="s">
        <v>1531</v>
      </c>
      <c r="C2101" s="508" t="s">
        <v>107</v>
      </c>
      <c r="D2101" s="508">
        <v>914.64</v>
      </c>
      <c r="E2101" s="461" t="s">
        <v>174</v>
      </c>
    </row>
    <row r="2102" spans="1:5" ht="40.5" x14ac:dyDescent="0.25">
      <c r="A2102" s="508">
        <v>90789</v>
      </c>
      <c r="B2102" s="509" t="s">
        <v>1532</v>
      </c>
      <c r="C2102" s="508" t="s">
        <v>107</v>
      </c>
      <c r="D2102" s="508">
        <v>916.62</v>
      </c>
      <c r="E2102" s="461" t="s">
        <v>174</v>
      </c>
    </row>
    <row r="2103" spans="1:5" ht="40.5" x14ac:dyDescent="0.25">
      <c r="A2103" s="508">
        <v>90790</v>
      </c>
      <c r="B2103" s="509" t="s">
        <v>1533</v>
      </c>
      <c r="C2103" s="508" t="s">
        <v>107</v>
      </c>
      <c r="D2103" s="508">
        <v>945.54</v>
      </c>
      <c r="E2103" s="461" t="s">
        <v>174</v>
      </c>
    </row>
    <row r="2104" spans="1:5" ht="40.5" x14ac:dyDescent="0.25">
      <c r="A2104" s="508">
        <v>90791</v>
      </c>
      <c r="B2104" s="509" t="s">
        <v>2338</v>
      </c>
      <c r="C2104" s="508" t="s">
        <v>107</v>
      </c>
      <c r="D2104" s="508">
        <v>1108.8800000000001</v>
      </c>
      <c r="E2104" s="461" t="s">
        <v>174</v>
      </c>
    </row>
    <row r="2105" spans="1:5" ht="40.5" x14ac:dyDescent="0.25">
      <c r="A2105" s="508">
        <v>90793</v>
      </c>
      <c r="B2105" s="509" t="s">
        <v>2339</v>
      </c>
      <c r="C2105" s="508" t="s">
        <v>107</v>
      </c>
      <c r="D2105" s="508">
        <v>1166.8699999999999</v>
      </c>
      <c r="E2105" s="461" t="s">
        <v>174</v>
      </c>
    </row>
    <row r="2106" spans="1:5" ht="40.5" x14ac:dyDescent="0.25">
      <c r="A2106" s="508">
        <v>90794</v>
      </c>
      <c r="B2106" s="509" t="s">
        <v>2340</v>
      </c>
      <c r="C2106" s="508" t="s">
        <v>107</v>
      </c>
      <c r="D2106" s="508">
        <v>795.39</v>
      </c>
      <c r="E2106" s="461" t="s">
        <v>174</v>
      </c>
    </row>
    <row r="2107" spans="1:5" ht="40.5" x14ac:dyDescent="0.25">
      <c r="A2107" s="508">
        <v>90795</v>
      </c>
      <c r="B2107" s="509" t="s">
        <v>2341</v>
      </c>
      <c r="C2107" s="508" t="s">
        <v>107</v>
      </c>
      <c r="D2107" s="508">
        <v>803.8</v>
      </c>
      <c r="E2107" s="461" t="s">
        <v>174</v>
      </c>
    </row>
    <row r="2108" spans="1:5" ht="40.5" x14ac:dyDescent="0.25">
      <c r="A2108" s="508">
        <v>90796</v>
      </c>
      <c r="B2108" s="509" t="s">
        <v>2342</v>
      </c>
      <c r="C2108" s="508" t="s">
        <v>107</v>
      </c>
      <c r="D2108" s="508">
        <v>812.22</v>
      </c>
      <c r="E2108" s="461" t="s">
        <v>174</v>
      </c>
    </row>
    <row r="2109" spans="1:5" ht="40.5" x14ac:dyDescent="0.25">
      <c r="A2109" s="508">
        <v>90797</v>
      </c>
      <c r="B2109" s="509" t="s">
        <v>2343</v>
      </c>
      <c r="C2109" s="508" t="s">
        <v>107</v>
      </c>
      <c r="D2109" s="508">
        <v>820.62</v>
      </c>
      <c r="E2109" s="461" t="s">
        <v>174</v>
      </c>
    </row>
    <row r="2110" spans="1:5" ht="40.5" x14ac:dyDescent="0.25">
      <c r="A2110" s="508">
        <v>90798</v>
      </c>
      <c r="B2110" s="509" t="s">
        <v>2344</v>
      </c>
      <c r="C2110" s="508" t="s">
        <v>107</v>
      </c>
      <c r="D2110" s="508">
        <v>1187.53</v>
      </c>
      <c r="E2110" s="461" t="s">
        <v>174</v>
      </c>
    </row>
    <row r="2111" spans="1:5" ht="40.5" x14ac:dyDescent="0.25">
      <c r="A2111" s="508">
        <v>90799</v>
      </c>
      <c r="B2111" s="509" t="s">
        <v>2345</v>
      </c>
      <c r="C2111" s="508" t="s">
        <v>107</v>
      </c>
      <c r="D2111" s="508">
        <v>1225.8699999999999</v>
      </c>
      <c r="E2111" s="461" t="s">
        <v>174</v>
      </c>
    </row>
    <row r="2112" spans="1:5" ht="15" x14ac:dyDescent="0.25">
      <c r="A2112" s="508">
        <v>90801</v>
      </c>
      <c r="B2112" s="509" t="s">
        <v>1534</v>
      </c>
      <c r="C2112" s="508" t="s">
        <v>107</v>
      </c>
      <c r="D2112" s="508">
        <v>373.3</v>
      </c>
      <c r="E2112" s="461" t="s">
        <v>174</v>
      </c>
    </row>
    <row r="2113" spans="1:5" ht="27" x14ac:dyDescent="0.25">
      <c r="A2113" s="508">
        <v>90806</v>
      </c>
      <c r="B2113" s="509" t="s">
        <v>5367</v>
      </c>
      <c r="C2113" s="508" t="s">
        <v>107</v>
      </c>
      <c r="D2113" s="510">
        <v>476.47</v>
      </c>
      <c r="E2113" s="461" t="s">
        <v>174</v>
      </c>
    </row>
    <row r="2114" spans="1:5" ht="27" x14ac:dyDescent="0.25">
      <c r="A2114" s="508">
        <v>90820</v>
      </c>
      <c r="B2114" s="509" t="s">
        <v>1535</v>
      </c>
      <c r="C2114" s="508" t="s">
        <v>107</v>
      </c>
      <c r="D2114" s="510">
        <v>340.57</v>
      </c>
      <c r="E2114" s="461" t="s">
        <v>174</v>
      </c>
    </row>
    <row r="2115" spans="1:5" ht="27" x14ac:dyDescent="0.25">
      <c r="A2115" s="508">
        <v>90821</v>
      </c>
      <c r="B2115" s="509" t="s">
        <v>1536</v>
      </c>
      <c r="C2115" s="508" t="s">
        <v>107</v>
      </c>
      <c r="D2115" s="508">
        <v>348.04</v>
      </c>
      <c r="E2115" s="461" t="s">
        <v>174</v>
      </c>
    </row>
    <row r="2116" spans="1:5" ht="27" x14ac:dyDescent="0.25">
      <c r="A2116" s="508">
        <v>90822</v>
      </c>
      <c r="B2116" s="509" t="s">
        <v>1537</v>
      </c>
      <c r="C2116" s="508" t="s">
        <v>107</v>
      </c>
      <c r="D2116" s="508">
        <v>374.48</v>
      </c>
      <c r="E2116" s="461" t="s">
        <v>174</v>
      </c>
    </row>
    <row r="2117" spans="1:5" ht="27" x14ac:dyDescent="0.25">
      <c r="A2117" s="508">
        <v>90823</v>
      </c>
      <c r="B2117" s="509" t="s">
        <v>1538</v>
      </c>
      <c r="C2117" s="508" t="s">
        <v>107</v>
      </c>
      <c r="D2117" s="508">
        <v>463.28</v>
      </c>
      <c r="E2117" s="461" t="s">
        <v>174</v>
      </c>
    </row>
    <row r="2118" spans="1:5" ht="27" x14ac:dyDescent="0.25">
      <c r="A2118" s="508">
        <v>90824</v>
      </c>
      <c r="B2118" s="509" t="s">
        <v>1539</v>
      </c>
      <c r="C2118" s="508" t="s">
        <v>107</v>
      </c>
      <c r="D2118" s="508">
        <v>668.43</v>
      </c>
      <c r="E2118" s="461" t="s">
        <v>174</v>
      </c>
    </row>
    <row r="2119" spans="1:5" ht="27" x14ac:dyDescent="0.25">
      <c r="A2119" s="508">
        <v>90825</v>
      </c>
      <c r="B2119" s="509" t="s">
        <v>1540</v>
      </c>
      <c r="C2119" s="508" t="s">
        <v>107</v>
      </c>
      <c r="D2119" s="510">
        <v>746.03</v>
      </c>
      <c r="E2119" s="461" t="s">
        <v>174</v>
      </c>
    </row>
    <row r="2120" spans="1:5" ht="27" x14ac:dyDescent="0.25">
      <c r="A2120" s="508">
        <v>90830</v>
      </c>
      <c r="B2120" s="509" t="s">
        <v>1541</v>
      </c>
      <c r="C2120" s="508" t="s">
        <v>107</v>
      </c>
      <c r="D2120" s="510">
        <v>187.76</v>
      </c>
      <c r="E2120" s="461" t="s">
        <v>174</v>
      </c>
    </row>
    <row r="2121" spans="1:5" ht="27" x14ac:dyDescent="0.25">
      <c r="A2121" s="508">
        <v>90831</v>
      </c>
      <c r="B2121" s="509" t="s">
        <v>1542</v>
      </c>
      <c r="C2121" s="508" t="s">
        <v>107</v>
      </c>
      <c r="D2121" s="510">
        <v>164.34</v>
      </c>
      <c r="E2121" s="461" t="s">
        <v>174</v>
      </c>
    </row>
    <row r="2122" spans="1:5" ht="40.5" x14ac:dyDescent="0.25">
      <c r="A2122" s="508">
        <v>90841</v>
      </c>
      <c r="B2122" s="509" t="s">
        <v>1543</v>
      </c>
      <c r="C2122" s="508" t="s">
        <v>107</v>
      </c>
      <c r="D2122" s="508">
        <v>1114.82</v>
      </c>
      <c r="E2122" s="461" t="s">
        <v>174</v>
      </c>
    </row>
    <row r="2123" spans="1:5" ht="40.5" x14ac:dyDescent="0.25">
      <c r="A2123" s="508">
        <v>90842</v>
      </c>
      <c r="B2123" s="509" t="s">
        <v>1544</v>
      </c>
      <c r="C2123" s="508" t="s">
        <v>107</v>
      </c>
      <c r="D2123" s="508">
        <v>1125.07</v>
      </c>
      <c r="E2123" s="461" t="s">
        <v>174</v>
      </c>
    </row>
    <row r="2124" spans="1:5" ht="40.5" x14ac:dyDescent="0.25">
      <c r="A2124" s="508">
        <v>90843</v>
      </c>
      <c r="B2124" s="509" t="s">
        <v>1545</v>
      </c>
      <c r="C2124" s="508" t="s">
        <v>107</v>
      </c>
      <c r="D2124" s="508">
        <v>1177.71</v>
      </c>
      <c r="E2124" s="461" t="s">
        <v>174</v>
      </c>
    </row>
    <row r="2125" spans="1:5" ht="40.5" x14ac:dyDescent="0.25">
      <c r="A2125" s="508">
        <v>90844</v>
      </c>
      <c r="B2125" s="509" t="s">
        <v>1546</v>
      </c>
      <c r="C2125" s="508" t="s">
        <v>107</v>
      </c>
      <c r="D2125" s="508">
        <v>1269.29</v>
      </c>
      <c r="E2125" s="461" t="s">
        <v>174</v>
      </c>
    </row>
    <row r="2126" spans="1:5" ht="40.5" x14ac:dyDescent="0.25">
      <c r="A2126" s="508">
        <v>90845</v>
      </c>
      <c r="B2126" s="509" t="s">
        <v>2346</v>
      </c>
      <c r="C2126" s="508" t="s">
        <v>107</v>
      </c>
      <c r="D2126" s="508">
        <v>1471.66</v>
      </c>
      <c r="E2126" s="461" t="s">
        <v>174</v>
      </c>
    </row>
    <row r="2127" spans="1:5" ht="40.5" x14ac:dyDescent="0.25">
      <c r="A2127" s="508">
        <v>90846</v>
      </c>
      <c r="B2127" s="509" t="s">
        <v>2347</v>
      </c>
      <c r="C2127" s="508" t="s">
        <v>107</v>
      </c>
      <c r="D2127" s="508">
        <v>1552.04</v>
      </c>
      <c r="E2127" s="461" t="s">
        <v>174</v>
      </c>
    </row>
    <row r="2128" spans="1:5" ht="40.5" x14ac:dyDescent="0.25">
      <c r="A2128" s="508">
        <v>90847</v>
      </c>
      <c r="B2128" s="509" t="s">
        <v>1547</v>
      </c>
      <c r="C2128" s="508" t="s">
        <v>107</v>
      </c>
      <c r="D2128" s="508">
        <v>950.48</v>
      </c>
      <c r="E2128" s="461" t="s">
        <v>174</v>
      </c>
    </row>
    <row r="2129" spans="1:5" ht="40.5" x14ac:dyDescent="0.25">
      <c r="A2129" s="508">
        <v>90848</v>
      </c>
      <c r="B2129" s="509" t="s">
        <v>1548</v>
      </c>
      <c r="C2129" s="508" t="s">
        <v>107</v>
      </c>
      <c r="D2129" s="508">
        <v>960.73</v>
      </c>
      <c r="E2129" s="461" t="s">
        <v>174</v>
      </c>
    </row>
    <row r="2130" spans="1:5" ht="40.5" x14ac:dyDescent="0.25">
      <c r="A2130" s="508">
        <v>90849</v>
      </c>
      <c r="B2130" s="509" t="s">
        <v>1549</v>
      </c>
      <c r="C2130" s="508" t="s">
        <v>107</v>
      </c>
      <c r="D2130" s="508">
        <v>989.95</v>
      </c>
      <c r="E2130" s="461" t="s">
        <v>174</v>
      </c>
    </row>
    <row r="2131" spans="1:5" ht="40.5" x14ac:dyDescent="0.25">
      <c r="A2131" s="508">
        <v>90850</v>
      </c>
      <c r="B2131" s="509" t="s">
        <v>1550</v>
      </c>
      <c r="C2131" s="508" t="s">
        <v>107</v>
      </c>
      <c r="D2131" s="508">
        <v>1081.53</v>
      </c>
      <c r="E2131" s="461" t="s">
        <v>174</v>
      </c>
    </row>
    <row r="2132" spans="1:5" ht="40.5" x14ac:dyDescent="0.25">
      <c r="A2132" s="508">
        <v>90851</v>
      </c>
      <c r="B2132" s="509" t="s">
        <v>2348</v>
      </c>
      <c r="C2132" s="508" t="s">
        <v>107</v>
      </c>
      <c r="D2132" s="508">
        <v>1283.9000000000001</v>
      </c>
      <c r="E2132" s="461" t="s">
        <v>174</v>
      </c>
    </row>
    <row r="2133" spans="1:5" ht="40.5" x14ac:dyDescent="0.25">
      <c r="A2133" s="508">
        <v>90852</v>
      </c>
      <c r="B2133" s="509" t="s">
        <v>2349</v>
      </c>
      <c r="C2133" s="508" t="s">
        <v>107</v>
      </c>
      <c r="D2133" s="510">
        <v>1364.28</v>
      </c>
      <c r="E2133" s="461" t="s">
        <v>174</v>
      </c>
    </row>
    <row r="2134" spans="1:5" ht="27" x14ac:dyDescent="0.25">
      <c r="A2134" s="508">
        <v>91009</v>
      </c>
      <c r="B2134" s="509" t="s">
        <v>1551</v>
      </c>
      <c r="C2134" s="508" t="s">
        <v>107</v>
      </c>
      <c r="D2134" s="510">
        <v>353.05</v>
      </c>
      <c r="E2134" s="461" t="s">
        <v>174</v>
      </c>
    </row>
    <row r="2135" spans="1:5" ht="27" x14ac:dyDescent="0.25">
      <c r="A2135" s="508">
        <v>91010</v>
      </c>
      <c r="B2135" s="509" t="s">
        <v>1552</v>
      </c>
      <c r="C2135" s="508" t="s">
        <v>107</v>
      </c>
      <c r="D2135" s="510">
        <v>361.12</v>
      </c>
      <c r="E2135" s="461" t="s">
        <v>174</v>
      </c>
    </row>
    <row r="2136" spans="1:5" ht="27" x14ac:dyDescent="0.25">
      <c r="A2136" s="508">
        <v>91011</v>
      </c>
      <c r="B2136" s="509" t="s">
        <v>1553</v>
      </c>
      <c r="C2136" s="508" t="s">
        <v>107</v>
      </c>
      <c r="D2136" s="510">
        <v>425.17</v>
      </c>
      <c r="E2136" s="461" t="s">
        <v>174</v>
      </c>
    </row>
    <row r="2137" spans="1:5" ht="27" x14ac:dyDescent="0.25">
      <c r="A2137" s="508">
        <v>91012</v>
      </c>
      <c r="B2137" s="509" t="s">
        <v>1554</v>
      </c>
      <c r="C2137" s="508" t="s">
        <v>107</v>
      </c>
      <c r="D2137" s="510">
        <v>474.35</v>
      </c>
      <c r="E2137" s="461" t="s">
        <v>174</v>
      </c>
    </row>
    <row r="2138" spans="1:5" ht="40.5" x14ac:dyDescent="0.25">
      <c r="A2138" s="508">
        <v>91013</v>
      </c>
      <c r="B2138" s="509" t="s">
        <v>1555</v>
      </c>
      <c r="C2138" s="508" t="s">
        <v>107</v>
      </c>
      <c r="D2138" s="510">
        <v>962.96</v>
      </c>
      <c r="E2138" s="461" t="s">
        <v>174</v>
      </c>
    </row>
    <row r="2139" spans="1:5" ht="40.5" x14ac:dyDescent="0.25">
      <c r="A2139" s="508">
        <v>91014</v>
      </c>
      <c r="B2139" s="509" t="s">
        <v>1556</v>
      </c>
      <c r="C2139" s="508" t="s">
        <v>107</v>
      </c>
      <c r="D2139" s="508">
        <v>973.81</v>
      </c>
      <c r="E2139" s="461" t="s">
        <v>174</v>
      </c>
    </row>
    <row r="2140" spans="1:5" ht="40.5" x14ac:dyDescent="0.25">
      <c r="A2140" s="508">
        <v>91015</v>
      </c>
      <c r="B2140" s="509" t="s">
        <v>1557</v>
      </c>
      <c r="C2140" s="508" t="s">
        <v>107</v>
      </c>
      <c r="D2140" s="508">
        <v>1040.6400000000001</v>
      </c>
      <c r="E2140" s="461" t="s">
        <v>174</v>
      </c>
    </row>
    <row r="2141" spans="1:5" ht="40.5" x14ac:dyDescent="0.25">
      <c r="A2141" s="508">
        <v>91016</v>
      </c>
      <c r="B2141" s="509" t="s">
        <v>1558</v>
      </c>
      <c r="C2141" s="508" t="s">
        <v>107</v>
      </c>
      <c r="D2141" s="510">
        <v>1092.5999999999999</v>
      </c>
      <c r="E2141" s="461" t="s">
        <v>174</v>
      </c>
    </row>
    <row r="2142" spans="1:5" ht="15" x14ac:dyDescent="0.25">
      <c r="A2142" s="508">
        <v>91287</v>
      </c>
      <c r="B2142" s="509" t="s">
        <v>1559</v>
      </c>
      <c r="C2142" s="508" t="s">
        <v>107</v>
      </c>
      <c r="D2142" s="510">
        <v>274.75</v>
      </c>
      <c r="E2142" s="461" t="s">
        <v>174</v>
      </c>
    </row>
    <row r="2143" spans="1:5" ht="27" x14ac:dyDescent="0.25">
      <c r="A2143" s="508">
        <v>91292</v>
      </c>
      <c r="B2143" s="509" t="s">
        <v>5368</v>
      </c>
      <c r="C2143" s="508" t="s">
        <v>107</v>
      </c>
      <c r="D2143" s="510">
        <v>377.92</v>
      </c>
      <c r="E2143" s="461" t="s">
        <v>174</v>
      </c>
    </row>
    <row r="2144" spans="1:5" ht="27" x14ac:dyDescent="0.25">
      <c r="A2144" s="508">
        <v>91295</v>
      </c>
      <c r="B2144" s="509" t="s">
        <v>1560</v>
      </c>
      <c r="C2144" s="508" t="s">
        <v>107</v>
      </c>
      <c r="D2144" s="510">
        <v>363.86</v>
      </c>
      <c r="E2144" s="461" t="s">
        <v>174</v>
      </c>
    </row>
    <row r="2145" spans="1:5" ht="27" x14ac:dyDescent="0.25">
      <c r="A2145" s="508">
        <v>91296</v>
      </c>
      <c r="B2145" s="509" t="s">
        <v>1561</v>
      </c>
      <c r="C2145" s="508" t="s">
        <v>107</v>
      </c>
      <c r="D2145" s="508">
        <v>391.32</v>
      </c>
      <c r="E2145" s="461" t="s">
        <v>174</v>
      </c>
    </row>
    <row r="2146" spans="1:5" ht="27" x14ac:dyDescent="0.25">
      <c r="A2146" s="508">
        <v>91297</v>
      </c>
      <c r="B2146" s="509" t="s">
        <v>1562</v>
      </c>
      <c r="C2146" s="508" t="s">
        <v>107</v>
      </c>
      <c r="D2146" s="508">
        <v>432.37</v>
      </c>
      <c r="E2146" s="461" t="s">
        <v>174</v>
      </c>
    </row>
    <row r="2147" spans="1:5" ht="27" x14ac:dyDescent="0.25">
      <c r="A2147" s="508">
        <v>91298</v>
      </c>
      <c r="B2147" s="509" t="s">
        <v>1563</v>
      </c>
      <c r="C2147" s="508" t="s">
        <v>107</v>
      </c>
      <c r="D2147" s="508">
        <v>887.3</v>
      </c>
      <c r="E2147" s="461" t="s">
        <v>174</v>
      </c>
    </row>
    <row r="2148" spans="1:5" ht="27" x14ac:dyDescent="0.25">
      <c r="A2148" s="508">
        <v>91299</v>
      </c>
      <c r="B2148" s="509" t="s">
        <v>1564</v>
      </c>
      <c r="C2148" s="508" t="s">
        <v>107</v>
      </c>
      <c r="D2148" s="508">
        <v>1246.5</v>
      </c>
      <c r="E2148" s="461" t="s">
        <v>174</v>
      </c>
    </row>
    <row r="2149" spans="1:5" ht="27" x14ac:dyDescent="0.25">
      <c r="A2149" s="508">
        <v>91304</v>
      </c>
      <c r="B2149" s="509" t="s">
        <v>1565</v>
      </c>
      <c r="C2149" s="508" t="s">
        <v>107</v>
      </c>
      <c r="D2149" s="510">
        <v>115.31</v>
      </c>
      <c r="E2149" s="461" t="s">
        <v>174</v>
      </c>
    </row>
    <row r="2150" spans="1:5" ht="27" x14ac:dyDescent="0.25">
      <c r="A2150" s="508">
        <v>91305</v>
      </c>
      <c r="B2150" s="509" t="s">
        <v>1566</v>
      </c>
      <c r="C2150" s="508" t="s">
        <v>107</v>
      </c>
      <c r="D2150" s="508">
        <v>114.5</v>
      </c>
      <c r="E2150" s="461" t="s">
        <v>174</v>
      </c>
    </row>
    <row r="2151" spans="1:5" ht="27" x14ac:dyDescent="0.25">
      <c r="A2151" s="508">
        <v>91306</v>
      </c>
      <c r="B2151" s="509" t="s">
        <v>1567</v>
      </c>
      <c r="C2151" s="508" t="s">
        <v>107</v>
      </c>
      <c r="D2151" s="508">
        <v>164.34</v>
      </c>
      <c r="E2151" s="461" t="s">
        <v>174</v>
      </c>
    </row>
    <row r="2152" spans="1:5" ht="27" x14ac:dyDescent="0.25">
      <c r="A2152" s="508">
        <v>91307</v>
      </c>
      <c r="B2152" s="509" t="s">
        <v>1568</v>
      </c>
      <c r="C2152" s="508" t="s">
        <v>107</v>
      </c>
      <c r="D2152" s="508">
        <v>97.68</v>
      </c>
      <c r="E2152" s="461" t="s">
        <v>174</v>
      </c>
    </row>
    <row r="2153" spans="1:5" ht="40.5" x14ac:dyDescent="0.25">
      <c r="A2153" s="508">
        <v>91312</v>
      </c>
      <c r="B2153" s="509" t="s">
        <v>1569</v>
      </c>
      <c r="C2153" s="508" t="s">
        <v>107</v>
      </c>
      <c r="D2153" s="508">
        <v>923.8</v>
      </c>
      <c r="E2153" s="461" t="s">
        <v>174</v>
      </c>
    </row>
    <row r="2154" spans="1:5" ht="40.5" x14ac:dyDescent="0.25">
      <c r="A2154" s="508">
        <v>91313</v>
      </c>
      <c r="B2154" s="509" t="s">
        <v>1570</v>
      </c>
      <c r="C2154" s="508" t="s">
        <v>107</v>
      </c>
      <c r="D2154" s="508">
        <v>916.34</v>
      </c>
      <c r="E2154" s="461" t="s">
        <v>174</v>
      </c>
    </row>
    <row r="2155" spans="1:5" ht="40.5" x14ac:dyDescent="0.25">
      <c r="A2155" s="508">
        <v>91314</v>
      </c>
      <c r="B2155" s="509" t="s">
        <v>1571</v>
      </c>
      <c r="C2155" s="508" t="s">
        <v>107</v>
      </c>
      <c r="D2155" s="508">
        <v>962.31</v>
      </c>
      <c r="E2155" s="461" t="s">
        <v>174</v>
      </c>
    </row>
    <row r="2156" spans="1:5" ht="40.5" x14ac:dyDescent="0.25">
      <c r="A2156" s="508">
        <v>91315</v>
      </c>
      <c r="B2156" s="509" t="s">
        <v>1572</v>
      </c>
      <c r="C2156" s="508" t="s">
        <v>107</v>
      </c>
      <c r="D2156" s="508">
        <v>1053</v>
      </c>
      <c r="E2156" s="461" t="s">
        <v>174</v>
      </c>
    </row>
    <row r="2157" spans="1:5" ht="54" x14ac:dyDescent="0.25">
      <c r="A2157" s="508">
        <v>91316</v>
      </c>
      <c r="B2157" s="509" t="s">
        <v>2350</v>
      </c>
      <c r="C2157" s="508" t="s">
        <v>107</v>
      </c>
      <c r="D2157" s="508">
        <v>1256.26</v>
      </c>
      <c r="E2157" s="461" t="s">
        <v>174</v>
      </c>
    </row>
    <row r="2158" spans="1:5" ht="54" x14ac:dyDescent="0.25">
      <c r="A2158" s="508">
        <v>91317</v>
      </c>
      <c r="B2158" s="509" t="s">
        <v>2351</v>
      </c>
      <c r="C2158" s="508" t="s">
        <v>107</v>
      </c>
      <c r="D2158" s="508">
        <v>1335.75</v>
      </c>
      <c r="E2158" s="461" t="s">
        <v>174</v>
      </c>
    </row>
    <row r="2159" spans="1:5" ht="40.5" x14ac:dyDescent="0.25">
      <c r="A2159" s="508">
        <v>91318</v>
      </c>
      <c r="B2159" s="509" t="s">
        <v>1573</v>
      </c>
      <c r="C2159" s="508" t="s">
        <v>107</v>
      </c>
      <c r="D2159" s="508">
        <v>809.3</v>
      </c>
      <c r="E2159" s="461" t="s">
        <v>174</v>
      </c>
    </row>
    <row r="2160" spans="1:5" ht="40.5" x14ac:dyDescent="0.25">
      <c r="A2160" s="508">
        <v>91319</v>
      </c>
      <c r="B2160" s="509" t="s">
        <v>1574</v>
      </c>
      <c r="C2160" s="508" t="s">
        <v>107</v>
      </c>
      <c r="D2160" s="508">
        <v>818.66</v>
      </c>
      <c r="E2160" s="461" t="s">
        <v>174</v>
      </c>
    </row>
    <row r="2161" spans="1:5" ht="40.5" x14ac:dyDescent="0.25">
      <c r="A2161" s="508">
        <v>91320</v>
      </c>
      <c r="B2161" s="509" t="s">
        <v>1575</v>
      </c>
      <c r="C2161" s="508" t="s">
        <v>107</v>
      </c>
      <c r="D2161" s="508">
        <v>847</v>
      </c>
      <c r="E2161" s="461" t="s">
        <v>174</v>
      </c>
    </row>
    <row r="2162" spans="1:5" ht="40.5" x14ac:dyDescent="0.25">
      <c r="A2162" s="508">
        <v>91321</v>
      </c>
      <c r="B2162" s="509" t="s">
        <v>1576</v>
      </c>
      <c r="C2162" s="508" t="s">
        <v>107</v>
      </c>
      <c r="D2162" s="508">
        <v>937.69</v>
      </c>
      <c r="E2162" s="461" t="s">
        <v>174</v>
      </c>
    </row>
    <row r="2163" spans="1:5" ht="40.5" x14ac:dyDescent="0.25">
      <c r="A2163" s="508">
        <v>91322</v>
      </c>
      <c r="B2163" s="509" t="s">
        <v>2352</v>
      </c>
      <c r="C2163" s="508" t="s">
        <v>107</v>
      </c>
      <c r="D2163" s="508">
        <v>1140.95</v>
      </c>
      <c r="E2163" s="461" t="s">
        <v>174</v>
      </c>
    </row>
    <row r="2164" spans="1:5" ht="40.5" x14ac:dyDescent="0.25">
      <c r="A2164" s="508">
        <v>91323</v>
      </c>
      <c r="B2164" s="509" t="s">
        <v>2353</v>
      </c>
      <c r="C2164" s="508" t="s">
        <v>107</v>
      </c>
      <c r="D2164" s="508">
        <v>1220.44</v>
      </c>
      <c r="E2164" s="461" t="s">
        <v>174</v>
      </c>
    </row>
    <row r="2165" spans="1:5" ht="40.5" x14ac:dyDescent="0.25">
      <c r="A2165" s="508">
        <v>91324</v>
      </c>
      <c r="B2165" s="509" t="s">
        <v>1577</v>
      </c>
      <c r="C2165" s="508" t="s">
        <v>107</v>
      </c>
      <c r="D2165" s="508">
        <v>821.78</v>
      </c>
      <c r="E2165" s="461" t="s">
        <v>174</v>
      </c>
    </row>
    <row r="2166" spans="1:5" ht="40.5" x14ac:dyDescent="0.25">
      <c r="A2166" s="508">
        <v>91325</v>
      </c>
      <c r="B2166" s="509" t="s">
        <v>1578</v>
      </c>
      <c r="C2166" s="508" t="s">
        <v>107</v>
      </c>
      <c r="D2166" s="508">
        <v>831.74</v>
      </c>
      <c r="E2166" s="461" t="s">
        <v>174</v>
      </c>
    </row>
    <row r="2167" spans="1:5" ht="40.5" x14ac:dyDescent="0.25">
      <c r="A2167" s="508">
        <v>91326</v>
      </c>
      <c r="B2167" s="509" t="s">
        <v>1579</v>
      </c>
      <c r="C2167" s="508" t="s">
        <v>107</v>
      </c>
      <c r="D2167" s="508">
        <v>897.69</v>
      </c>
      <c r="E2167" s="461" t="s">
        <v>174</v>
      </c>
    </row>
    <row r="2168" spans="1:5" ht="40.5" x14ac:dyDescent="0.25">
      <c r="A2168" s="508">
        <v>91327</v>
      </c>
      <c r="B2168" s="509" t="s">
        <v>1580</v>
      </c>
      <c r="C2168" s="508" t="s">
        <v>107</v>
      </c>
      <c r="D2168" s="508">
        <v>948.76</v>
      </c>
      <c r="E2168" s="461" t="s">
        <v>174</v>
      </c>
    </row>
    <row r="2169" spans="1:5" ht="40.5" x14ac:dyDescent="0.25">
      <c r="A2169" s="508">
        <v>91328</v>
      </c>
      <c r="B2169" s="509" t="s">
        <v>1581</v>
      </c>
      <c r="C2169" s="508" t="s">
        <v>107</v>
      </c>
      <c r="D2169" s="508">
        <v>973.77</v>
      </c>
      <c r="E2169" s="461" t="s">
        <v>174</v>
      </c>
    </row>
    <row r="2170" spans="1:5" ht="40.5" x14ac:dyDescent="0.25">
      <c r="A2170" s="508">
        <v>91329</v>
      </c>
      <c r="B2170" s="509" t="s">
        <v>1582</v>
      </c>
      <c r="C2170" s="508" t="s">
        <v>107</v>
      </c>
      <c r="D2170" s="508">
        <v>832.59</v>
      </c>
      <c r="E2170" s="461" t="s">
        <v>174</v>
      </c>
    </row>
    <row r="2171" spans="1:5" ht="40.5" x14ac:dyDescent="0.25">
      <c r="A2171" s="508">
        <v>91330</v>
      </c>
      <c r="B2171" s="509" t="s">
        <v>1583</v>
      </c>
      <c r="C2171" s="508" t="s">
        <v>107</v>
      </c>
      <c r="D2171" s="508">
        <v>1004.01</v>
      </c>
      <c r="E2171" s="461" t="s">
        <v>174</v>
      </c>
    </row>
    <row r="2172" spans="1:5" ht="40.5" x14ac:dyDescent="0.25">
      <c r="A2172" s="508">
        <v>91331</v>
      </c>
      <c r="B2172" s="509" t="s">
        <v>1584</v>
      </c>
      <c r="C2172" s="508" t="s">
        <v>107</v>
      </c>
      <c r="D2172" s="508">
        <v>861.94</v>
      </c>
      <c r="E2172" s="461" t="s">
        <v>174</v>
      </c>
    </row>
    <row r="2173" spans="1:5" ht="40.5" x14ac:dyDescent="0.25">
      <c r="A2173" s="508">
        <v>91332</v>
      </c>
      <c r="B2173" s="509" t="s">
        <v>1585</v>
      </c>
      <c r="C2173" s="508" t="s">
        <v>107</v>
      </c>
      <c r="D2173" s="508">
        <v>1047.8399999999999</v>
      </c>
      <c r="E2173" s="461" t="s">
        <v>174</v>
      </c>
    </row>
    <row r="2174" spans="1:5" ht="40.5" x14ac:dyDescent="0.25">
      <c r="A2174" s="508">
        <v>91333</v>
      </c>
      <c r="B2174" s="509" t="s">
        <v>1586</v>
      </c>
      <c r="C2174" s="508" t="s">
        <v>107</v>
      </c>
      <c r="D2174" s="508">
        <v>904.89</v>
      </c>
      <c r="E2174" s="461" t="s">
        <v>174</v>
      </c>
    </row>
    <row r="2175" spans="1:5" ht="40.5" x14ac:dyDescent="0.25">
      <c r="A2175" s="508">
        <v>91334</v>
      </c>
      <c r="B2175" s="509" t="s">
        <v>1587</v>
      </c>
      <c r="C2175" s="508" t="s">
        <v>107</v>
      </c>
      <c r="D2175" s="508">
        <v>1502.77</v>
      </c>
      <c r="E2175" s="461" t="s">
        <v>174</v>
      </c>
    </row>
    <row r="2176" spans="1:5" ht="40.5" x14ac:dyDescent="0.25">
      <c r="A2176" s="508">
        <v>91335</v>
      </c>
      <c r="B2176" s="509" t="s">
        <v>1588</v>
      </c>
      <c r="C2176" s="508" t="s">
        <v>107</v>
      </c>
      <c r="D2176" s="508">
        <v>1359.82</v>
      </c>
      <c r="E2176" s="461" t="s">
        <v>174</v>
      </c>
    </row>
    <row r="2177" spans="1:5" ht="40.5" x14ac:dyDescent="0.25">
      <c r="A2177" s="508">
        <v>91336</v>
      </c>
      <c r="B2177" s="509" t="s">
        <v>1589</v>
      </c>
      <c r="C2177" s="508" t="s">
        <v>107</v>
      </c>
      <c r="D2177" s="508">
        <v>1861.97</v>
      </c>
      <c r="E2177" s="461" t="s">
        <v>174</v>
      </c>
    </row>
    <row r="2178" spans="1:5" ht="40.5" x14ac:dyDescent="0.25">
      <c r="A2178" s="508">
        <v>91337</v>
      </c>
      <c r="B2178" s="509" t="s">
        <v>1590</v>
      </c>
      <c r="C2178" s="508" t="s">
        <v>107</v>
      </c>
      <c r="D2178" s="508">
        <v>1719.02</v>
      </c>
      <c r="E2178" s="461" t="s">
        <v>174</v>
      </c>
    </row>
    <row r="2179" spans="1:5" ht="27" x14ac:dyDescent="0.25">
      <c r="A2179" s="508">
        <v>100659</v>
      </c>
      <c r="B2179" s="509" t="s">
        <v>1591</v>
      </c>
      <c r="C2179" s="508" t="s">
        <v>5</v>
      </c>
      <c r="D2179" s="508">
        <v>13.9</v>
      </c>
      <c r="E2179" s="461" t="s">
        <v>174</v>
      </c>
    </row>
    <row r="2180" spans="1:5" ht="27" x14ac:dyDescent="0.25">
      <c r="A2180" s="508">
        <v>100660</v>
      </c>
      <c r="B2180" s="509" t="s">
        <v>1592</v>
      </c>
      <c r="C2180" s="508" t="s">
        <v>5</v>
      </c>
      <c r="D2180" s="508">
        <v>9.4600000000000009</v>
      </c>
      <c r="E2180" s="461" t="s">
        <v>174</v>
      </c>
    </row>
    <row r="2181" spans="1:5" ht="40.5" x14ac:dyDescent="0.25">
      <c r="A2181" s="508">
        <v>100675</v>
      </c>
      <c r="B2181" s="509" t="s">
        <v>1593</v>
      </c>
      <c r="C2181" s="508" t="s">
        <v>107</v>
      </c>
      <c r="D2181" s="508">
        <v>1038.67</v>
      </c>
      <c r="E2181" s="461" t="s">
        <v>174</v>
      </c>
    </row>
    <row r="2182" spans="1:5" ht="15" x14ac:dyDescent="0.25">
      <c r="A2182" s="508">
        <v>100676</v>
      </c>
      <c r="B2182" s="509" t="s">
        <v>1594</v>
      </c>
      <c r="C2182" s="508" t="s">
        <v>107</v>
      </c>
      <c r="D2182" s="508">
        <v>232.55</v>
      </c>
      <c r="E2182" s="461" t="s">
        <v>174</v>
      </c>
    </row>
    <row r="2183" spans="1:5" ht="40.5" x14ac:dyDescent="0.25">
      <c r="A2183" s="508">
        <v>100678</v>
      </c>
      <c r="B2183" s="509" t="s">
        <v>1595</v>
      </c>
      <c r="C2183" s="508" t="s">
        <v>107</v>
      </c>
      <c r="D2183" s="508">
        <v>1127.3</v>
      </c>
      <c r="E2183" s="461" t="s">
        <v>174</v>
      </c>
    </row>
    <row r="2184" spans="1:5" ht="40.5" x14ac:dyDescent="0.25">
      <c r="A2184" s="508">
        <v>100679</v>
      </c>
      <c r="B2184" s="509" t="s">
        <v>1596</v>
      </c>
      <c r="C2184" s="508" t="s">
        <v>107</v>
      </c>
      <c r="D2184" s="508">
        <v>936.28</v>
      </c>
      <c r="E2184" s="461" t="s">
        <v>174</v>
      </c>
    </row>
    <row r="2185" spans="1:5" ht="40.5" x14ac:dyDescent="0.25">
      <c r="A2185" s="508">
        <v>100680</v>
      </c>
      <c r="B2185" s="509" t="s">
        <v>1597</v>
      </c>
      <c r="C2185" s="508" t="s">
        <v>107</v>
      </c>
      <c r="D2185" s="508">
        <v>1138.1500000000001</v>
      </c>
      <c r="E2185" s="461" t="s">
        <v>174</v>
      </c>
    </row>
    <row r="2186" spans="1:5" ht="40.5" x14ac:dyDescent="0.25">
      <c r="A2186" s="508">
        <v>100681</v>
      </c>
      <c r="B2186" s="509" t="s">
        <v>1598</v>
      </c>
      <c r="C2186" s="508" t="s">
        <v>107</v>
      </c>
      <c r="D2186" s="508">
        <v>1168.3499999999999</v>
      </c>
      <c r="E2186" s="461" t="s">
        <v>174</v>
      </c>
    </row>
    <row r="2187" spans="1:5" ht="40.5" x14ac:dyDescent="0.25">
      <c r="A2187" s="508">
        <v>100682</v>
      </c>
      <c r="B2187" s="509" t="s">
        <v>1599</v>
      </c>
      <c r="C2187" s="508" t="s">
        <v>107</v>
      </c>
      <c r="D2187" s="508">
        <v>959.62</v>
      </c>
      <c r="E2187" s="461" t="s">
        <v>174</v>
      </c>
    </row>
    <row r="2188" spans="1:5" ht="40.5" x14ac:dyDescent="0.25">
      <c r="A2188" s="508">
        <v>100683</v>
      </c>
      <c r="B2188" s="509" t="s">
        <v>1600</v>
      </c>
      <c r="C2188" s="508" t="s">
        <v>107</v>
      </c>
      <c r="D2188" s="508">
        <v>1228.4000000000001</v>
      </c>
      <c r="E2188" s="461" t="s">
        <v>174</v>
      </c>
    </row>
    <row r="2189" spans="1:5" ht="40.5" x14ac:dyDescent="0.25">
      <c r="A2189" s="508">
        <v>100684</v>
      </c>
      <c r="B2189" s="509" t="s">
        <v>1601</v>
      </c>
      <c r="C2189" s="508" t="s">
        <v>107</v>
      </c>
      <c r="D2189" s="508">
        <v>1013</v>
      </c>
      <c r="E2189" s="461" t="s">
        <v>174</v>
      </c>
    </row>
    <row r="2190" spans="1:5" ht="40.5" x14ac:dyDescent="0.25">
      <c r="A2190" s="508">
        <v>100685</v>
      </c>
      <c r="B2190" s="509" t="s">
        <v>1602</v>
      </c>
      <c r="C2190" s="508" t="s">
        <v>107</v>
      </c>
      <c r="D2190" s="508">
        <v>1280.3599999999999</v>
      </c>
      <c r="E2190" s="461" t="s">
        <v>174</v>
      </c>
    </row>
    <row r="2191" spans="1:5" ht="40.5" x14ac:dyDescent="0.25">
      <c r="A2191" s="508">
        <v>100686</v>
      </c>
      <c r="B2191" s="509" t="s">
        <v>1603</v>
      </c>
      <c r="C2191" s="508" t="s">
        <v>107</v>
      </c>
      <c r="D2191" s="508">
        <v>1064.07</v>
      </c>
      <c r="E2191" s="461" t="s">
        <v>174</v>
      </c>
    </row>
    <row r="2192" spans="1:5" ht="40.5" x14ac:dyDescent="0.25">
      <c r="A2192" s="508">
        <v>100687</v>
      </c>
      <c r="B2192" s="509" t="s">
        <v>1604</v>
      </c>
      <c r="C2192" s="508" t="s">
        <v>107</v>
      </c>
      <c r="D2192" s="508">
        <v>1138.1099999999999</v>
      </c>
      <c r="E2192" s="461" t="s">
        <v>174</v>
      </c>
    </row>
    <row r="2193" spans="1:5" ht="40.5" x14ac:dyDescent="0.25">
      <c r="A2193" s="508">
        <v>100688</v>
      </c>
      <c r="B2193" s="509" t="s">
        <v>1605</v>
      </c>
      <c r="C2193" s="508" t="s">
        <v>107</v>
      </c>
      <c r="D2193" s="508">
        <v>947.09</v>
      </c>
      <c r="E2193" s="461" t="s">
        <v>174</v>
      </c>
    </row>
    <row r="2194" spans="1:5" ht="40.5" x14ac:dyDescent="0.25">
      <c r="A2194" s="508">
        <v>100689</v>
      </c>
      <c r="B2194" s="509" t="s">
        <v>1606</v>
      </c>
      <c r="C2194" s="508" t="s">
        <v>107</v>
      </c>
      <c r="D2194" s="508">
        <v>1235.5999999999999</v>
      </c>
      <c r="E2194" s="461" t="s">
        <v>174</v>
      </c>
    </row>
    <row r="2195" spans="1:5" ht="40.5" x14ac:dyDescent="0.25">
      <c r="A2195" s="508">
        <v>100690</v>
      </c>
      <c r="B2195" s="509" t="s">
        <v>1607</v>
      </c>
      <c r="C2195" s="508" t="s">
        <v>107</v>
      </c>
      <c r="D2195" s="508">
        <v>1020.2</v>
      </c>
      <c r="E2195" s="461" t="s">
        <v>174</v>
      </c>
    </row>
    <row r="2196" spans="1:5" ht="40.5" x14ac:dyDescent="0.25">
      <c r="A2196" s="508">
        <v>100691</v>
      </c>
      <c r="B2196" s="509" t="s">
        <v>1608</v>
      </c>
      <c r="C2196" s="508" t="s">
        <v>107</v>
      </c>
      <c r="D2196" s="508">
        <v>1690.53</v>
      </c>
      <c r="E2196" s="461" t="s">
        <v>174</v>
      </c>
    </row>
    <row r="2197" spans="1:5" ht="40.5" x14ac:dyDescent="0.25">
      <c r="A2197" s="508">
        <v>100692</v>
      </c>
      <c r="B2197" s="509" t="s">
        <v>1609</v>
      </c>
      <c r="C2197" s="508" t="s">
        <v>107</v>
      </c>
      <c r="D2197" s="508">
        <v>1475.13</v>
      </c>
      <c r="E2197" s="461" t="s">
        <v>174</v>
      </c>
    </row>
    <row r="2198" spans="1:5" ht="40.5" x14ac:dyDescent="0.25">
      <c r="A2198" s="508">
        <v>100693</v>
      </c>
      <c r="B2198" s="509" t="s">
        <v>1610</v>
      </c>
      <c r="C2198" s="508" t="s">
        <v>107</v>
      </c>
      <c r="D2198" s="508">
        <v>2049.73</v>
      </c>
      <c r="E2198" s="461" t="s">
        <v>174</v>
      </c>
    </row>
    <row r="2199" spans="1:5" ht="54" x14ac:dyDescent="0.25">
      <c r="A2199" s="508">
        <v>100694</v>
      </c>
      <c r="B2199" s="509" t="s">
        <v>1611</v>
      </c>
      <c r="C2199" s="508" t="s">
        <v>107</v>
      </c>
      <c r="D2199" s="508">
        <v>1834.33</v>
      </c>
      <c r="E2199" s="461" t="s">
        <v>174</v>
      </c>
    </row>
    <row r="2200" spans="1:5" ht="27" x14ac:dyDescent="0.25">
      <c r="A2200" s="508">
        <v>100695</v>
      </c>
      <c r="B2200" s="509" t="s">
        <v>1612</v>
      </c>
      <c r="C2200" s="508" t="s">
        <v>107</v>
      </c>
      <c r="D2200" s="508">
        <v>67.14</v>
      </c>
      <c r="E2200" s="461" t="s">
        <v>174</v>
      </c>
    </row>
    <row r="2201" spans="1:5" ht="27" x14ac:dyDescent="0.25">
      <c r="A2201" s="508">
        <v>100696</v>
      </c>
      <c r="B2201" s="509" t="s">
        <v>1613</v>
      </c>
      <c r="C2201" s="508" t="s">
        <v>107</v>
      </c>
      <c r="D2201" s="508">
        <v>74.680000000000007</v>
      </c>
      <c r="E2201" s="461" t="s">
        <v>174</v>
      </c>
    </row>
    <row r="2202" spans="1:5" ht="27" x14ac:dyDescent="0.25">
      <c r="A2202" s="508">
        <v>100697</v>
      </c>
      <c r="B2202" s="509" t="s">
        <v>1614</v>
      </c>
      <c r="C2202" s="508" t="s">
        <v>107</v>
      </c>
      <c r="D2202" s="508">
        <v>82.28</v>
      </c>
      <c r="E2202" s="461" t="s">
        <v>174</v>
      </c>
    </row>
    <row r="2203" spans="1:5" ht="27" x14ac:dyDescent="0.25">
      <c r="A2203" s="508">
        <v>100698</v>
      </c>
      <c r="B2203" s="509" t="s">
        <v>1615</v>
      </c>
      <c r="C2203" s="508" t="s">
        <v>107</v>
      </c>
      <c r="D2203" s="508">
        <v>89.85</v>
      </c>
      <c r="E2203" s="461" t="s">
        <v>174</v>
      </c>
    </row>
    <row r="2204" spans="1:5" ht="27" x14ac:dyDescent="0.25">
      <c r="A2204" s="508">
        <v>100699</v>
      </c>
      <c r="B2204" s="509" t="s">
        <v>1616</v>
      </c>
      <c r="C2204" s="508" t="s">
        <v>107</v>
      </c>
      <c r="D2204" s="508">
        <v>106.94</v>
      </c>
      <c r="E2204" s="461" t="s">
        <v>174</v>
      </c>
    </row>
    <row r="2205" spans="1:5" ht="27" x14ac:dyDescent="0.25">
      <c r="A2205" s="508">
        <v>100700</v>
      </c>
      <c r="B2205" s="509" t="s">
        <v>1617</v>
      </c>
      <c r="C2205" s="508" t="s">
        <v>107</v>
      </c>
      <c r="D2205" s="508">
        <v>947.49</v>
      </c>
      <c r="E2205" s="461" t="s">
        <v>174</v>
      </c>
    </row>
    <row r="2206" spans="1:5" ht="40.5" x14ac:dyDescent="0.25">
      <c r="A2206" s="508">
        <v>100712</v>
      </c>
      <c r="B2206" s="509" t="s">
        <v>1618</v>
      </c>
      <c r="C2206" s="508" t="s">
        <v>107</v>
      </c>
      <c r="D2206" s="508">
        <v>929.42</v>
      </c>
      <c r="E2206" s="461" t="s">
        <v>174</v>
      </c>
    </row>
    <row r="2207" spans="1:5" ht="40.5" x14ac:dyDescent="0.25">
      <c r="A2207" s="508">
        <v>100665</v>
      </c>
      <c r="B2207" s="509" t="s">
        <v>1619</v>
      </c>
      <c r="C2207" s="508" t="s">
        <v>150</v>
      </c>
      <c r="D2207" s="508">
        <v>1205.56</v>
      </c>
      <c r="E2207" s="461" t="s">
        <v>174</v>
      </c>
    </row>
    <row r="2208" spans="1:5" ht="40.5" x14ac:dyDescent="0.25">
      <c r="A2208" s="508">
        <v>100666</v>
      </c>
      <c r="B2208" s="509" t="s">
        <v>1620</v>
      </c>
      <c r="C2208" s="508" t="s">
        <v>150</v>
      </c>
      <c r="D2208" s="508">
        <v>950.33</v>
      </c>
      <c r="E2208" s="461" t="s">
        <v>174</v>
      </c>
    </row>
    <row r="2209" spans="1:5" ht="40.5" x14ac:dyDescent="0.25">
      <c r="A2209" s="508">
        <v>100667</v>
      </c>
      <c r="B2209" s="509" t="s">
        <v>1621</v>
      </c>
      <c r="C2209" s="508" t="s">
        <v>150</v>
      </c>
      <c r="D2209" s="508">
        <v>1566.38</v>
      </c>
      <c r="E2209" s="461" t="s">
        <v>174</v>
      </c>
    </row>
    <row r="2210" spans="1:5" ht="40.5" x14ac:dyDescent="0.25">
      <c r="A2210" s="508">
        <v>100668</v>
      </c>
      <c r="B2210" s="509" t="s">
        <v>1622</v>
      </c>
      <c r="C2210" s="508" t="s">
        <v>150</v>
      </c>
      <c r="D2210" s="508">
        <v>1866.57</v>
      </c>
      <c r="E2210" s="461" t="s">
        <v>174</v>
      </c>
    </row>
    <row r="2211" spans="1:5" ht="40.5" x14ac:dyDescent="0.25">
      <c r="A2211" s="508">
        <v>100669</v>
      </c>
      <c r="B2211" s="509" t="s">
        <v>1623</v>
      </c>
      <c r="C2211" s="508" t="s">
        <v>150</v>
      </c>
      <c r="D2211" s="508">
        <v>1124.3</v>
      </c>
      <c r="E2211" s="461" t="s">
        <v>174</v>
      </c>
    </row>
    <row r="2212" spans="1:5" ht="40.5" x14ac:dyDescent="0.25">
      <c r="A2212" s="508">
        <v>100670</v>
      </c>
      <c r="B2212" s="509" t="s">
        <v>1624</v>
      </c>
      <c r="C2212" s="508" t="s">
        <v>150</v>
      </c>
      <c r="D2212" s="508">
        <v>1512.66</v>
      </c>
      <c r="E2212" s="461" t="s">
        <v>174</v>
      </c>
    </row>
    <row r="2213" spans="1:5" ht="40.5" x14ac:dyDescent="0.25">
      <c r="A2213" s="508">
        <v>100671</v>
      </c>
      <c r="B2213" s="509" t="s">
        <v>1625</v>
      </c>
      <c r="C2213" s="508" t="s">
        <v>150</v>
      </c>
      <c r="D2213" s="508">
        <v>1879.53</v>
      </c>
      <c r="E2213" s="461" t="s">
        <v>174</v>
      </c>
    </row>
    <row r="2214" spans="1:5" ht="40.5" x14ac:dyDescent="0.25">
      <c r="A2214" s="508">
        <v>100672</v>
      </c>
      <c r="B2214" s="509" t="s">
        <v>1626</v>
      </c>
      <c r="C2214" s="508" t="s">
        <v>150</v>
      </c>
      <c r="D2214" s="508">
        <v>1210.3499999999999</v>
      </c>
      <c r="E2214" s="461" t="s">
        <v>174</v>
      </c>
    </row>
    <row r="2215" spans="1:5" ht="15" x14ac:dyDescent="0.25">
      <c r="A2215" s="508">
        <v>100701</v>
      </c>
      <c r="B2215" s="509" t="s">
        <v>1627</v>
      </c>
      <c r="C2215" s="508" t="s">
        <v>150</v>
      </c>
      <c r="D2215" s="508">
        <v>558.4</v>
      </c>
      <c r="E2215" s="461" t="s">
        <v>174</v>
      </c>
    </row>
    <row r="2216" spans="1:5" ht="40.5" x14ac:dyDescent="0.25">
      <c r="A2216" s="508">
        <v>94559</v>
      </c>
      <c r="B2216" s="509" t="s">
        <v>1628</v>
      </c>
      <c r="C2216" s="508" t="s">
        <v>150</v>
      </c>
      <c r="D2216" s="508">
        <v>725.04</v>
      </c>
      <c r="E2216" s="461" t="s">
        <v>174</v>
      </c>
    </row>
    <row r="2217" spans="1:5" ht="40.5" x14ac:dyDescent="0.25">
      <c r="A2217" s="508">
        <v>94562</v>
      </c>
      <c r="B2217" s="509" t="s">
        <v>1629</v>
      </c>
      <c r="C2217" s="508" t="s">
        <v>150</v>
      </c>
      <c r="D2217" s="508">
        <v>663.3</v>
      </c>
      <c r="E2217" s="461" t="s">
        <v>174</v>
      </c>
    </row>
    <row r="2218" spans="1:5" ht="15" x14ac:dyDescent="0.25">
      <c r="A2218" s="508">
        <v>94587</v>
      </c>
      <c r="B2218" s="509" t="s">
        <v>1630</v>
      </c>
      <c r="C2218" s="508" t="s">
        <v>5</v>
      </c>
      <c r="D2218" s="508">
        <v>66.3</v>
      </c>
      <c r="E2218" s="461" t="s">
        <v>174</v>
      </c>
    </row>
    <row r="2219" spans="1:5" ht="15" x14ac:dyDescent="0.25">
      <c r="A2219" s="508">
        <v>94588</v>
      </c>
      <c r="B2219" s="509" t="s">
        <v>1631</v>
      </c>
      <c r="C2219" s="508" t="s">
        <v>5</v>
      </c>
      <c r="D2219" s="508">
        <v>57.63</v>
      </c>
      <c r="E2219" s="461" t="s">
        <v>174</v>
      </c>
    </row>
    <row r="2220" spans="1:5" ht="40.5" x14ac:dyDescent="0.25">
      <c r="A2220" s="508">
        <v>99837</v>
      </c>
      <c r="B2220" s="509" t="s">
        <v>5369</v>
      </c>
      <c r="C2220" s="508" t="s">
        <v>5</v>
      </c>
      <c r="D2220" s="508">
        <v>620.5</v>
      </c>
      <c r="E2220" s="461" t="s">
        <v>174</v>
      </c>
    </row>
    <row r="2221" spans="1:5" ht="40.5" x14ac:dyDescent="0.25">
      <c r="A2221" s="508">
        <v>99839</v>
      </c>
      <c r="B2221" s="509" t="s">
        <v>5370</v>
      </c>
      <c r="C2221" s="508" t="s">
        <v>5</v>
      </c>
      <c r="D2221" s="508">
        <v>520.82000000000005</v>
      </c>
      <c r="E2221" s="461" t="s">
        <v>174</v>
      </c>
    </row>
    <row r="2222" spans="1:5" ht="27" x14ac:dyDescent="0.25">
      <c r="A2222" s="508">
        <v>99841</v>
      </c>
      <c r="B2222" s="509" t="s">
        <v>5371</v>
      </c>
      <c r="C2222" s="508" t="s">
        <v>5</v>
      </c>
      <c r="D2222" s="508">
        <v>1049.6300000000001</v>
      </c>
      <c r="E2222" s="461" t="s">
        <v>174</v>
      </c>
    </row>
    <row r="2223" spans="1:5" ht="15" x14ac:dyDescent="0.25">
      <c r="A2223" s="508">
        <v>99855</v>
      </c>
      <c r="B2223" s="509" t="s">
        <v>5372</v>
      </c>
      <c r="C2223" s="508" t="s">
        <v>5</v>
      </c>
      <c r="D2223" s="508">
        <v>115.94</v>
      </c>
      <c r="E2223" s="461" t="s">
        <v>174</v>
      </c>
    </row>
    <row r="2224" spans="1:5" ht="15" x14ac:dyDescent="0.25">
      <c r="A2224" s="508">
        <v>99857</v>
      </c>
      <c r="B2224" s="509" t="s">
        <v>5373</v>
      </c>
      <c r="C2224" s="508" t="s">
        <v>5</v>
      </c>
      <c r="D2224" s="508">
        <v>98.96</v>
      </c>
      <c r="E2224" s="461" t="s">
        <v>174</v>
      </c>
    </row>
    <row r="2225" spans="1:5" ht="27" x14ac:dyDescent="0.25">
      <c r="A2225" s="508">
        <v>99861</v>
      </c>
      <c r="B2225" s="509" t="s">
        <v>1322</v>
      </c>
      <c r="C2225" s="508" t="s">
        <v>150</v>
      </c>
      <c r="D2225" s="508">
        <v>653.55999999999995</v>
      </c>
      <c r="E2225" s="461" t="s">
        <v>174</v>
      </c>
    </row>
    <row r="2226" spans="1:5" ht="15" x14ac:dyDescent="0.25">
      <c r="A2226" s="508">
        <v>99862</v>
      </c>
      <c r="B2226" s="509" t="s">
        <v>1323</v>
      </c>
      <c r="C2226" s="508" t="s">
        <v>150</v>
      </c>
      <c r="D2226" s="508">
        <v>641.63</v>
      </c>
      <c r="E2226" s="461" t="s">
        <v>174</v>
      </c>
    </row>
    <row r="2227" spans="1:5" ht="15" x14ac:dyDescent="0.25">
      <c r="A2227" s="508">
        <v>90838</v>
      </c>
      <c r="B2227" s="509" t="s">
        <v>1632</v>
      </c>
      <c r="C2227" s="508" t="s">
        <v>107</v>
      </c>
      <c r="D2227" s="508">
        <v>1429.36</v>
      </c>
      <c r="E2227" s="461" t="s">
        <v>174</v>
      </c>
    </row>
    <row r="2228" spans="1:5" ht="27" x14ac:dyDescent="0.25">
      <c r="A2228" s="508">
        <v>91338</v>
      </c>
      <c r="B2228" s="509" t="s">
        <v>1633</v>
      </c>
      <c r="C2228" s="508" t="s">
        <v>150</v>
      </c>
      <c r="D2228" s="508">
        <v>720.24</v>
      </c>
      <c r="E2228" s="461" t="s">
        <v>174</v>
      </c>
    </row>
    <row r="2229" spans="1:5" ht="27" x14ac:dyDescent="0.25">
      <c r="A2229" s="508">
        <v>91341</v>
      </c>
      <c r="B2229" s="509" t="s">
        <v>1634</v>
      </c>
      <c r="C2229" s="508" t="s">
        <v>150</v>
      </c>
      <c r="D2229" s="508">
        <v>584.64</v>
      </c>
      <c r="E2229" s="461" t="s">
        <v>174</v>
      </c>
    </row>
    <row r="2230" spans="1:5" ht="27" x14ac:dyDescent="0.25">
      <c r="A2230" s="508">
        <v>94805</v>
      </c>
      <c r="B2230" s="509" t="s">
        <v>1635</v>
      </c>
      <c r="C2230" s="508" t="s">
        <v>107</v>
      </c>
      <c r="D2230" s="508">
        <v>647.63</v>
      </c>
      <c r="E2230" s="461" t="s">
        <v>174</v>
      </c>
    </row>
    <row r="2231" spans="1:5" ht="27" x14ac:dyDescent="0.25">
      <c r="A2231" s="508">
        <v>94806</v>
      </c>
      <c r="B2231" s="509" t="s">
        <v>1636</v>
      </c>
      <c r="C2231" s="508" t="s">
        <v>107</v>
      </c>
      <c r="D2231" s="508">
        <v>674.69</v>
      </c>
      <c r="E2231" s="461" t="s">
        <v>174</v>
      </c>
    </row>
    <row r="2232" spans="1:5" ht="27" x14ac:dyDescent="0.25">
      <c r="A2232" s="508">
        <v>94807</v>
      </c>
      <c r="B2232" s="509" t="s">
        <v>1637</v>
      </c>
      <c r="C2232" s="508" t="s">
        <v>107</v>
      </c>
      <c r="D2232" s="508">
        <v>618.04999999999995</v>
      </c>
      <c r="E2232" s="461" t="s">
        <v>174</v>
      </c>
    </row>
    <row r="2233" spans="1:5" ht="27" x14ac:dyDescent="0.25">
      <c r="A2233" s="508">
        <v>100702</v>
      </c>
      <c r="B2233" s="509" t="s">
        <v>1638</v>
      </c>
      <c r="C2233" s="508" t="s">
        <v>150</v>
      </c>
      <c r="D2233" s="508">
        <v>375.61</v>
      </c>
      <c r="E2233" s="461" t="s">
        <v>174</v>
      </c>
    </row>
    <row r="2234" spans="1:5" ht="15" x14ac:dyDescent="0.25">
      <c r="A2234" s="508">
        <v>102188</v>
      </c>
      <c r="B2234" s="509" t="s">
        <v>2354</v>
      </c>
      <c r="C2234" s="508" t="s">
        <v>107</v>
      </c>
      <c r="D2234" s="508">
        <v>1013.27</v>
      </c>
      <c r="E2234" s="461" t="s">
        <v>174</v>
      </c>
    </row>
    <row r="2235" spans="1:5" ht="40.5" x14ac:dyDescent="0.25">
      <c r="A2235" s="508">
        <v>102189</v>
      </c>
      <c r="B2235" s="509" t="s">
        <v>2355</v>
      </c>
      <c r="C2235" s="508" t="s">
        <v>107</v>
      </c>
      <c r="D2235" s="508">
        <v>274.55</v>
      </c>
      <c r="E2235" s="461" t="s">
        <v>174</v>
      </c>
    </row>
    <row r="2236" spans="1:5" ht="15" x14ac:dyDescent="0.25">
      <c r="A2236" s="508">
        <v>100703</v>
      </c>
      <c r="B2236" s="509" t="s">
        <v>1639</v>
      </c>
      <c r="C2236" s="508" t="s">
        <v>107</v>
      </c>
      <c r="D2236" s="508">
        <v>32.43</v>
      </c>
      <c r="E2236" s="461" t="s">
        <v>174</v>
      </c>
    </row>
    <row r="2237" spans="1:5" ht="27" x14ac:dyDescent="0.25">
      <c r="A2237" s="508">
        <v>100704</v>
      </c>
      <c r="B2237" s="509" t="s">
        <v>1640</v>
      </c>
      <c r="C2237" s="508" t="s">
        <v>107</v>
      </c>
      <c r="D2237" s="508">
        <v>67.38</v>
      </c>
      <c r="E2237" s="461" t="s">
        <v>174</v>
      </c>
    </row>
    <row r="2238" spans="1:5" ht="15" x14ac:dyDescent="0.25">
      <c r="A2238" s="508">
        <v>100705</v>
      </c>
      <c r="B2238" s="509" t="s">
        <v>1641</v>
      </c>
      <c r="C2238" s="508" t="s">
        <v>107</v>
      </c>
      <c r="D2238" s="508">
        <v>80</v>
      </c>
      <c r="E2238" s="461" t="s">
        <v>174</v>
      </c>
    </row>
    <row r="2239" spans="1:5" ht="15" x14ac:dyDescent="0.25">
      <c r="A2239" s="508">
        <v>100706</v>
      </c>
      <c r="B2239" s="509" t="s">
        <v>1642</v>
      </c>
      <c r="C2239" s="508" t="s">
        <v>107</v>
      </c>
      <c r="D2239" s="508">
        <v>74.27</v>
      </c>
      <c r="E2239" s="461" t="s">
        <v>174</v>
      </c>
    </row>
    <row r="2240" spans="1:5" ht="15" x14ac:dyDescent="0.25">
      <c r="A2240" s="508">
        <v>100707</v>
      </c>
      <c r="B2240" s="509" t="s">
        <v>1643</v>
      </c>
      <c r="C2240" s="508" t="s">
        <v>107</v>
      </c>
      <c r="D2240" s="508">
        <v>142.58000000000001</v>
      </c>
      <c r="E2240" s="461" t="s">
        <v>174</v>
      </c>
    </row>
    <row r="2241" spans="1:6" ht="15" x14ac:dyDescent="0.25">
      <c r="A2241" s="508">
        <v>100708</v>
      </c>
      <c r="B2241" s="509" t="s">
        <v>1644</v>
      </c>
      <c r="C2241" s="508" t="s">
        <v>107</v>
      </c>
      <c r="D2241" s="508">
        <v>177.27</v>
      </c>
      <c r="E2241" s="461" t="s">
        <v>174</v>
      </c>
    </row>
    <row r="2242" spans="1:6" ht="27" x14ac:dyDescent="0.25">
      <c r="A2242" s="508">
        <v>100709</v>
      </c>
      <c r="B2242" s="509" t="s">
        <v>1645</v>
      </c>
      <c r="C2242" s="508" t="s">
        <v>107</v>
      </c>
      <c r="D2242" s="508">
        <v>48.64</v>
      </c>
      <c r="E2242" s="461" t="s">
        <v>174</v>
      </c>
    </row>
    <row r="2243" spans="1:6" ht="15" x14ac:dyDescent="0.25">
      <c r="A2243" s="508">
        <v>100710</v>
      </c>
      <c r="B2243" s="509" t="s">
        <v>1646</v>
      </c>
      <c r="C2243" s="508" t="s">
        <v>107</v>
      </c>
      <c r="D2243" s="508">
        <v>108.19</v>
      </c>
      <c r="E2243" s="461" t="s">
        <v>174</v>
      </c>
    </row>
    <row r="2244" spans="1:6" ht="27" x14ac:dyDescent="0.25">
      <c r="A2244" s="508">
        <v>102151</v>
      </c>
      <c r="B2244" s="509" t="s">
        <v>2356</v>
      </c>
      <c r="C2244" s="508" t="s">
        <v>150</v>
      </c>
      <c r="D2244" s="508">
        <v>166.31</v>
      </c>
      <c r="E2244" s="461" t="s">
        <v>174</v>
      </c>
    </row>
    <row r="2245" spans="1:6" ht="27" x14ac:dyDescent="0.25">
      <c r="A2245" s="508">
        <v>102152</v>
      </c>
      <c r="B2245" s="509" t="s">
        <v>2357</v>
      </c>
      <c r="C2245" s="508" t="s">
        <v>150</v>
      </c>
      <c r="D2245" s="508">
        <v>183.18</v>
      </c>
      <c r="E2245" s="461" t="s">
        <v>174</v>
      </c>
      <c r="F2245" s="140"/>
    </row>
    <row r="2246" spans="1:6" ht="27" x14ac:dyDescent="0.25">
      <c r="A2246" s="508">
        <v>102153</v>
      </c>
      <c r="B2246" s="509" t="s">
        <v>2358</v>
      </c>
      <c r="C2246" s="508" t="s">
        <v>150</v>
      </c>
      <c r="D2246" s="508">
        <v>228.15</v>
      </c>
      <c r="E2246" s="461" t="s">
        <v>174</v>
      </c>
    </row>
    <row r="2247" spans="1:6" ht="27" x14ac:dyDescent="0.25">
      <c r="A2247" s="508">
        <v>102154</v>
      </c>
      <c r="B2247" s="509" t="s">
        <v>2359</v>
      </c>
      <c r="C2247" s="508" t="s">
        <v>150</v>
      </c>
      <c r="D2247" s="508">
        <v>196.22</v>
      </c>
      <c r="E2247" s="461" t="s">
        <v>174</v>
      </c>
    </row>
    <row r="2248" spans="1:6" ht="27" x14ac:dyDescent="0.25">
      <c r="A2248" s="508">
        <v>102155</v>
      </c>
      <c r="B2248" s="509" t="s">
        <v>2360</v>
      </c>
      <c r="C2248" s="508" t="s">
        <v>150</v>
      </c>
      <c r="D2248" s="508">
        <v>233.01</v>
      </c>
      <c r="E2248" s="461" t="s">
        <v>174</v>
      </c>
    </row>
    <row r="2249" spans="1:6" ht="27" x14ac:dyDescent="0.25">
      <c r="A2249" s="508">
        <v>102156</v>
      </c>
      <c r="B2249" s="509" t="s">
        <v>2361</v>
      </c>
      <c r="C2249" s="508" t="s">
        <v>150</v>
      </c>
      <c r="D2249" s="508">
        <v>220.91</v>
      </c>
      <c r="E2249" s="461" t="s">
        <v>174</v>
      </c>
    </row>
    <row r="2250" spans="1:6" ht="27" x14ac:dyDescent="0.25">
      <c r="A2250" s="508">
        <v>102157</v>
      </c>
      <c r="B2250" s="509" t="s">
        <v>2362</v>
      </c>
      <c r="C2250" s="508" t="s">
        <v>150</v>
      </c>
      <c r="D2250" s="508">
        <v>299.62</v>
      </c>
      <c r="E2250" s="461" t="s">
        <v>174</v>
      </c>
    </row>
    <row r="2251" spans="1:6" ht="27" x14ac:dyDescent="0.25">
      <c r="A2251" s="508">
        <v>102158</v>
      </c>
      <c r="B2251" s="509" t="s">
        <v>2363</v>
      </c>
      <c r="C2251" s="508" t="s">
        <v>150</v>
      </c>
      <c r="D2251" s="508">
        <v>300.94</v>
      </c>
      <c r="E2251" s="461" t="s">
        <v>174</v>
      </c>
    </row>
    <row r="2252" spans="1:6" ht="27" x14ac:dyDescent="0.25">
      <c r="A2252" s="508">
        <v>102159</v>
      </c>
      <c r="B2252" s="509" t="s">
        <v>2364</v>
      </c>
      <c r="C2252" s="508" t="s">
        <v>150</v>
      </c>
      <c r="D2252" s="508">
        <v>356.67</v>
      </c>
      <c r="E2252" s="461" t="s">
        <v>174</v>
      </c>
    </row>
    <row r="2253" spans="1:6" ht="27" x14ac:dyDescent="0.25">
      <c r="A2253" s="508">
        <v>102160</v>
      </c>
      <c r="B2253" s="509" t="s">
        <v>2365</v>
      </c>
      <c r="C2253" s="508" t="s">
        <v>150</v>
      </c>
      <c r="D2253" s="508">
        <v>160.69</v>
      </c>
      <c r="E2253" s="461" t="s">
        <v>174</v>
      </c>
    </row>
    <row r="2254" spans="1:6" ht="27" x14ac:dyDescent="0.25">
      <c r="A2254" s="508">
        <v>102161</v>
      </c>
      <c r="B2254" s="509" t="s">
        <v>5374</v>
      </c>
      <c r="C2254" s="508" t="s">
        <v>150</v>
      </c>
      <c r="D2254" s="508">
        <v>283.38</v>
      </c>
      <c r="E2254" s="461" t="s">
        <v>174</v>
      </c>
    </row>
    <row r="2255" spans="1:6" ht="27" x14ac:dyDescent="0.25">
      <c r="A2255" s="508">
        <v>102162</v>
      </c>
      <c r="B2255" s="509" t="s">
        <v>5375</v>
      </c>
      <c r="C2255" s="508" t="s">
        <v>150</v>
      </c>
      <c r="D2255" s="508">
        <v>300.25</v>
      </c>
      <c r="E2255" s="461" t="s">
        <v>174</v>
      </c>
    </row>
    <row r="2256" spans="1:6" ht="27" x14ac:dyDescent="0.25">
      <c r="A2256" s="508">
        <v>102163</v>
      </c>
      <c r="B2256" s="509" t="s">
        <v>5376</v>
      </c>
      <c r="C2256" s="508" t="s">
        <v>150</v>
      </c>
      <c r="D2256" s="508">
        <v>345.22</v>
      </c>
      <c r="E2256" s="461" t="s">
        <v>174</v>
      </c>
    </row>
    <row r="2257" spans="1:5" ht="27" x14ac:dyDescent="0.25">
      <c r="A2257" s="508">
        <v>102164</v>
      </c>
      <c r="B2257" s="509" t="s">
        <v>5377</v>
      </c>
      <c r="C2257" s="508" t="s">
        <v>150</v>
      </c>
      <c r="D2257" s="508">
        <v>291.75</v>
      </c>
      <c r="E2257" s="461" t="s">
        <v>174</v>
      </c>
    </row>
    <row r="2258" spans="1:5" ht="27" x14ac:dyDescent="0.25">
      <c r="A2258" s="508">
        <v>102165</v>
      </c>
      <c r="B2258" s="509" t="s">
        <v>5378</v>
      </c>
      <c r="C2258" s="508" t="s">
        <v>150</v>
      </c>
      <c r="D2258" s="508">
        <v>328.54</v>
      </c>
      <c r="E2258" s="461" t="s">
        <v>174</v>
      </c>
    </row>
    <row r="2259" spans="1:5" ht="27" x14ac:dyDescent="0.25">
      <c r="A2259" s="508">
        <v>102166</v>
      </c>
      <c r="B2259" s="509" t="s">
        <v>5379</v>
      </c>
      <c r="C2259" s="508" t="s">
        <v>150</v>
      </c>
      <c r="D2259" s="508">
        <v>294.88</v>
      </c>
      <c r="E2259" s="461" t="s">
        <v>174</v>
      </c>
    </row>
    <row r="2260" spans="1:5" ht="27" x14ac:dyDescent="0.25">
      <c r="A2260" s="508">
        <v>102167</v>
      </c>
      <c r="B2260" s="509" t="s">
        <v>5380</v>
      </c>
      <c r="C2260" s="508" t="s">
        <v>150</v>
      </c>
      <c r="D2260" s="508">
        <v>373.59</v>
      </c>
      <c r="E2260" s="461" t="s">
        <v>174</v>
      </c>
    </row>
    <row r="2261" spans="1:5" ht="27" x14ac:dyDescent="0.25">
      <c r="A2261" s="508">
        <v>102168</v>
      </c>
      <c r="B2261" s="509" t="s">
        <v>5381</v>
      </c>
      <c r="C2261" s="508" t="s">
        <v>150</v>
      </c>
      <c r="D2261" s="508">
        <v>355.78</v>
      </c>
      <c r="E2261" s="461" t="s">
        <v>174</v>
      </c>
    </row>
    <row r="2262" spans="1:5" ht="27" x14ac:dyDescent="0.25">
      <c r="A2262" s="508">
        <v>102169</v>
      </c>
      <c r="B2262" s="509" t="s">
        <v>5382</v>
      </c>
      <c r="C2262" s="508" t="s">
        <v>150</v>
      </c>
      <c r="D2262" s="508">
        <v>404.41</v>
      </c>
      <c r="E2262" s="461" t="s">
        <v>174</v>
      </c>
    </row>
    <row r="2263" spans="1:5" ht="27" x14ac:dyDescent="0.25">
      <c r="A2263" s="508">
        <v>102170</v>
      </c>
      <c r="B2263" s="509" t="s">
        <v>5383</v>
      </c>
      <c r="C2263" s="508" t="s">
        <v>150</v>
      </c>
      <c r="D2263" s="508">
        <v>277.76</v>
      </c>
      <c r="E2263" s="461" t="s">
        <v>174</v>
      </c>
    </row>
    <row r="2264" spans="1:5" ht="27" x14ac:dyDescent="0.25">
      <c r="A2264" s="508">
        <v>102171</v>
      </c>
      <c r="B2264" s="509" t="s">
        <v>5384</v>
      </c>
      <c r="C2264" s="508" t="s">
        <v>150</v>
      </c>
      <c r="D2264" s="508">
        <v>471.66</v>
      </c>
      <c r="E2264" s="461" t="s">
        <v>174</v>
      </c>
    </row>
    <row r="2265" spans="1:5" ht="27" x14ac:dyDescent="0.25">
      <c r="A2265" s="508">
        <v>102172</v>
      </c>
      <c r="B2265" s="509" t="s">
        <v>5385</v>
      </c>
      <c r="C2265" s="508" t="s">
        <v>150</v>
      </c>
      <c r="D2265" s="508">
        <v>452.29</v>
      </c>
      <c r="E2265" s="461" t="s">
        <v>174</v>
      </c>
    </row>
    <row r="2266" spans="1:5" ht="15" x14ac:dyDescent="0.25">
      <c r="A2266" s="508">
        <v>102176</v>
      </c>
      <c r="B2266" s="509" t="s">
        <v>5386</v>
      </c>
      <c r="C2266" s="508" t="s">
        <v>150</v>
      </c>
      <c r="D2266" s="508">
        <v>831.82</v>
      </c>
      <c r="E2266" s="461" t="s">
        <v>174</v>
      </c>
    </row>
    <row r="2267" spans="1:5" ht="15" x14ac:dyDescent="0.25">
      <c r="A2267" s="508">
        <v>102177</v>
      </c>
      <c r="B2267" s="509" t="s">
        <v>5387</v>
      </c>
      <c r="C2267" s="508" t="s">
        <v>150</v>
      </c>
      <c r="D2267" s="508">
        <v>1626.87</v>
      </c>
      <c r="E2267" s="461" t="s">
        <v>174</v>
      </c>
    </row>
    <row r="2268" spans="1:5" ht="15" x14ac:dyDescent="0.25">
      <c r="A2268" s="508">
        <v>102178</v>
      </c>
      <c r="B2268" s="509" t="s">
        <v>5388</v>
      </c>
      <c r="C2268" s="508" t="s">
        <v>150</v>
      </c>
      <c r="D2268" s="508">
        <v>1858.24</v>
      </c>
      <c r="E2268" s="461" t="s">
        <v>174</v>
      </c>
    </row>
    <row r="2269" spans="1:5" ht="15" x14ac:dyDescent="0.25">
      <c r="A2269" s="508">
        <v>102179</v>
      </c>
      <c r="B2269" s="509" t="s">
        <v>5389</v>
      </c>
      <c r="C2269" s="508" t="s">
        <v>150</v>
      </c>
      <c r="D2269" s="508">
        <v>316.77</v>
      </c>
      <c r="E2269" s="461" t="s">
        <v>174</v>
      </c>
    </row>
    <row r="2270" spans="1:5" ht="15" x14ac:dyDescent="0.25">
      <c r="A2270" s="508">
        <v>102180</v>
      </c>
      <c r="B2270" s="509" t="s">
        <v>5390</v>
      </c>
      <c r="C2270" s="508" t="s">
        <v>150</v>
      </c>
      <c r="D2270" s="508">
        <v>359.08</v>
      </c>
      <c r="E2270" s="461" t="s">
        <v>174</v>
      </c>
    </row>
    <row r="2271" spans="1:5" ht="15" x14ac:dyDescent="0.25">
      <c r="A2271" s="508">
        <v>102181</v>
      </c>
      <c r="B2271" s="509" t="s">
        <v>5391</v>
      </c>
      <c r="C2271" s="508" t="s">
        <v>150</v>
      </c>
      <c r="D2271" s="508">
        <v>417.3</v>
      </c>
      <c r="E2271" s="461" t="s">
        <v>174</v>
      </c>
    </row>
    <row r="2272" spans="1:5" ht="27" x14ac:dyDescent="0.25">
      <c r="A2272" s="508">
        <v>102182</v>
      </c>
      <c r="B2272" s="509" t="s">
        <v>2366</v>
      </c>
      <c r="C2272" s="508" t="s">
        <v>107</v>
      </c>
      <c r="D2272" s="508">
        <v>879.78</v>
      </c>
      <c r="E2272" s="461" t="s">
        <v>174</v>
      </c>
    </row>
    <row r="2273" spans="1:5" ht="27" x14ac:dyDescent="0.25">
      <c r="A2273" s="508">
        <v>102183</v>
      </c>
      <c r="B2273" s="509" t="s">
        <v>2367</v>
      </c>
      <c r="C2273" s="508" t="s">
        <v>107</v>
      </c>
      <c r="D2273" s="508">
        <v>1772.98</v>
      </c>
      <c r="E2273" s="461" t="s">
        <v>174</v>
      </c>
    </row>
    <row r="2274" spans="1:5" ht="27" x14ac:dyDescent="0.25">
      <c r="A2274" s="508">
        <v>102184</v>
      </c>
      <c r="B2274" s="509" t="s">
        <v>2368</v>
      </c>
      <c r="C2274" s="508" t="s">
        <v>107</v>
      </c>
      <c r="D2274" s="508">
        <v>1868.11</v>
      </c>
      <c r="E2274" s="461" t="s">
        <v>174</v>
      </c>
    </row>
    <row r="2275" spans="1:5" ht="27" x14ac:dyDescent="0.25">
      <c r="A2275" s="508">
        <v>102185</v>
      </c>
      <c r="B2275" s="509" t="s">
        <v>2369</v>
      </c>
      <c r="C2275" s="508" t="s">
        <v>107</v>
      </c>
      <c r="D2275" s="508">
        <v>3749.28</v>
      </c>
      <c r="E2275" s="461" t="s">
        <v>174</v>
      </c>
    </row>
    <row r="2276" spans="1:5" ht="15" x14ac:dyDescent="0.25">
      <c r="A2276" s="508">
        <v>102190</v>
      </c>
      <c r="B2276" s="509" t="s">
        <v>2370</v>
      </c>
      <c r="C2276" s="508" t="s">
        <v>150</v>
      </c>
      <c r="D2276" s="508">
        <v>20.62</v>
      </c>
      <c r="E2276" s="461" t="s">
        <v>174</v>
      </c>
    </row>
    <row r="2277" spans="1:5" ht="15" x14ac:dyDescent="0.25">
      <c r="A2277" s="508">
        <v>102191</v>
      </c>
      <c r="B2277" s="509" t="s">
        <v>2371</v>
      </c>
      <c r="C2277" s="508" t="s">
        <v>150</v>
      </c>
      <c r="D2277" s="508">
        <v>25.06</v>
      </c>
      <c r="E2277" s="461" t="s">
        <v>174</v>
      </c>
    </row>
    <row r="2278" spans="1:5" ht="15" x14ac:dyDescent="0.25">
      <c r="A2278" s="508">
        <v>102192</v>
      </c>
      <c r="B2278" s="509" t="s">
        <v>2372</v>
      </c>
      <c r="C2278" s="508" t="s">
        <v>150</v>
      </c>
      <c r="D2278" s="508">
        <v>17.88</v>
      </c>
      <c r="E2278" s="461" t="s">
        <v>174</v>
      </c>
    </row>
    <row r="2279" spans="1:5" ht="27" x14ac:dyDescent="0.25">
      <c r="A2279" s="508">
        <v>94569</v>
      </c>
      <c r="B2279" s="509" t="s">
        <v>1647</v>
      </c>
      <c r="C2279" s="508" t="s">
        <v>150</v>
      </c>
      <c r="D2279" s="508">
        <v>785.96</v>
      </c>
      <c r="E2279" s="461" t="s">
        <v>174</v>
      </c>
    </row>
    <row r="2280" spans="1:5" ht="40.5" x14ac:dyDescent="0.25">
      <c r="A2280" s="508">
        <v>94570</v>
      </c>
      <c r="B2280" s="509" t="s">
        <v>1648</v>
      </c>
      <c r="C2280" s="508" t="s">
        <v>150</v>
      </c>
      <c r="D2280" s="508">
        <v>407.25</v>
      </c>
      <c r="E2280" s="461" t="s">
        <v>174</v>
      </c>
    </row>
    <row r="2281" spans="1:5" ht="40.5" x14ac:dyDescent="0.25">
      <c r="A2281" s="508">
        <v>94572</v>
      </c>
      <c r="B2281" s="509" t="s">
        <v>1649</v>
      </c>
      <c r="C2281" s="508" t="s">
        <v>150</v>
      </c>
      <c r="D2281" s="508">
        <v>580.66</v>
      </c>
      <c r="E2281" s="461" t="s">
        <v>174</v>
      </c>
    </row>
    <row r="2282" spans="1:5" ht="40.5" x14ac:dyDescent="0.25">
      <c r="A2282" s="508">
        <v>94573</v>
      </c>
      <c r="B2282" s="509" t="s">
        <v>1650</v>
      </c>
      <c r="C2282" s="508" t="s">
        <v>150</v>
      </c>
      <c r="D2282" s="508">
        <v>472.05</v>
      </c>
      <c r="E2282" s="461" t="s">
        <v>174</v>
      </c>
    </row>
    <row r="2283" spans="1:5" ht="40.5" x14ac:dyDescent="0.25">
      <c r="A2283" s="508">
        <v>94580</v>
      </c>
      <c r="B2283" s="509" t="s">
        <v>1651</v>
      </c>
      <c r="C2283" s="508" t="s">
        <v>150</v>
      </c>
      <c r="D2283" s="508">
        <v>648.64</v>
      </c>
      <c r="E2283" s="461" t="s">
        <v>174</v>
      </c>
    </row>
    <row r="2284" spans="1:5" ht="27" x14ac:dyDescent="0.25">
      <c r="A2284" s="508">
        <v>94589</v>
      </c>
      <c r="B2284" s="509" t="s">
        <v>4160</v>
      </c>
      <c r="C2284" s="508" t="s">
        <v>5</v>
      </c>
      <c r="D2284" s="508">
        <v>24.78</v>
      </c>
      <c r="E2284" s="461" t="s">
        <v>174</v>
      </c>
    </row>
    <row r="2285" spans="1:5" ht="15" x14ac:dyDescent="0.25">
      <c r="A2285" s="508">
        <v>94590</v>
      </c>
      <c r="B2285" s="509" t="s">
        <v>4161</v>
      </c>
      <c r="C2285" s="508" t="s">
        <v>5</v>
      </c>
      <c r="D2285" s="508">
        <v>21.09</v>
      </c>
      <c r="E2285" s="461" t="s">
        <v>174</v>
      </c>
    </row>
    <row r="2286" spans="1:5" ht="27" x14ac:dyDescent="0.25">
      <c r="A2286" s="508">
        <v>100674</v>
      </c>
      <c r="B2286" s="509" t="s">
        <v>1652</v>
      </c>
      <c r="C2286" s="508" t="s">
        <v>150</v>
      </c>
      <c r="D2286" s="508">
        <v>849.15</v>
      </c>
      <c r="E2286" s="461" t="s">
        <v>174</v>
      </c>
    </row>
    <row r="2287" spans="1:5" ht="27" x14ac:dyDescent="0.25">
      <c r="A2287" s="508">
        <v>101096</v>
      </c>
      <c r="B2287" s="509" t="s">
        <v>5392</v>
      </c>
      <c r="C2287" s="508" t="s">
        <v>163</v>
      </c>
      <c r="D2287" s="508">
        <v>1381.41</v>
      </c>
      <c r="E2287" s="461" t="s">
        <v>174</v>
      </c>
    </row>
    <row r="2288" spans="1:5" ht="27" x14ac:dyDescent="0.25">
      <c r="A2288" s="508">
        <v>101097</v>
      </c>
      <c r="B2288" s="509" t="s">
        <v>5393</v>
      </c>
      <c r="C2288" s="508" t="s">
        <v>163</v>
      </c>
      <c r="D2288" s="508">
        <v>1309.45</v>
      </c>
      <c r="E2288" s="461" t="s">
        <v>174</v>
      </c>
    </row>
    <row r="2289" spans="1:5" ht="27" x14ac:dyDescent="0.25">
      <c r="A2289" s="508">
        <v>101098</v>
      </c>
      <c r="B2289" s="509" t="s">
        <v>5394</v>
      </c>
      <c r="C2289" s="508" t="s">
        <v>163</v>
      </c>
      <c r="D2289" s="508">
        <v>1216.5999999999999</v>
      </c>
      <c r="E2289" s="461" t="s">
        <v>174</v>
      </c>
    </row>
    <row r="2290" spans="1:5" ht="27" x14ac:dyDescent="0.25">
      <c r="A2290" s="508">
        <v>101099</v>
      </c>
      <c r="B2290" s="509" t="s">
        <v>5395</v>
      </c>
      <c r="C2290" s="508" t="s">
        <v>163</v>
      </c>
      <c r="D2290" s="508">
        <v>1119.6500000000001</v>
      </c>
      <c r="E2290" s="461" t="s">
        <v>174</v>
      </c>
    </row>
    <row r="2291" spans="1:5" ht="27" x14ac:dyDescent="0.25">
      <c r="A2291" s="508">
        <v>101100</v>
      </c>
      <c r="B2291" s="509" t="s">
        <v>5396</v>
      </c>
      <c r="C2291" s="508" t="s">
        <v>163</v>
      </c>
      <c r="D2291" s="508">
        <v>1031.4100000000001</v>
      </c>
      <c r="E2291" s="461" t="s">
        <v>174</v>
      </c>
    </row>
    <row r="2292" spans="1:5" ht="40.5" x14ac:dyDescent="0.25">
      <c r="A2292" s="508">
        <v>101101</v>
      </c>
      <c r="B2292" s="509" t="s">
        <v>5397</v>
      </c>
      <c r="C2292" s="508" t="s">
        <v>163</v>
      </c>
      <c r="D2292" s="508">
        <v>1007.03</v>
      </c>
      <c r="E2292" s="461" t="s">
        <v>174</v>
      </c>
    </row>
    <row r="2293" spans="1:5" ht="40.5" x14ac:dyDescent="0.25">
      <c r="A2293" s="508">
        <v>101102</v>
      </c>
      <c r="B2293" s="509" t="s">
        <v>5398</v>
      </c>
      <c r="C2293" s="508" t="s">
        <v>163</v>
      </c>
      <c r="D2293" s="508">
        <v>979.84</v>
      </c>
      <c r="E2293" s="461" t="s">
        <v>174</v>
      </c>
    </row>
    <row r="2294" spans="1:5" ht="40.5" x14ac:dyDescent="0.25">
      <c r="A2294" s="508">
        <v>101103</v>
      </c>
      <c r="B2294" s="509" t="s">
        <v>5399</v>
      </c>
      <c r="C2294" s="508" t="s">
        <v>163</v>
      </c>
      <c r="D2294" s="508">
        <v>925.5</v>
      </c>
      <c r="E2294" s="461" t="s">
        <v>174</v>
      </c>
    </row>
    <row r="2295" spans="1:5" ht="40.5" x14ac:dyDescent="0.25">
      <c r="A2295" s="508">
        <v>101104</v>
      </c>
      <c r="B2295" s="509" t="s">
        <v>5400</v>
      </c>
      <c r="C2295" s="508" t="s">
        <v>163</v>
      </c>
      <c r="D2295" s="508">
        <v>1249.97</v>
      </c>
      <c r="E2295" s="461" t="s">
        <v>174</v>
      </c>
    </row>
    <row r="2296" spans="1:5" ht="40.5" x14ac:dyDescent="0.25">
      <c r="A2296" s="508">
        <v>101105</v>
      </c>
      <c r="B2296" s="509" t="s">
        <v>5401</v>
      </c>
      <c r="C2296" s="508" t="s">
        <v>163</v>
      </c>
      <c r="D2296" s="508">
        <v>1180.3800000000001</v>
      </c>
      <c r="E2296" s="461" t="s">
        <v>174</v>
      </c>
    </row>
    <row r="2297" spans="1:5" ht="40.5" x14ac:dyDescent="0.25">
      <c r="A2297" s="508">
        <v>101106</v>
      </c>
      <c r="B2297" s="509" t="s">
        <v>5402</v>
      </c>
      <c r="C2297" s="508" t="s">
        <v>163</v>
      </c>
      <c r="D2297" s="508">
        <v>1091.58</v>
      </c>
      <c r="E2297" s="461" t="s">
        <v>174</v>
      </c>
    </row>
    <row r="2298" spans="1:5" ht="40.5" x14ac:dyDescent="0.25">
      <c r="A2298" s="508">
        <v>101107</v>
      </c>
      <c r="B2298" s="509" t="s">
        <v>5403</v>
      </c>
      <c r="C2298" s="508" t="s">
        <v>163</v>
      </c>
      <c r="D2298" s="508">
        <v>999.36</v>
      </c>
      <c r="E2298" s="461" t="s">
        <v>174</v>
      </c>
    </row>
    <row r="2299" spans="1:5" ht="40.5" x14ac:dyDescent="0.25">
      <c r="A2299" s="508">
        <v>101108</v>
      </c>
      <c r="B2299" s="509" t="s">
        <v>5404</v>
      </c>
      <c r="C2299" s="508" t="s">
        <v>163</v>
      </c>
      <c r="D2299" s="508">
        <v>894.57</v>
      </c>
      <c r="E2299" s="461" t="s">
        <v>174</v>
      </c>
    </row>
    <row r="2300" spans="1:5" ht="40.5" x14ac:dyDescent="0.25">
      <c r="A2300" s="508">
        <v>101109</v>
      </c>
      <c r="B2300" s="509" t="s">
        <v>5405</v>
      </c>
      <c r="C2300" s="508" t="s">
        <v>163</v>
      </c>
      <c r="D2300" s="508">
        <v>872.85</v>
      </c>
      <c r="E2300" s="461" t="s">
        <v>174</v>
      </c>
    </row>
    <row r="2301" spans="1:5" ht="40.5" x14ac:dyDescent="0.25">
      <c r="A2301" s="508">
        <v>101110</v>
      </c>
      <c r="B2301" s="509" t="s">
        <v>5406</v>
      </c>
      <c r="C2301" s="508" t="s">
        <v>163</v>
      </c>
      <c r="D2301" s="508">
        <v>850.33</v>
      </c>
      <c r="E2301" s="461" t="s">
        <v>174</v>
      </c>
    </row>
    <row r="2302" spans="1:5" ht="40.5" x14ac:dyDescent="0.25">
      <c r="A2302" s="508">
        <v>101111</v>
      </c>
      <c r="B2302" s="509" t="s">
        <v>5407</v>
      </c>
      <c r="C2302" s="508" t="s">
        <v>163</v>
      </c>
      <c r="D2302" s="508">
        <v>801.33</v>
      </c>
      <c r="E2302" s="461" t="s">
        <v>174</v>
      </c>
    </row>
    <row r="2303" spans="1:5" ht="27" x14ac:dyDescent="0.25">
      <c r="A2303" s="508">
        <v>101112</v>
      </c>
      <c r="B2303" s="509" t="s">
        <v>1980</v>
      </c>
      <c r="C2303" s="508" t="s">
        <v>163</v>
      </c>
      <c r="D2303" s="508">
        <v>1023.33</v>
      </c>
      <c r="E2303" s="461" t="s">
        <v>174</v>
      </c>
    </row>
    <row r="2304" spans="1:5" ht="27" x14ac:dyDescent="0.25">
      <c r="A2304" s="508">
        <v>101113</v>
      </c>
      <c r="B2304" s="509" t="s">
        <v>5408</v>
      </c>
      <c r="C2304" s="508" t="s">
        <v>163</v>
      </c>
      <c r="D2304" s="508">
        <v>894.8</v>
      </c>
      <c r="E2304" s="461" t="s">
        <v>174</v>
      </c>
    </row>
    <row r="2305" spans="1:5" ht="15" x14ac:dyDescent="0.25">
      <c r="A2305" s="508">
        <v>95601</v>
      </c>
      <c r="B2305" s="509" t="s">
        <v>3547</v>
      </c>
      <c r="C2305" s="508" t="s">
        <v>107</v>
      </c>
      <c r="D2305" s="508">
        <v>18.48</v>
      </c>
      <c r="E2305" s="461" t="s">
        <v>174</v>
      </c>
    </row>
    <row r="2306" spans="1:5" ht="27" x14ac:dyDescent="0.25">
      <c r="A2306" s="508">
        <v>95602</v>
      </c>
      <c r="B2306" s="509" t="s">
        <v>3548</v>
      </c>
      <c r="C2306" s="508" t="s">
        <v>107</v>
      </c>
      <c r="D2306" s="508">
        <v>29.58</v>
      </c>
      <c r="E2306" s="461" t="s">
        <v>174</v>
      </c>
    </row>
    <row r="2307" spans="1:5" ht="27" x14ac:dyDescent="0.25">
      <c r="A2307" s="508">
        <v>95603</v>
      </c>
      <c r="B2307" s="509" t="s">
        <v>3549</v>
      </c>
      <c r="C2307" s="508" t="s">
        <v>107</v>
      </c>
      <c r="D2307" s="508">
        <v>50.46</v>
      </c>
      <c r="E2307" s="461" t="s">
        <v>174</v>
      </c>
    </row>
    <row r="2308" spans="1:5" ht="27" x14ac:dyDescent="0.25">
      <c r="A2308" s="508">
        <v>95604</v>
      </c>
      <c r="B2308" s="509" t="s">
        <v>3550</v>
      </c>
      <c r="C2308" s="508" t="s">
        <v>107</v>
      </c>
      <c r="D2308" s="508">
        <v>78.3</v>
      </c>
      <c r="E2308" s="461" t="s">
        <v>174</v>
      </c>
    </row>
    <row r="2309" spans="1:5" ht="27" x14ac:dyDescent="0.25">
      <c r="A2309" s="508">
        <v>95605</v>
      </c>
      <c r="B2309" s="509" t="s">
        <v>3551</v>
      </c>
      <c r="C2309" s="508" t="s">
        <v>107</v>
      </c>
      <c r="D2309" s="508">
        <v>143.80000000000001</v>
      </c>
      <c r="E2309" s="461" t="s">
        <v>174</v>
      </c>
    </row>
    <row r="2310" spans="1:5" ht="15" x14ac:dyDescent="0.25">
      <c r="A2310" s="508">
        <v>95607</v>
      </c>
      <c r="B2310" s="509" t="s">
        <v>3552</v>
      </c>
      <c r="C2310" s="508" t="s">
        <v>107</v>
      </c>
      <c r="D2310" s="508">
        <v>23.61</v>
      </c>
      <c r="E2310" s="461" t="s">
        <v>174</v>
      </c>
    </row>
    <row r="2311" spans="1:5" ht="27" x14ac:dyDescent="0.25">
      <c r="A2311" s="508">
        <v>95608</v>
      </c>
      <c r="B2311" s="509" t="s">
        <v>3553</v>
      </c>
      <c r="C2311" s="508" t="s">
        <v>107</v>
      </c>
      <c r="D2311" s="508">
        <v>34.24</v>
      </c>
      <c r="E2311" s="461" t="s">
        <v>174</v>
      </c>
    </row>
    <row r="2312" spans="1:5" ht="27" x14ac:dyDescent="0.25">
      <c r="A2312" s="508">
        <v>95609</v>
      </c>
      <c r="B2312" s="509" t="s">
        <v>3554</v>
      </c>
      <c r="C2312" s="508" t="s">
        <v>107</v>
      </c>
      <c r="D2312" s="508">
        <v>43.42</v>
      </c>
      <c r="E2312" s="461" t="s">
        <v>174</v>
      </c>
    </row>
    <row r="2313" spans="1:5" ht="27" x14ac:dyDescent="0.25">
      <c r="A2313" s="508">
        <v>100651</v>
      </c>
      <c r="B2313" s="509" t="s">
        <v>5409</v>
      </c>
      <c r="C2313" s="508" t="s">
        <v>5</v>
      </c>
      <c r="D2313" s="508">
        <v>131.13999999999999</v>
      </c>
      <c r="E2313" s="461" t="s">
        <v>174</v>
      </c>
    </row>
    <row r="2314" spans="1:5" ht="27" x14ac:dyDescent="0.25">
      <c r="A2314" s="508">
        <v>100652</v>
      </c>
      <c r="B2314" s="509" t="s">
        <v>5410</v>
      </c>
      <c r="C2314" s="508" t="s">
        <v>5</v>
      </c>
      <c r="D2314" s="508">
        <v>249.08</v>
      </c>
      <c r="E2314" s="461" t="s">
        <v>174</v>
      </c>
    </row>
    <row r="2315" spans="1:5" ht="27" x14ac:dyDescent="0.25">
      <c r="A2315" s="508">
        <v>100653</v>
      </c>
      <c r="B2315" s="509" t="s">
        <v>5411</v>
      </c>
      <c r="C2315" s="508" t="s">
        <v>5</v>
      </c>
      <c r="D2315" s="508">
        <v>412.81</v>
      </c>
      <c r="E2315" s="461" t="s">
        <v>174</v>
      </c>
    </row>
    <row r="2316" spans="1:5" ht="27" x14ac:dyDescent="0.25">
      <c r="A2316" s="508">
        <v>100654</v>
      </c>
      <c r="B2316" s="509" t="s">
        <v>5412</v>
      </c>
      <c r="C2316" s="508" t="s">
        <v>5</v>
      </c>
      <c r="D2316" s="508">
        <v>552.99</v>
      </c>
      <c r="E2316" s="461" t="s">
        <v>174</v>
      </c>
    </row>
    <row r="2317" spans="1:5" ht="27" x14ac:dyDescent="0.25">
      <c r="A2317" s="508">
        <v>100655</v>
      </c>
      <c r="B2317" s="509" t="s">
        <v>5413</v>
      </c>
      <c r="C2317" s="508" t="s">
        <v>5</v>
      </c>
      <c r="D2317" s="508">
        <v>641.83000000000004</v>
      </c>
      <c r="E2317" s="461" t="s">
        <v>174</v>
      </c>
    </row>
    <row r="2318" spans="1:5" ht="27" x14ac:dyDescent="0.25">
      <c r="A2318" s="508">
        <v>100656</v>
      </c>
      <c r="B2318" s="509" t="s">
        <v>1653</v>
      </c>
      <c r="C2318" s="508" t="s">
        <v>5</v>
      </c>
      <c r="D2318" s="508">
        <v>114.82</v>
      </c>
      <c r="E2318" s="461" t="s">
        <v>174</v>
      </c>
    </row>
    <row r="2319" spans="1:5" ht="27" x14ac:dyDescent="0.25">
      <c r="A2319" s="508">
        <v>100657</v>
      </c>
      <c r="B2319" s="509" t="s">
        <v>1654</v>
      </c>
      <c r="C2319" s="508" t="s">
        <v>5</v>
      </c>
      <c r="D2319" s="508">
        <v>148.19999999999999</v>
      </c>
      <c r="E2319" s="461" t="s">
        <v>174</v>
      </c>
    </row>
    <row r="2320" spans="1:5" ht="27" x14ac:dyDescent="0.25">
      <c r="A2320" s="508">
        <v>100658</v>
      </c>
      <c r="B2320" s="509" t="s">
        <v>1655</v>
      </c>
      <c r="C2320" s="508" t="s">
        <v>5</v>
      </c>
      <c r="D2320" s="508">
        <v>341.86</v>
      </c>
      <c r="E2320" s="461" t="s">
        <v>174</v>
      </c>
    </row>
    <row r="2321" spans="1:5" ht="27" x14ac:dyDescent="0.25">
      <c r="A2321" s="508">
        <v>100889</v>
      </c>
      <c r="B2321" s="509" t="s">
        <v>1981</v>
      </c>
      <c r="C2321" s="508" t="s">
        <v>106</v>
      </c>
      <c r="D2321" s="508">
        <v>12</v>
      </c>
      <c r="E2321" s="461" t="s">
        <v>174</v>
      </c>
    </row>
    <row r="2322" spans="1:5" ht="27" x14ac:dyDescent="0.25">
      <c r="A2322" s="508">
        <v>100890</v>
      </c>
      <c r="B2322" s="509" t="s">
        <v>1982</v>
      </c>
      <c r="C2322" s="508" t="s">
        <v>106</v>
      </c>
      <c r="D2322" s="508">
        <v>11.81</v>
      </c>
      <c r="E2322" s="461" t="s">
        <v>174</v>
      </c>
    </row>
    <row r="2323" spans="1:5" ht="27" x14ac:dyDescent="0.25">
      <c r="A2323" s="508">
        <v>100892</v>
      </c>
      <c r="B2323" s="509" t="s">
        <v>1983</v>
      </c>
      <c r="C2323" s="508" t="s">
        <v>106</v>
      </c>
      <c r="D2323" s="508">
        <v>12.47</v>
      </c>
      <c r="E2323" s="461" t="s">
        <v>174</v>
      </c>
    </row>
    <row r="2324" spans="1:5" ht="27" x14ac:dyDescent="0.25">
      <c r="A2324" s="508">
        <v>100893</v>
      </c>
      <c r="B2324" s="509" t="s">
        <v>1984</v>
      </c>
      <c r="C2324" s="508" t="s">
        <v>106</v>
      </c>
      <c r="D2324" s="508">
        <v>12.28</v>
      </c>
      <c r="E2324" s="461" t="s">
        <v>174</v>
      </c>
    </row>
    <row r="2325" spans="1:5" ht="27" x14ac:dyDescent="0.25">
      <c r="A2325" s="508">
        <v>100894</v>
      </c>
      <c r="B2325" s="509" t="s">
        <v>1985</v>
      </c>
      <c r="C2325" s="508" t="s">
        <v>106</v>
      </c>
      <c r="D2325" s="508">
        <v>12.15</v>
      </c>
      <c r="E2325" s="461" t="s">
        <v>174</v>
      </c>
    </row>
    <row r="2326" spans="1:5" ht="40.5" x14ac:dyDescent="0.25">
      <c r="A2326" s="508">
        <v>100896</v>
      </c>
      <c r="B2326" s="509" t="s">
        <v>5414</v>
      </c>
      <c r="C2326" s="508" t="s">
        <v>5</v>
      </c>
      <c r="D2326" s="508">
        <v>59.71</v>
      </c>
      <c r="E2326" s="461" t="s">
        <v>174</v>
      </c>
    </row>
    <row r="2327" spans="1:5" ht="40.5" x14ac:dyDescent="0.25">
      <c r="A2327" s="508">
        <v>100897</v>
      </c>
      <c r="B2327" s="509" t="s">
        <v>5415</v>
      </c>
      <c r="C2327" s="508" t="s">
        <v>5</v>
      </c>
      <c r="D2327" s="508">
        <v>114.77</v>
      </c>
      <c r="E2327" s="461" t="s">
        <v>174</v>
      </c>
    </row>
    <row r="2328" spans="1:5" ht="40.5" x14ac:dyDescent="0.25">
      <c r="A2328" s="508">
        <v>100898</v>
      </c>
      <c r="B2328" s="509" t="s">
        <v>5416</v>
      </c>
      <c r="C2328" s="508" t="s">
        <v>5</v>
      </c>
      <c r="D2328" s="508">
        <v>219.1</v>
      </c>
      <c r="E2328" s="461" t="s">
        <v>174</v>
      </c>
    </row>
    <row r="2329" spans="1:5" ht="27" x14ac:dyDescent="0.25">
      <c r="A2329" s="508">
        <v>100899</v>
      </c>
      <c r="B2329" s="509" t="s">
        <v>5417</v>
      </c>
      <c r="C2329" s="508" t="s">
        <v>5</v>
      </c>
      <c r="D2329" s="508">
        <v>86.41</v>
      </c>
      <c r="E2329" s="461" t="s">
        <v>174</v>
      </c>
    </row>
    <row r="2330" spans="1:5" ht="40.5" x14ac:dyDescent="0.25">
      <c r="A2330" s="508">
        <v>100900</v>
      </c>
      <c r="B2330" s="509" t="s">
        <v>5418</v>
      </c>
      <c r="C2330" s="508" t="s">
        <v>5</v>
      </c>
      <c r="D2330" s="508">
        <v>251.92</v>
      </c>
      <c r="E2330" s="461" t="s">
        <v>174</v>
      </c>
    </row>
    <row r="2331" spans="1:5" ht="27" x14ac:dyDescent="0.25">
      <c r="A2331" s="508">
        <v>101173</v>
      </c>
      <c r="B2331" s="509" t="s">
        <v>1986</v>
      </c>
      <c r="C2331" s="508" t="s">
        <v>5</v>
      </c>
      <c r="D2331" s="508">
        <v>66.599999999999994</v>
      </c>
      <c r="E2331" s="461" t="s">
        <v>174</v>
      </c>
    </row>
    <row r="2332" spans="1:5" ht="27" x14ac:dyDescent="0.25">
      <c r="A2332" s="508">
        <v>101174</v>
      </c>
      <c r="B2332" s="509" t="s">
        <v>1987</v>
      </c>
      <c r="C2332" s="508" t="s">
        <v>5</v>
      </c>
      <c r="D2332" s="508">
        <v>94.45</v>
      </c>
      <c r="E2332" s="461" t="s">
        <v>174</v>
      </c>
    </row>
    <row r="2333" spans="1:5" ht="27" x14ac:dyDescent="0.25">
      <c r="A2333" s="508">
        <v>101175</v>
      </c>
      <c r="B2333" s="509" t="s">
        <v>1988</v>
      </c>
      <c r="C2333" s="508" t="s">
        <v>5</v>
      </c>
      <c r="D2333" s="508">
        <v>129.12</v>
      </c>
      <c r="E2333" s="461" t="s">
        <v>174</v>
      </c>
    </row>
    <row r="2334" spans="1:5" ht="27" x14ac:dyDescent="0.25">
      <c r="A2334" s="508">
        <v>101176</v>
      </c>
      <c r="B2334" s="509" t="s">
        <v>5419</v>
      </c>
      <c r="C2334" s="508" t="s">
        <v>5</v>
      </c>
      <c r="D2334" s="508">
        <v>156.68</v>
      </c>
      <c r="E2334" s="461" t="s">
        <v>174</v>
      </c>
    </row>
    <row r="2335" spans="1:5" ht="27" x14ac:dyDescent="0.25">
      <c r="A2335" s="508">
        <v>102521</v>
      </c>
      <c r="B2335" s="509" t="s">
        <v>3555</v>
      </c>
      <c r="C2335" s="508" t="s">
        <v>107</v>
      </c>
      <c r="D2335" s="508">
        <v>118.63</v>
      </c>
      <c r="E2335" s="461" t="s">
        <v>174</v>
      </c>
    </row>
    <row r="2336" spans="1:5" ht="27" x14ac:dyDescent="0.25">
      <c r="A2336" s="508">
        <v>102522</v>
      </c>
      <c r="B2336" s="509" t="s">
        <v>3556</v>
      </c>
      <c r="C2336" s="508" t="s">
        <v>107</v>
      </c>
      <c r="D2336" s="508">
        <v>174.03</v>
      </c>
      <c r="E2336" s="461" t="s">
        <v>174</v>
      </c>
    </row>
    <row r="2337" spans="1:5" ht="27" x14ac:dyDescent="0.25">
      <c r="A2337" s="508">
        <v>102523</v>
      </c>
      <c r="B2337" s="509" t="s">
        <v>3557</v>
      </c>
      <c r="C2337" s="508" t="s">
        <v>107</v>
      </c>
      <c r="D2337" s="508">
        <v>229.42</v>
      </c>
      <c r="E2337" s="461" t="s">
        <v>174</v>
      </c>
    </row>
    <row r="2338" spans="1:5" ht="27" x14ac:dyDescent="0.25">
      <c r="A2338" s="508">
        <v>95240</v>
      </c>
      <c r="B2338" s="509" t="s">
        <v>5420</v>
      </c>
      <c r="C2338" s="508" t="s">
        <v>150</v>
      </c>
      <c r="D2338" s="508">
        <v>22.85</v>
      </c>
      <c r="E2338" s="461" t="s">
        <v>174</v>
      </c>
    </row>
    <row r="2339" spans="1:5" ht="27" x14ac:dyDescent="0.25">
      <c r="A2339" s="508">
        <v>95241</v>
      </c>
      <c r="B2339" s="509" t="s">
        <v>5421</v>
      </c>
      <c r="C2339" s="508" t="s">
        <v>150</v>
      </c>
      <c r="D2339" s="508">
        <v>44.16</v>
      </c>
      <c r="E2339" s="461" t="s">
        <v>174</v>
      </c>
    </row>
    <row r="2340" spans="1:5" ht="15" x14ac:dyDescent="0.25">
      <c r="A2340" s="508">
        <v>96616</v>
      </c>
      <c r="B2340" s="509" t="s">
        <v>5422</v>
      </c>
      <c r="C2340" s="508" t="s">
        <v>163</v>
      </c>
      <c r="D2340" s="508">
        <v>950.51</v>
      </c>
      <c r="E2340" s="461" t="s">
        <v>174</v>
      </c>
    </row>
    <row r="2341" spans="1:5" ht="27" x14ac:dyDescent="0.25">
      <c r="A2341" s="508">
        <v>96617</v>
      </c>
      <c r="B2341" s="509" t="s">
        <v>5423</v>
      </c>
      <c r="C2341" s="508" t="s">
        <v>150</v>
      </c>
      <c r="D2341" s="508">
        <v>23.72</v>
      </c>
      <c r="E2341" s="461" t="s">
        <v>174</v>
      </c>
    </row>
    <row r="2342" spans="1:5" ht="27" x14ac:dyDescent="0.25">
      <c r="A2342" s="508">
        <v>96619</v>
      </c>
      <c r="B2342" s="509" t="s">
        <v>5424</v>
      </c>
      <c r="C2342" s="508" t="s">
        <v>150</v>
      </c>
      <c r="D2342" s="508">
        <v>47.52</v>
      </c>
      <c r="E2342" s="461" t="s">
        <v>174</v>
      </c>
    </row>
    <row r="2343" spans="1:5" ht="15" x14ac:dyDescent="0.25">
      <c r="A2343" s="508">
        <v>96620</v>
      </c>
      <c r="B2343" s="509" t="s">
        <v>5425</v>
      </c>
      <c r="C2343" s="508" t="s">
        <v>163</v>
      </c>
      <c r="D2343" s="508">
        <v>883.31</v>
      </c>
      <c r="E2343" s="461" t="s">
        <v>174</v>
      </c>
    </row>
    <row r="2344" spans="1:5" ht="27" x14ac:dyDescent="0.25">
      <c r="A2344" s="508">
        <v>96621</v>
      </c>
      <c r="B2344" s="509" t="s">
        <v>5426</v>
      </c>
      <c r="C2344" s="508" t="s">
        <v>163</v>
      </c>
      <c r="D2344" s="508">
        <v>340.77</v>
      </c>
      <c r="E2344" s="461" t="s">
        <v>174</v>
      </c>
    </row>
    <row r="2345" spans="1:5" ht="27" x14ac:dyDescent="0.25">
      <c r="A2345" s="508">
        <v>96622</v>
      </c>
      <c r="B2345" s="509" t="s">
        <v>5427</v>
      </c>
      <c r="C2345" s="508" t="s">
        <v>163</v>
      </c>
      <c r="D2345" s="508">
        <v>324.75</v>
      </c>
      <c r="E2345" s="461" t="s">
        <v>174</v>
      </c>
    </row>
    <row r="2346" spans="1:5" ht="27" x14ac:dyDescent="0.25">
      <c r="A2346" s="508">
        <v>96623</v>
      </c>
      <c r="B2346" s="509" t="s">
        <v>5428</v>
      </c>
      <c r="C2346" s="508" t="s">
        <v>163</v>
      </c>
      <c r="D2346" s="508">
        <v>292.52999999999997</v>
      </c>
      <c r="E2346" s="461" t="s">
        <v>174</v>
      </c>
    </row>
    <row r="2347" spans="1:5" ht="27" x14ac:dyDescent="0.25">
      <c r="A2347" s="508">
        <v>96624</v>
      </c>
      <c r="B2347" s="509" t="s">
        <v>5429</v>
      </c>
      <c r="C2347" s="508" t="s">
        <v>163</v>
      </c>
      <c r="D2347" s="508">
        <v>276.5</v>
      </c>
      <c r="E2347" s="461" t="s">
        <v>174</v>
      </c>
    </row>
    <row r="2348" spans="1:5" ht="15" x14ac:dyDescent="0.25">
      <c r="A2348" s="508">
        <v>97082</v>
      </c>
      <c r="B2348" s="509" t="s">
        <v>4011</v>
      </c>
      <c r="C2348" s="508" t="s">
        <v>163</v>
      </c>
      <c r="D2348" s="508">
        <v>67.95</v>
      </c>
      <c r="E2348" s="461" t="s">
        <v>174</v>
      </c>
    </row>
    <row r="2349" spans="1:5" ht="27" x14ac:dyDescent="0.25">
      <c r="A2349" s="508">
        <v>97083</v>
      </c>
      <c r="B2349" s="509" t="s">
        <v>4012</v>
      </c>
      <c r="C2349" s="508" t="s">
        <v>150</v>
      </c>
      <c r="D2349" s="508">
        <v>3.65</v>
      </c>
      <c r="E2349" s="461" t="s">
        <v>174</v>
      </c>
    </row>
    <row r="2350" spans="1:5" ht="27" x14ac:dyDescent="0.25">
      <c r="A2350" s="508">
        <v>97084</v>
      </c>
      <c r="B2350" s="509" t="s">
        <v>4013</v>
      </c>
      <c r="C2350" s="508" t="s">
        <v>150</v>
      </c>
      <c r="D2350" s="508">
        <v>0.75</v>
      </c>
      <c r="E2350" s="461" t="s">
        <v>174</v>
      </c>
    </row>
    <row r="2351" spans="1:5" ht="27" x14ac:dyDescent="0.25">
      <c r="A2351" s="508">
        <v>97086</v>
      </c>
      <c r="B2351" s="509" t="s">
        <v>4014</v>
      </c>
      <c r="C2351" s="508" t="s">
        <v>150</v>
      </c>
      <c r="D2351" s="508">
        <v>141.25</v>
      </c>
      <c r="E2351" s="461" t="s">
        <v>174</v>
      </c>
    </row>
    <row r="2352" spans="1:5" ht="27" x14ac:dyDescent="0.25">
      <c r="A2352" s="508">
        <v>97087</v>
      </c>
      <c r="B2352" s="509" t="s">
        <v>4015</v>
      </c>
      <c r="C2352" s="508" t="s">
        <v>150</v>
      </c>
      <c r="D2352" s="508">
        <v>2.68</v>
      </c>
      <c r="E2352" s="461" t="s">
        <v>174</v>
      </c>
    </row>
    <row r="2353" spans="1:5" ht="27" x14ac:dyDescent="0.25">
      <c r="A2353" s="508">
        <v>97088</v>
      </c>
      <c r="B2353" s="509" t="s">
        <v>4016</v>
      </c>
      <c r="C2353" s="508" t="s">
        <v>106</v>
      </c>
      <c r="D2353" s="508">
        <v>14.6</v>
      </c>
      <c r="E2353" s="461" t="s">
        <v>174</v>
      </c>
    </row>
    <row r="2354" spans="1:5" ht="27" x14ac:dyDescent="0.25">
      <c r="A2354" s="508">
        <v>97089</v>
      </c>
      <c r="B2354" s="509" t="s">
        <v>4017</v>
      </c>
      <c r="C2354" s="508" t="s">
        <v>106</v>
      </c>
      <c r="D2354" s="508">
        <v>13.32</v>
      </c>
      <c r="E2354" s="461" t="s">
        <v>174</v>
      </c>
    </row>
    <row r="2355" spans="1:5" ht="27" x14ac:dyDescent="0.25">
      <c r="A2355" s="508">
        <v>97090</v>
      </c>
      <c r="B2355" s="509" t="s">
        <v>4018</v>
      </c>
      <c r="C2355" s="508" t="s">
        <v>106</v>
      </c>
      <c r="D2355" s="508">
        <v>13.01</v>
      </c>
      <c r="E2355" s="461" t="s">
        <v>174</v>
      </c>
    </row>
    <row r="2356" spans="1:5" ht="27" x14ac:dyDescent="0.25">
      <c r="A2356" s="508">
        <v>97091</v>
      </c>
      <c r="B2356" s="509" t="s">
        <v>4019</v>
      </c>
      <c r="C2356" s="508" t="s">
        <v>106</v>
      </c>
      <c r="D2356" s="508">
        <v>12.58</v>
      </c>
      <c r="E2356" s="461" t="s">
        <v>174</v>
      </c>
    </row>
    <row r="2357" spans="1:5" ht="27" x14ac:dyDescent="0.25">
      <c r="A2357" s="508">
        <v>97092</v>
      </c>
      <c r="B2357" s="509" t="s">
        <v>4020</v>
      </c>
      <c r="C2357" s="508" t="s">
        <v>106</v>
      </c>
      <c r="D2357" s="508">
        <v>12.13</v>
      </c>
      <c r="E2357" s="461" t="s">
        <v>174</v>
      </c>
    </row>
    <row r="2358" spans="1:5" ht="27" x14ac:dyDescent="0.25">
      <c r="A2358" s="508">
        <v>97093</v>
      </c>
      <c r="B2358" s="509" t="s">
        <v>4021</v>
      </c>
      <c r="C2358" s="508" t="s">
        <v>106</v>
      </c>
      <c r="D2358" s="508">
        <v>11.31</v>
      </c>
      <c r="E2358" s="461" t="s">
        <v>174</v>
      </c>
    </row>
    <row r="2359" spans="1:5" ht="27" x14ac:dyDescent="0.25">
      <c r="A2359" s="508">
        <v>97096</v>
      </c>
      <c r="B2359" s="509" t="s">
        <v>4022</v>
      </c>
      <c r="C2359" s="508" t="s">
        <v>163</v>
      </c>
      <c r="D2359" s="508">
        <v>579.25</v>
      </c>
      <c r="E2359" s="461" t="s">
        <v>174</v>
      </c>
    </row>
    <row r="2360" spans="1:5" ht="27" x14ac:dyDescent="0.25">
      <c r="A2360" s="508">
        <v>97097</v>
      </c>
      <c r="B2360" s="509" t="s">
        <v>4023</v>
      </c>
      <c r="C2360" s="508" t="s">
        <v>150</v>
      </c>
      <c r="D2360" s="508">
        <v>42.23</v>
      </c>
      <c r="E2360" s="461" t="s">
        <v>174</v>
      </c>
    </row>
    <row r="2361" spans="1:5" ht="27" x14ac:dyDescent="0.25">
      <c r="A2361" s="508">
        <v>97101</v>
      </c>
      <c r="B2361" s="509" t="s">
        <v>4024</v>
      </c>
      <c r="C2361" s="508" t="s">
        <v>150</v>
      </c>
      <c r="D2361" s="508">
        <v>174.43</v>
      </c>
      <c r="E2361" s="461" t="s">
        <v>174</v>
      </c>
    </row>
    <row r="2362" spans="1:5" ht="27" x14ac:dyDescent="0.25">
      <c r="A2362" s="508">
        <v>97102</v>
      </c>
      <c r="B2362" s="509" t="s">
        <v>4025</v>
      </c>
      <c r="C2362" s="508" t="s">
        <v>150</v>
      </c>
      <c r="D2362" s="508">
        <v>215.51</v>
      </c>
      <c r="E2362" s="461" t="s">
        <v>174</v>
      </c>
    </row>
    <row r="2363" spans="1:5" ht="27" x14ac:dyDescent="0.25">
      <c r="A2363" s="508">
        <v>97103</v>
      </c>
      <c r="B2363" s="509" t="s">
        <v>4026</v>
      </c>
      <c r="C2363" s="508" t="s">
        <v>150</v>
      </c>
      <c r="D2363" s="508">
        <v>253.46</v>
      </c>
      <c r="E2363" s="461" t="s">
        <v>174</v>
      </c>
    </row>
    <row r="2364" spans="1:5" ht="27" x14ac:dyDescent="0.25">
      <c r="A2364" s="508">
        <v>100322</v>
      </c>
      <c r="B2364" s="509" t="s">
        <v>5430</v>
      </c>
      <c r="C2364" s="508" t="s">
        <v>163</v>
      </c>
      <c r="D2364" s="508">
        <v>263.7</v>
      </c>
      <c r="E2364" s="461" t="s">
        <v>174</v>
      </c>
    </row>
    <row r="2365" spans="1:5" ht="27" x14ac:dyDescent="0.25">
      <c r="A2365" s="508">
        <v>100323</v>
      </c>
      <c r="B2365" s="509" t="s">
        <v>5431</v>
      </c>
      <c r="C2365" s="508" t="s">
        <v>163</v>
      </c>
      <c r="D2365" s="508">
        <v>302.26</v>
      </c>
      <c r="E2365" s="461" t="s">
        <v>174</v>
      </c>
    </row>
    <row r="2366" spans="1:5" ht="27" x14ac:dyDescent="0.25">
      <c r="A2366" s="508">
        <v>100324</v>
      </c>
      <c r="B2366" s="509" t="s">
        <v>5432</v>
      </c>
      <c r="C2366" s="508" t="s">
        <v>163</v>
      </c>
      <c r="D2366" s="508">
        <v>275.94</v>
      </c>
      <c r="E2366" s="461" t="s">
        <v>174</v>
      </c>
    </row>
    <row r="2367" spans="1:5" ht="27" x14ac:dyDescent="0.25">
      <c r="A2367" s="508">
        <v>103072</v>
      </c>
      <c r="B2367" s="509" t="s">
        <v>4027</v>
      </c>
      <c r="C2367" s="508" t="s">
        <v>150</v>
      </c>
      <c r="D2367" s="508">
        <v>297.27999999999997</v>
      </c>
      <c r="E2367" s="461" t="s">
        <v>174</v>
      </c>
    </row>
    <row r="2368" spans="1:5" ht="27" x14ac:dyDescent="0.25">
      <c r="A2368" s="508">
        <v>103073</v>
      </c>
      <c r="B2368" s="509" t="s">
        <v>4028</v>
      </c>
      <c r="C2368" s="508" t="s">
        <v>150</v>
      </c>
      <c r="D2368" s="508">
        <v>354.96</v>
      </c>
      <c r="E2368" s="461" t="s">
        <v>174</v>
      </c>
    </row>
    <row r="2369" spans="1:5" ht="27" x14ac:dyDescent="0.25">
      <c r="A2369" s="508">
        <v>103074</v>
      </c>
      <c r="B2369" s="509" t="s">
        <v>4029</v>
      </c>
      <c r="C2369" s="508" t="s">
        <v>150</v>
      </c>
      <c r="D2369" s="508">
        <v>172.7</v>
      </c>
      <c r="E2369" s="461" t="s">
        <v>174</v>
      </c>
    </row>
    <row r="2370" spans="1:5" ht="27" x14ac:dyDescent="0.25">
      <c r="A2370" s="508">
        <v>103075</v>
      </c>
      <c r="B2370" s="509" t="s">
        <v>4030</v>
      </c>
      <c r="C2370" s="508" t="s">
        <v>150</v>
      </c>
      <c r="D2370" s="508">
        <v>214.93</v>
      </c>
      <c r="E2370" s="461" t="s">
        <v>174</v>
      </c>
    </row>
    <row r="2371" spans="1:5" ht="27" x14ac:dyDescent="0.25">
      <c r="A2371" s="508">
        <v>103076</v>
      </c>
      <c r="B2371" s="509" t="s">
        <v>4031</v>
      </c>
      <c r="C2371" s="508" t="s">
        <v>150</v>
      </c>
      <c r="D2371" s="508">
        <v>151.15</v>
      </c>
      <c r="E2371" s="461" t="s">
        <v>174</v>
      </c>
    </row>
    <row r="2372" spans="1:5" ht="27" x14ac:dyDescent="0.25">
      <c r="A2372" s="508">
        <v>103077</v>
      </c>
      <c r="B2372" s="509" t="s">
        <v>4032</v>
      </c>
      <c r="C2372" s="508" t="s">
        <v>150</v>
      </c>
      <c r="D2372" s="508">
        <v>192.22</v>
      </c>
      <c r="E2372" s="461" t="s">
        <v>174</v>
      </c>
    </row>
    <row r="2373" spans="1:5" ht="27" x14ac:dyDescent="0.25">
      <c r="A2373" s="508">
        <v>103078</v>
      </c>
      <c r="B2373" s="509" t="s">
        <v>4033</v>
      </c>
      <c r="C2373" s="508" t="s">
        <v>150</v>
      </c>
      <c r="D2373" s="508">
        <v>230.18</v>
      </c>
      <c r="E2373" s="461" t="s">
        <v>174</v>
      </c>
    </row>
    <row r="2374" spans="1:5" ht="27" x14ac:dyDescent="0.25">
      <c r="A2374" s="508">
        <v>103079</v>
      </c>
      <c r="B2374" s="509" t="s">
        <v>4034</v>
      </c>
      <c r="C2374" s="508" t="s">
        <v>150</v>
      </c>
      <c r="D2374" s="508">
        <v>274</v>
      </c>
      <c r="E2374" s="461" t="s">
        <v>174</v>
      </c>
    </row>
    <row r="2375" spans="1:5" ht="27" x14ac:dyDescent="0.25">
      <c r="A2375" s="508">
        <v>103080</v>
      </c>
      <c r="B2375" s="509" t="s">
        <v>4035</v>
      </c>
      <c r="C2375" s="508" t="s">
        <v>150</v>
      </c>
      <c r="D2375" s="508">
        <v>331.68</v>
      </c>
      <c r="E2375" s="461" t="s">
        <v>174</v>
      </c>
    </row>
    <row r="2376" spans="1:5" ht="27" x14ac:dyDescent="0.25">
      <c r="A2376" s="508">
        <v>92263</v>
      </c>
      <c r="B2376" s="509" t="s">
        <v>2373</v>
      </c>
      <c r="C2376" s="508" t="s">
        <v>150</v>
      </c>
      <c r="D2376" s="508">
        <v>154.41</v>
      </c>
      <c r="E2376" s="461" t="s">
        <v>174</v>
      </c>
    </row>
    <row r="2377" spans="1:5" ht="27" x14ac:dyDescent="0.25">
      <c r="A2377" s="508">
        <v>92264</v>
      </c>
      <c r="B2377" s="509" t="s">
        <v>2374</v>
      </c>
      <c r="C2377" s="508" t="s">
        <v>150</v>
      </c>
      <c r="D2377" s="508">
        <v>194.51</v>
      </c>
      <c r="E2377" s="461" t="s">
        <v>174</v>
      </c>
    </row>
    <row r="2378" spans="1:5" ht="27" x14ac:dyDescent="0.25">
      <c r="A2378" s="508">
        <v>92265</v>
      </c>
      <c r="B2378" s="509" t="s">
        <v>2375</v>
      </c>
      <c r="C2378" s="508" t="s">
        <v>150</v>
      </c>
      <c r="D2378" s="508">
        <v>112.66</v>
      </c>
      <c r="E2378" s="461" t="s">
        <v>174</v>
      </c>
    </row>
    <row r="2379" spans="1:5" ht="27" x14ac:dyDescent="0.25">
      <c r="A2379" s="508">
        <v>92266</v>
      </c>
      <c r="B2379" s="509" t="s">
        <v>2376</v>
      </c>
      <c r="C2379" s="508" t="s">
        <v>150</v>
      </c>
      <c r="D2379" s="508">
        <v>147.07</v>
      </c>
      <c r="E2379" s="461" t="s">
        <v>174</v>
      </c>
    </row>
    <row r="2380" spans="1:5" ht="27" x14ac:dyDescent="0.25">
      <c r="A2380" s="508">
        <v>92267</v>
      </c>
      <c r="B2380" s="509" t="s">
        <v>2377</v>
      </c>
      <c r="C2380" s="508" t="s">
        <v>150</v>
      </c>
      <c r="D2380" s="508">
        <v>46.41</v>
      </c>
      <c r="E2380" s="461" t="s">
        <v>174</v>
      </c>
    </row>
    <row r="2381" spans="1:5" ht="27" x14ac:dyDescent="0.25">
      <c r="A2381" s="508">
        <v>92268</v>
      </c>
      <c r="B2381" s="509" t="s">
        <v>2378</v>
      </c>
      <c r="C2381" s="508" t="s">
        <v>150</v>
      </c>
      <c r="D2381" s="508">
        <v>77.930000000000007</v>
      </c>
      <c r="E2381" s="461" t="s">
        <v>174</v>
      </c>
    </row>
    <row r="2382" spans="1:5" ht="27" x14ac:dyDescent="0.25">
      <c r="A2382" s="508">
        <v>92269</v>
      </c>
      <c r="B2382" s="509" t="s">
        <v>2379</v>
      </c>
      <c r="C2382" s="508" t="s">
        <v>150</v>
      </c>
      <c r="D2382" s="508">
        <v>124.29</v>
      </c>
      <c r="E2382" s="461" t="s">
        <v>174</v>
      </c>
    </row>
    <row r="2383" spans="1:5" ht="15" x14ac:dyDescent="0.25">
      <c r="A2383" s="508">
        <v>92270</v>
      </c>
      <c r="B2383" s="509" t="s">
        <v>2380</v>
      </c>
      <c r="C2383" s="508" t="s">
        <v>150</v>
      </c>
      <c r="D2383" s="508">
        <v>182.06</v>
      </c>
      <c r="E2383" s="461" t="s">
        <v>174</v>
      </c>
    </row>
    <row r="2384" spans="1:5" ht="15" x14ac:dyDescent="0.25">
      <c r="A2384" s="508">
        <v>92271</v>
      </c>
      <c r="B2384" s="509" t="s">
        <v>2381</v>
      </c>
      <c r="C2384" s="508" t="s">
        <v>150</v>
      </c>
      <c r="D2384" s="508">
        <v>115.3</v>
      </c>
      <c r="E2384" s="461" t="s">
        <v>174</v>
      </c>
    </row>
    <row r="2385" spans="1:5" ht="15" x14ac:dyDescent="0.25">
      <c r="A2385" s="508">
        <v>92272</v>
      </c>
      <c r="B2385" s="509" t="s">
        <v>2382</v>
      </c>
      <c r="C2385" s="508" t="s">
        <v>5</v>
      </c>
      <c r="D2385" s="508">
        <v>34.15</v>
      </c>
      <c r="E2385" s="461" t="s">
        <v>174</v>
      </c>
    </row>
    <row r="2386" spans="1:5" ht="27" x14ac:dyDescent="0.25">
      <c r="A2386" s="508">
        <v>92273</v>
      </c>
      <c r="B2386" s="509" t="s">
        <v>2383</v>
      </c>
      <c r="C2386" s="508" t="s">
        <v>5</v>
      </c>
      <c r="D2386" s="508">
        <v>14.62</v>
      </c>
      <c r="E2386" s="461" t="s">
        <v>174</v>
      </c>
    </row>
    <row r="2387" spans="1:5" ht="27" x14ac:dyDescent="0.25">
      <c r="A2387" s="508">
        <v>92409</v>
      </c>
      <c r="B2387" s="509" t="s">
        <v>2384</v>
      </c>
      <c r="C2387" s="508" t="s">
        <v>150</v>
      </c>
      <c r="D2387" s="508">
        <v>233.72</v>
      </c>
      <c r="E2387" s="461" t="s">
        <v>174</v>
      </c>
    </row>
    <row r="2388" spans="1:5" ht="27" x14ac:dyDescent="0.25">
      <c r="A2388" s="508">
        <v>92411</v>
      </c>
      <c r="B2388" s="509" t="s">
        <v>2385</v>
      </c>
      <c r="C2388" s="508" t="s">
        <v>150</v>
      </c>
      <c r="D2388" s="508">
        <v>160.35</v>
      </c>
      <c r="E2388" s="461" t="s">
        <v>174</v>
      </c>
    </row>
    <row r="2389" spans="1:5" ht="27" x14ac:dyDescent="0.25">
      <c r="A2389" s="508">
        <v>92413</v>
      </c>
      <c r="B2389" s="509" t="s">
        <v>2386</v>
      </c>
      <c r="C2389" s="508" t="s">
        <v>150</v>
      </c>
      <c r="D2389" s="508">
        <v>107</v>
      </c>
      <c r="E2389" s="461" t="s">
        <v>174</v>
      </c>
    </row>
    <row r="2390" spans="1:5" ht="27" x14ac:dyDescent="0.25">
      <c r="A2390" s="508">
        <v>92415</v>
      </c>
      <c r="B2390" s="509" t="s">
        <v>2387</v>
      </c>
      <c r="C2390" s="508" t="s">
        <v>150</v>
      </c>
      <c r="D2390" s="508">
        <v>138.44</v>
      </c>
      <c r="E2390" s="461" t="s">
        <v>174</v>
      </c>
    </row>
    <row r="2391" spans="1:5" ht="27" x14ac:dyDescent="0.25">
      <c r="A2391" s="508">
        <v>92417</v>
      </c>
      <c r="B2391" s="509" t="s">
        <v>2388</v>
      </c>
      <c r="C2391" s="508" t="s">
        <v>150</v>
      </c>
      <c r="D2391" s="508">
        <v>164.01</v>
      </c>
      <c r="E2391" s="461" t="s">
        <v>174</v>
      </c>
    </row>
    <row r="2392" spans="1:5" ht="27" x14ac:dyDescent="0.25">
      <c r="A2392" s="508">
        <v>92419</v>
      </c>
      <c r="B2392" s="509" t="s">
        <v>2389</v>
      </c>
      <c r="C2392" s="508" t="s">
        <v>150</v>
      </c>
      <c r="D2392" s="508">
        <v>88.9</v>
      </c>
      <c r="E2392" s="461" t="s">
        <v>174</v>
      </c>
    </row>
    <row r="2393" spans="1:5" ht="27" x14ac:dyDescent="0.25">
      <c r="A2393" s="508">
        <v>92421</v>
      </c>
      <c r="B2393" s="509" t="s">
        <v>2390</v>
      </c>
      <c r="C2393" s="508" t="s">
        <v>150</v>
      </c>
      <c r="D2393" s="508">
        <v>108.5</v>
      </c>
      <c r="E2393" s="461" t="s">
        <v>174</v>
      </c>
    </row>
    <row r="2394" spans="1:5" ht="27" x14ac:dyDescent="0.25">
      <c r="A2394" s="508">
        <v>92423</v>
      </c>
      <c r="B2394" s="509" t="s">
        <v>2391</v>
      </c>
      <c r="C2394" s="508" t="s">
        <v>150</v>
      </c>
      <c r="D2394" s="508">
        <v>73.31</v>
      </c>
      <c r="E2394" s="461" t="s">
        <v>174</v>
      </c>
    </row>
    <row r="2395" spans="1:5" ht="27" x14ac:dyDescent="0.25">
      <c r="A2395" s="508">
        <v>92425</v>
      </c>
      <c r="B2395" s="509" t="s">
        <v>2392</v>
      </c>
      <c r="C2395" s="508" t="s">
        <v>150</v>
      </c>
      <c r="D2395" s="508">
        <v>90.35</v>
      </c>
      <c r="E2395" s="461" t="s">
        <v>174</v>
      </c>
    </row>
    <row r="2396" spans="1:5" ht="27" x14ac:dyDescent="0.25">
      <c r="A2396" s="508">
        <v>92427</v>
      </c>
      <c r="B2396" s="509" t="s">
        <v>2393</v>
      </c>
      <c r="C2396" s="508" t="s">
        <v>150</v>
      </c>
      <c r="D2396" s="508">
        <v>65.44</v>
      </c>
      <c r="E2396" s="461" t="s">
        <v>174</v>
      </c>
    </row>
    <row r="2397" spans="1:5" ht="27" x14ac:dyDescent="0.25">
      <c r="A2397" s="508">
        <v>92429</v>
      </c>
      <c r="B2397" s="509" t="s">
        <v>2394</v>
      </c>
      <c r="C2397" s="508" t="s">
        <v>150</v>
      </c>
      <c r="D2397" s="508">
        <v>81.23</v>
      </c>
      <c r="E2397" s="461" t="s">
        <v>174</v>
      </c>
    </row>
    <row r="2398" spans="1:5" ht="40.5" x14ac:dyDescent="0.25">
      <c r="A2398" s="508">
        <v>92431</v>
      </c>
      <c r="B2398" s="509" t="s">
        <v>2395</v>
      </c>
      <c r="C2398" s="508" t="s">
        <v>150</v>
      </c>
      <c r="D2398" s="508">
        <v>61.46</v>
      </c>
      <c r="E2398" s="461" t="s">
        <v>174</v>
      </c>
    </row>
    <row r="2399" spans="1:5" ht="40.5" x14ac:dyDescent="0.25">
      <c r="A2399" s="508">
        <v>92433</v>
      </c>
      <c r="B2399" s="509" t="s">
        <v>2396</v>
      </c>
      <c r="C2399" s="508" t="s">
        <v>150</v>
      </c>
      <c r="D2399" s="508">
        <v>76.459999999999994</v>
      </c>
      <c r="E2399" s="461" t="s">
        <v>174</v>
      </c>
    </row>
    <row r="2400" spans="1:5" ht="40.5" x14ac:dyDescent="0.25">
      <c r="A2400" s="508">
        <v>92435</v>
      </c>
      <c r="B2400" s="509" t="s">
        <v>2397</v>
      </c>
      <c r="C2400" s="508" t="s">
        <v>150</v>
      </c>
      <c r="D2400" s="508">
        <v>58.53</v>
      </c>
      <c r="E2400" s="461" t="s">
        <v>174</v>
      </c>
    </row>
    <row r="2401" spans="1:5" ht="40.5" x14ac:dyDescent="0.25">
      <c r="A2401" s="508">
        <v>92437</v>
      </c>
      <c r="B2401" s="509" t="s">
        <v>2398</v>
      </c>
      <c r="C2401" s="508" t="s">
        <v>150</v>
      </c>
      <c r="D2401" s="508">
        <v>73.010000000000005</v>
      </c>
      <c r="E2401" s="461" t="s">
        <v>174</v>
      </c>
    </row>
    <row r="2402" spans="1:5" ht="40.5" x14ac:dyDescent="0.25">
      <c r="A2402" s="508">
        <v>92439</v>
      </c>
      <c r="B2402" s="509" t="s">
        <v>2399</v>
      </c>
      <c r="C2402" s="508" t="s">
        <v>150</v>
      </c>
      <c r="D2402" s="508">
        <v>56.4</v>
      </c>
      <c r="E2402" s="461" t="s">
        <v>174</v>
      </c>
    </row>
    <row r="2403" spans="1:5" ht="40.5" x14ac:dyDescent="0.25">
      <c r="A2403" s="508">
        <v>92441</v>
      </c>
      <c r="B2403" s="509" t="s">
        <v>2400</v>
      </c>
      <c r="C2403" s="508" t="s">
        <v>150</v>
      </c>
      <c r="D2403" s="508">
        <v>70.53</v>
      </c>
      <c r="E2403" s="461" t="s">
        <v>174</v>
      </c>
    </row>
    <row r="2404" spans="1:5" ht="40.5" x14ac:dyDescent="0.25">
      <c r="A2404" s="508">
        <v>92443</v>
      </c>
      <c r="B2404" s="509" t="s">
        <v>2401</v>
      </c>
      <c r="C2404" s="508" t="s">
        <v>150</v>
      </c>
      <c r="D2404" s="508">
        <v>51.94</v>
      </c>
      <c r="E2404" s="461" t="s">
        <v>174</v>
      </c>
    </row>
    <row r="2405" spans="1:5" ht="40.5" x14ac:dyDescent="0.25">
      <c r="A2405" s="508">
        <v>92445</v>
      </c>
      <c r="B2405" s="509" t="s">
        <v>2402</v>
      </c>
      <c r="C2405" s="508" t="s">
        <v>150</v>
      </c>
      <c r="D2405" s="508">
        <v>65.569999999999993</v>
      </c>
      <c r="E2405" s="461" t="s">
        <v>174</v>
      </c>
    </row>
    <row r="2406" spans="1:5" ht="27" x14ac:dyDescent="0.25">
      <c r="A2406" s="508">
        <v>92446</v>
      </c>
      <c r="B2406" s="509" t="s">
        <v>2403</v>
      </c>
      <c r="C2406" s="508" t="s">
        <v>150</v>
      </c>
      <c r="D2406" s="508">
        <v>317.74</v>
      </c>
      <c r="E2406" s="461" t="s">
        <v>174</v>
      </c>
    </row>
    <row r="2407" spans="1:5" ht="27" x14ac:dyDescent="0.25">
      <c r="A2407" s="508">
        <v>92447</v>
      </c>
      <c r="B2407" s="509" t="s">
        <v>2404</v>
      </c>
      <c r="C2407" s="508" t="s">
        <v>150</v>
      </c>
      <c r="D2407" s="508">
        <v>220.59</v>
      </c>
      <c r="E2407" s="461" t="s">
        <v>174</v>
      </c>
    </row>
    <row r="2408" spans="1:5" ht="27" x14ac:dyDescent="0.25">
      <c r="A2408" s="508">
        <v>92448</v>
      </c>
      <c r="B2408" s="509" t="s">
        <v>2405</v>
      </c>
      <c r="C2408" s="508" t="s">
        <v>150</v>
      </c>
      <c r="D2408" s="508">
        <v>171.33</v>
      </c>
      <c r="E2408" s="461" t="s">
        <v>174</v>
      </c>
    </row>
    <row r="2409" spans="1:5" ht="27" x14ac:dyDescent="0.25">
      <c r="A2409" s="508">
        <v>92449</v>
      </c>
      <c r="B2409" s="509" t="s">
        <v>2406</v>
      </c>
      <c r="C2409" s="508" t="s">
        <v>150</v>
      </c>
      <c r="D2409" s="508">
        <v>268.2</v>
      </c>
      <c r="E2409" s="461" t="s">
        <v>174</v>
      </c>
    </row>
    <row r="2410" spans="1:5" ht="27" x14ac:dyDescent="0.25">
      <c r="A2410" s="508">
        <v>92450</v>
      </c>
      <c r="B2410" s="509" t="s">
        <v>2407</v>
      </c>
      <c r="C2410" s="508" t="s">
        <v>150</v>
      </c>
      <c r="D2410" s="508">
        <v>316.16000000000003</v>
      </c>
      <c r="E2410" s="461" t="s">
        <v>174</v>
      </c>
    </row>
    <row r="2411" spans="1:5" ht="27" x14ac:dyDescent="0.25">
      <c r="A2411" s="508">
        <v>92451</v>
      </c>
      <c r="B2411" s="509" t="s">
        <v>2408</v>
      </c>
      <c r="C2411" s="508" t="s">
        <v>150</v>
      </c>
      <c r="D2411" s="508">
        <v>182.73</v>
      </c>
      <c r="E2411" s="461" t="s">
        <v>174</v>
      </c>
    </row>
    <row r="2412" spans="1:5" ht="27" x14ac:dyDescent="0.25">
      <c r="A2412" s="508">
        <v>92452</v>
      </c>
      <c r="B2412" s="509" t="s">
        <v>2409</v>
      </c>
      <c r="C2412" s="508" t="s">
        <v>150</v>
      </c>
      <c r="D2412" s="508">
        <v>183.85</v>
      </c>
      <c r="E2412" s="461" t="s">
        <v>174</v>
      </c>
    </row>
    <row r="2413" spans="1:5" ht="27" x14ac:dyDescent="0.25">
      <c r="A2413" s="508">
        <v>92453</v>
      </c>
      <c r="B2413" s="509" t="s">
        <v>2410</v>
      </c>
      <c r="C2413" s="508" t="s">
        <v>150</v>
      </c>
      <c r="D2413" s="510">
        <v>229.61</v>
      </c>
      <c r="E2413" s="461" t="s">
        <v>174</v>
      </c>
    </row>
    <row r="2414" spans="1:5" ht="27" x14ac:dyDescent="0.25">
      <c r="A2414" s="508">
        <v>92454</v>
      </c>
      <c r="B2414" s="509" t="s">
        <v>2411</v>
      </c>
      <c r="C2414" s="508" t="s">
        <v>150</v>
      </c>
      <c r="D2414" s="510">
        <v>286.04000000000002</v>
      </c>
      <c r="E2414" s="461" t="s">
        <v>174</v>
      </c>
    </row>
    <row r="2415" spans="1:5" ht="27" x14ac:dyDescent="0.25">
      <c r="A2415" s="508">
        <v>92455</v>
      </c>
      <c r="B2415" s="509" t="s">
        <v>2412</v>
      </c>
      <c r="C2415" s="508" t="s">
        <v>150</v>
      </c>
      <c r="D2415" s="510">
        <v>149.94</v>
      </c>
      <c r="E2415" s="461" t="s">
        <v>174</v>
      </c>
    </row>
    <row r="2416" spans="1:5" ht="27" x14ac:dyDescent="0.25">
      <c r="A2416" s="508">
        <v>92456</v>
      </c>
      <c r="B2416" s="509" t="s">
        <v>2413</v>
      </c>
      <c r="C2416" s="508" t="s">
        <v>150</v>
      </c>
      <c r="D2416" s="510">
        <v>153.71</v>
      </c>
      <c r="E2416" s="461" t="s">
        <v>174</v>
      </c>
    </row>
    <row r="2417" spans="1:5" ht="27" x14ac:dyDescent="0.25">
      <c r="A2417" s="508">
        <v>92457</v>
      </c>
      <c r="B2417" s="509" t="s">
        <v>2414</v>
      </c>
      <c r="C2417" s="508" t="s">
        <v>150</v>
      </c>
      <c r="D2417" s="510">
        <v>200.18</v>
      </c>
      <c r="E2417" s="461" t="s">
        <v>174</v>
      </c>
    </row>
    <row r="2418" spans="1:5" ht="27" x14ac:dyDescent="0.25">
      <c r="A2418" s="508">
        <v>92458</v>
      </c>
      <c r="B2418" s="509" t="s">
        <v>13018</v>
      </c>
      <c r="C2418" s="508" t="s">
        <v>150</v>
      </c>
      <c r="D2418" s="510">
        <v>267.05</v>
      </c>
      <c r="E2418" s="461" t="s">
        <v>174</v>
      </c>
    </row>
    <row r="2419" spans="1:5" ht="27" x14ac:dyDescent="0.25">
      <c r="A2419" s="508">
        <v>92459</v>
      </c>
      <c r="B2419" s="509" t="s">
        <v>2415</v>
      </c>
      <c r="C2419" s="508" t="s">
        <v>150</v>
      </c>
      <c r="D2419" s="510">
        <v>127.92</v>
      </c>
      <c r="E2419" s="461" t="s">
        <v>174</v>
      </c>
    </row>
    <row r="2420" spans="1:5" ht="27" x14ac:dyDescent="0.25">
      <c r="A2420" s="508">
        <v>92460</v>
      </c>
      <c r="B2420" s="509" t="s">
        <v>2416</v>
      </c>
      <c r="C2420" s="508" t="s">
        <v>150</v>
      </c>
      <c r="D2420" s="510">
        <v>129.74</v>
      </c>
      <c r="E2420" s="461" t="s">
        <v>174</v>
      </c>
    </row>
    <row r="2421" spans="1:5" ht="27" x14ac:dyDescent="0.25">
      <c r="A2421" s="508">
        <v>92461</v>
      </c>
      <c r="B2421" s="509" t="s">
        <v>2417</v>
      </c>
      <c r="C2421" s="508" t="s">
        <v>150</v>
      </c>
      <c r="D2421" s="508">
        <v>184.84</v>
      </c>
      <c r="E2421" s="461" t="s">
        <v>174</v>
      </c>
    </row>
    <row r="2422" spans="1:5" ht="27" x14ac:dyDescent="0.25">
      <c r="A2422" s="508">
        <v>92462</v>
      </c>
      <c r="B2422" s="509" t="s">
        <v>2418</v>
      </c>
      <c r="C2422" s="508" t="s">
        <v>150</v>
      </c>
      <c r="D2422" s="508">
        <v>254.8</v>
      </c>
      <c r="E2422" s="461" t="s">
        <v>174</v>
      </c>
    </row>
    <row r="2423" spans="1:5" ht="27" x14ac:dyDescent="0.25">
      <c r="A2423" s="508">
        <v>92463</v>
      </c>
      <c r="B2423" s="509" t="s">
        <v>2419</v>
      </c>
      <c r="C2423" s="508" t="s">
        <v>150</v>
      </c>
      <c r="D2423" s="508">
        <v>116.13</v>
      </c>
      <c r="E2423" s="461" t="s">
        <v>174</v>
      </c>
    </row>
    <row r="2424" spans="1:5" ht="27" x14ac:dyDescent="0.25">
      <c r="A2424" s="508">
        <v>92464</v>
      </c>
      <c r="B2424" s="509" t="s">
        <v>2420</v>
      </c>
      <c r="C2424" s="508" t="s">
        <v>150</v>
      </c>
      <c r="D2424" s="508">
        <v>123.58</v>
      </c>
      <c r="E2424" s="461" t="s">
        <v>174</v>
      </c>
    </row>
    <row r="2425" spans="1:5" ht="27" x14ac:dyDescent="0.25">
      <c r="A2425" s="508">
        <v>92465</v>
      </c>
      <c r="B2425" s="509" t="s">
        <v>2421</v>
      </c>
      <c r="C2425" s="508" t="s">
        <v>150</v>
      </c>
      <c r="D2425" s="508">
        <v>148.65</v>
      </c>
      <c r="E2425" s="461" t="s">
        <v>174</v>
      </c>
    </row>
    <row r="2426" spans="1:5" ht="27" x14ac:dyDescent="0.25">
      <c r="A2426" s="508">
        <v>92466</v>
      </c>
      <c r="B2426" s="509" t="s">
        <v>2422</v>
      </c>
      <c r="C2426" s="508" t="s">
        <v>150</v>
      </c>
      <c r="D2426" s="508">
        <v>247.51</v>
      </c>
      <c r="E2426" s="461" t="s">
        <v>174</v>
      </c>
    </row>
    <row r="2427" spans="1:5" ht="27" x14ac:dyDescent="0.25">
      <c r="A2427" s="508">
        <v>92467</v>
      </c>
      <c r="B2427" s="509" t="s">
        <v>2423</v>
      </c>
      <c r="C2427" s="508" t="s">
        <v>150</v>
      </c>
      <c r="D2427" s="508">
        <v>96.26</v>
      </c>
      <c r="E2427" s="461" t="s">
        <v>174</v>
      </c>
    </row>
    <row r="2428" spans="1:5" ht="27" x14ac:dyDescent="0.25">
      <c r="A2428" s="508">
        <v>92468</v>
      </c>
      <c r="B2428" s="509" t="s">
        <v>2424</v>
      </c>
      <c r="C2428" s="508" t="s">
        <v>150</v>
      </c>
      <c r="D2428" s="508">
        <v>116.84</v>
      </c>
      <c r="E2428" s="461" t="s">
        <v>174</v>
      </c>
    </row>
    <row r="2429" spans="1:5" ht="27" x14ac:dyDescent="0.25">
      <c r="A2429" s="508">
        <v>92469</v>
      </c>
      <c r="B2429" s="509" t="s">
        <v>2425</v>
      </c>
      <c r="C2429" s="508" t="s">
        <v>150</v>
      </c>
      <c r="D2429" s="508">
        <v>135.61000000000001</v>
      </c>
      <c r="E2429" s="461" t="s">
        <v>174</v>
      </c>
    </row>
    <row r="2430" spans="1:5" ht="27" x14ac:dyDescent="0.25">
      <c r="A2430" s="508">
        <v>92470</v>
      </c>
      <c r="B2430" s="509" t="s">
        <v>2426</v>
      </c>
      <c r="C2430" s="508" t="s">
        <v>150</v>
      </c>
      <c r="D2430" s="508">
        <v>240.43</v>
      </c>
      <c r="E2430" s="461" t="s">
        <v>174</v>
      </c>
    </row>
    <row r="2431" spans="1:5" ht="27" x14ac:dyDescent="0.25">
      <c r="A2431" s="508">
        <v>92471</v>
      </c>
      <c r="B2431" s="509" t="s">
        <v>2427</v>
      </c>
      <c r="C2431" s="508" t="s">
        <v>150</v>
      </c>
      <c r="D2431" s="508">
        <v>87.94</v>
      </c>
      <c r="E2431" s="461" t="s">
        <v>174</v>
      </c>
    </row>
    <row r="2432" spans="1:5" ht="27" x14ac:dyDescent="0.25">
      <c r="A2432" s="508">
        <v>92472</v>
      </c>
      <c r="B2432" s="509" t="s">
        <v>2428</v>
      </c>
      <c r="C2432" s="508" t="s">
        <v>150</v>
      </c>
      <c r="D2432" s="508">
        <v>110.73</v>
      </c>
      <c r="E2432" s="461" t="s">
        <v>174</v>
      </c>
    </row>
    <row r="2433" spans="1:5" ht="27" x14ac:dyDescent="0.25">
      <c r="A2433" s="508">
        <v>92473</v>
      </c>
      <c r="B2433" s="509" t="s">
        <v>2429</v>
      </c>
      <c r="C2433" s="508" t="s">
        <v>150</v>
      </c>
      <c r="D2433" s="508">
        <v>125</v>
      </c>
      <c r="E2433" s="461" t="s">
        <v>174</v>
      </c>
    </row>
    <row r="2434" spans="1:5" ht="27" x14ac:dyDescent="0.25">
      <c r="A2434" s="508">
        <v>92474</v>
      </c>
      <c r="B2434" s="509" t="s">
        <v>2430</v>
      </c>
      <c r="C2434" s="508" t="s">
        <v>150</v>
      </c>
      <c r="D2434" s="508">
        <v>234.31</v>
      </c>
      <c r="E2434" s="461" t="s">
        <v>174</v>
      </c>
    </row>
    <row r="2435" spans="1:5" ht="27" x14ac:dyDescent="0.25">
      <c r="A2435" s="508">
        <v>92475</v>
      </c>
      <c r="B2435" s="509" t="s">
        <v>2431</v>
      </c>
      <c r="C2435" s="508" t="s">
        <v>150</v>
      </c>
      <c r="D2435" s="508">
        <v>81.14</v>
      </c>
      <c r="E2435" s="461" t="s">
        <v>174</v>
      </c>
    </row>
    <row r="2436" spans="1:5" ht="27" x14ac:dyDescent="0.25">
      <c r="A2436" s="508">
        <v>92476</v>
      </c>
      <c r="B2436" s="509" t="s">
        <v>2432</v>
      </c>
      <c r="C2436" s="508" t="s">
        <v>150</v>
      </c>
      <c r="D2436" s="508">
        <v>105.52</v>
      </c>
      <c r="E2436" s="461" t="s">
        <v>174</v>
      </c>
    </row>
    <row r="2437" spans="1:5" ht="27" x14ac:dyDescent="0.25">
      <c r="A2437" s="508">
        <v>92477</v>
      </c>
      <c r="B2437" s="509" t="s">
        <v>2433</v>
      </c>
      <c r="C2437" s="508" t="s">
        <v>150</v>
      </c>
      <c r="D2437" s="508">
        <v>102.48</v>
      </c>
      <c r="E2437" s="461" t="s">
        <v>174</v>
      </c>
    </row>
    <row r="2438" spans="1:5" ht="27" x14ac:dyDescent="0.25">
      <c r="A2438" s="508">
        <v>92478</v>
      </c>
      <c r="B2438" s="509" t="s">
        <v>2434</v>
      </c>
      <c r="C2438" s="508" t="s">
        <v>150</v>
      </c>
      <c r="D2438" s="508">
        <v>222.33</v>
      </c>
      <c r="E2438" s="461" t="s">
        <v>174</v>
      </c>
    </row>
    <row r="2439" spans="1:5" ht="27" x14ac:dyDescent="0.25">
      <c r="A2439" s="508">
        <v>92479</v>
      </c>
      <c r="B2439" s="509" t="s">
        <v>2435</v>
      </c>
      <c r="C2439" s="508" t="s">
        <v>150</v>
      </c>
      <c r="D2439" s="508">
        <v>66.72</v>
      </c>
      <c r="E2439" s="461" t="s">
        <v>174</v>
      </c>
    </row>
    <row r="2440" spans="1:5" ht="27" x14ac:dyDescent="0.25">
      <c r="A2440" s="508">
        <v>92480</v>
      </c>
      <c r="B2440" s="509" t="s">
        <v>2436</v>
      </c>
      <c r="C2440" s="508" t="s">
        <v>150</v>
      </c>
      <c r="D2440" s="508">
        <v>95.18</v>
      </c>
      <c r="E2440" s="461" t="s">
        <v>174</v>
      </c>
    </row>
    <row r="2441" spans="1:5" ht="27" x14ac:dyDescent="0.25">
      <c r="A2441" s="508">
        <v>92482</v>
      </c>
      <c r="B2441" s="509" t="s">
        <v>2437</v>
      </c>
      <c r="C2441" s="508" t="s">
        <v>150</v>
      </c>
      <c r="D2441" s="508">
        <v>357.16</v>
      </c>
      <c r="E2441" s="461" t="s">
        <v>174</v>
      </c>
    </row>
    <row r="2442" spans="1:5" ht="27" x14ac:dyDescent="0.25">
      <c r="A2442" s="508">
        <v>92484</v>
      </c>
      <c r="B2442" s="509" t="s">
        <v>2438</v>
      </c>
      <c r="C2442" s="508" t="s">
        <v>150</v>
      </c>
      <c r="D2442" s="508">
        <v>246.92</v>
      </c>
      <c r="E2442" s="461" t="s">
        <v>174</v>
      </c>
    </row>
    <row r="2443" spans="1:5" ht="27" x14ac:dyDescent="0.25">
      <c r="A2443" s="508">
        <v>92486</v>
      </c>
      <c r="B2443" s="509" t="s">
        <v>2439</v>
      </c>
      <c r="C2443" s="508" t="s">
        <v>150</v>
      </c>
      <c r="D2443" s="508">
        <v>176.46</v>
      </c>
      <c r="E2443" s="461" t="s">
        <v>174</v>
      </c>
    </row>
    <row r="2444" spans="1:5" ht="27" x14ac:dyDescent="0.25">
      <c r="A2444" s="508">
        <v>92488</v>
      </c>
      <c r="B2444" s="509" t="s">
        <v>2440</v>
      </c>
      <c r="C2444" s="508" t="s">
        <v>150</v>
      </c>
      <c r="D2444" s="508">
        <v>110.75</v>
      </c>
      <c r="E2444" s="461" t="s">
        <v>174</v>
      </c>
    </row>
    <row r="2445" spans="1:5" ht="27" x14ac:dyDescent="0.25">
      <c r="A2445" s="508">
        <v>92490</v>
      </c>
      <c r="B2445" s="509" t="s">
        <v>2441</v>
      </c>
      <c r="C2445" s="508" t="s">
        <v>150</v>
      </c>
      <c r="D2445" s="508">
        <v>72.81</v>
      </c>
      <c r="E2445" s="461" t="s">
        <v>174</v>
      </c>
    </row>
    <row r="2446" spans="1:5" ht="27" x14ac:dyDescent="0.25">
      <c r="A2446" s="508">
        <v>92492</v>
      </c>
      <c r="B2446" s="509" t="s">
        <v>2442</v>
      </c>
      <c r="C2446" s="508" t="s">
        <v>150</v>
      </c>
      <c r="D2446" s="508">
        <v>104.96</v>
      </c>
      <c r="E2446" s="461" t="s">
        <v>174</v>
      </c>
    </row>
    <row r="2447" spans="1:5" ht="27" x14ac:dyDescent="0.25">
      <c r="A2447" s="508">
        <v>92494</v>
      </c>
      <c r="B2447" s="509" t="s">
        <v>2443</v>
      </c>
      <c r="C2447" s="508" t="s">
        <v>150</v>
      </c>
      <c r="D2447" s="508">
        <v>68.23</v>
      </c>
      <c r="E2447" s="461" t="s">
        <v>174</v>
      </c>
    </row>
    <row r="2448" spans="1:5" ht="27" x14ac:dyDescent="0.25">
      <c r="A2448" s="508">
        <v>92496</v>
      </c>
      <c r="B2448" s="509" t="s">
        <v>2444</v>
      </c>
      <c r="C2448" s="508" t="s">
        <v>150</v>
      </c>
      <c r="D2448" s="508">
        <v>100.05</v>
      </c>
      <c r="E2448" s="461" t="s">
        <v>174</v>
      </c>
    </row>
    <row r="2449" spans="1:5" ht="27" x14ac:dyDescent="0.25">
      <c r="A2449" s="508">
        <v>92498</v>
      </c>
      <c r="B2449" s="509" t="s">
        <v>2445</v>
      </c>
      <c r="C2449" s="508" t="s">
        <v>150</v>
      </c>
      <c r="D2449" s="508">
        <v>64.36</v>
      </c>
      <c r="E2449" s="461" t="s">
        <v>174</v>
      </c>
    </row>
    <row r="2450" spans="1:5" ht="27" x14ac:dyDescent="0.25">
      <c r="A2450" s="508">
        <v>92500</v>
      </c>
      <c r="B2450" s="509" t="s">
        <v>2446</v>
      </c>
      <c r="C2450" s="508" t="s">
        <v>150</v>
      </c>
      <c r="D2450" s="508">
        <v>96.01</v>
      </c>
      <c r="E2450" s="461" t="s">
        <v>174</v>
      </c>
    </row>
    <row r="2451" spans="1:5" ht="27" x14ac:dyDescent="0.25">
      <c r="A2451" s="508">
        <v>92502</v>
      </c>
      <c r="B2451" s="509" t="s">
        <v>2447</v>
      </c>
      <c r="C2451" s="508" t="s">
        <v>150</v>
      </c>
      <c r="D2451" s="508">
        <v>61.33</v>
      </c>
      <c r="E2451" s="461" t="s">
        <v>174</v>
      </c>
    </row>
    <row r="2452" spans="1:5" ht="27" x14ac:dyDescent="0.25">
      <c r="A2452" s="508">
        <v>92504</v>
      </c>
      <c r="B2452" s="509" t="s">
        <v>2448</v>
      </c>
      <c r="C2452" s="508" t="s">
        <v>150</v>
      </c>
      <c r="D2452" s="508">
        <v>88.68</v>
      </c>
      <c r="E2452" s="461" t="s">
        <v>174</v>
      </c>
    </row>
    <row r="2453" spans="1:5" ht="27" x14ac:dyDescent="0.25">
      <c r="A2453" s="508">
        <v>92506</v>
      </c>
      <c r="B2453" s="509" t="s">
        <v>2449</v>
      </c>
      <c r="C2453" s="508" t="s">
        <v>150</v>
      </c>
      <c r="D2453" s="508">
        <v>55.76</v>
      </c>
      <c r="E2453" s="461" t="s">
        <v>174</v>
      </c>
    </row>
    <row r="2454" spans="1:5" ht="27" x14ac:dyDescent="0.25">
      <c r="A2454" s="508">
        <v>92508</v>
      </c>
      <c r="B2454" s="509" t="s">
        <v>2450</v>
      </c>
      <c r="C2454" s="508" t="s">
        <v>150</v>
      </c>
      <c r="D2454" s="508">
        <v>104.24</v>
      </c>
      <c r="E2454" s="461" t="s">
        <v>174</v>
      </c>
    </row>
    <row r="2455" spans="1:5" ht="27" x14ac:dyDescent="0.25">
      <c r="A2455" s="508">
        <v>92510</v>
      </c>
      <c r="B2455" s="509" t="s">
        <v>2451</v>
      </c>
      <c r="C2455" s="508" t="s">
        <v>150</v>
      </c>
      <c r="D2455" s="508">
        <v>64.180000000000007</v>
      </c>
      <c r="E2455" s="461" t="s">
        <v>174</v>
      </c>
    </row>
    <row r="2456" spans="1:5" ht="27" x14ac:dyDescent="0.25">
      <c r="A2456" s="508">
        <v>92512</v>
      </c>
      <c r="B2456" s="509" t="s">
        <v>2452</v>
      </c>
      <c r="C2456" s="508" t="s">
        <v>150</v>
      </c>
      <c r="D2456" s="508">
        <v>90.15</v>
      </c>
      <c r="E2456" s="461" t="s">
        <v>174</v>
      </c>
    </row>
    <row r="2457" spans="1:5" ht="27" x14ac:dyDescent="0.25">
      <c r="A2457" s="508">
        <v>92514</v>
      </c>
      <c r="B2457" s="509" t="s">
        <v>2453</v>
      </c>
      <c r="C2457" s="508" t="s">
        <v>150</v>
      </c>
      <c r="D2457" s="508">
        <v>51.4</v>
      </c>
      <c r="E2457" s="461" t="s">
        <v>174</v>
      </c>
    </row>
    <row r="2458" spans="1:5" ht="27" x14ac:dyDescent="0.25">
      <c r="A2458" s="508">
        <v>92515</v>
      </c>
      <c r="B2458" s="509" t="s">
        <v>2454</v>
      </c>
      <c r="C2458" s="508" t="s">
        <v>150</v>
      </c>
      <c r="D2458" s="508">
        <v>82.79</v>
      </c>
      <c r="E2458" s="461" t="s">
        <v>174</v>
      </c>
    </row>
    <row r="2459" spans="1:5" ht="27" x14ac:dyDescent="0.25">
      <c r="A2459" s="508">
        <v>92518</v>
      </c>
      <c r="B2459" s="509" t="s">
        <v>2455</v>
      </c>
      <c r="C2459" s="508" t="s">
        <v>150</v>
      </c>
      <c r="D2459" s="508">
        <v>45.28</v>
      </c>
      <c r="E2459" s="461" t="s">
        <v>174</v>
      </c>
    </row>
    <row r="2460" spans="1:5" ht="27" x14ac:dyDescent="0.25">
      <c r="A2460" s="508">
        <v>92520</v>
      </c>
      <c r="B2460" s="509" t="s">
        <v>2456</v>
      </c>
      <c r="C2460" s="508" t="s">
        <v>150</v>
      </c>
      <c r="D2460" s="508">
        <v>77.75</v>
      </c>
      <c r="E2460" s="461" t="s">
        <v>174</v>
      </c>
    </row>
    <row r="2461" spans="1:5" ht="27" x14ac:dyDescent="0.25">
      <c r="A2461" s="508">
        <v>92522</v>
      </c>
      <c r="B2461" s="509" t="s">
        <v>2457</v>
      </c>
      <c r="C2461" s="508" t="s">
        <v>150</v>
      </c>
      <c r="D2461" s="508">
        <v>41.38</v>
      </c>
      <c r="E2461" s="461" t="s">
        <v>174</v>
      </c>
    </row>
    <row r="2462" spans="1:5" ht="27" x14ac:dyDescent="0.25">
      <c r="A2462" s="508">
        <v>92524</v>
      </c>
      <c r="B2462" s="509" t="s">
        <v>4372</v>
      </c>
      <c r="C2462" s="508" t="s">
        <v>150</v>
      </c>
      <c r="D2462" s="508">
        <v>76.77</v>
      </c>
      <c r="E2462" s="461" t="s">
        <v>174</v>
      </c>
    </row>
    <row r="2463" spans="1:5" ht="27" x14ac:dyDescent="0.25">
      <c r="A2463" s="508">
        <v>92526</v>
      </c>
      <c r="B2463" s="509" t="s">
        <v>2458</v>
      </c>
      <c r="C2463" s="508" t="s">
        <v>150</v>
      </c>
      <c r="D2463" s="508">
        <v>41.46</v>
      </c>
      <c r="E2463" s="461" t="s">
        <v>174</v>
      </c>
    </row>
    <row r="2464" spans="1:5" ht="27" x14ac:dyDescent="0.25">
      <c r="A2464" s="508">
        <v>92528</v>
      </c>
      <c r="B2464" s="509" t="s">
        <v>2459</v>
      </c>
      <c r="C2464" s="508" t="s">
        <v>150</v>
      </c>
      <c r="D2464" s="508">
        <v>73.36</v>
      </c>
      <c r="E2464" s="461" t="s">
        <v>174</v>
      </c>
    </row>
    <row r="2465" spans="1:5" ht="27" x14ac:dyDescent="0.25">
      <c r="A2465" s="508">
        <v>92530</v>
      </c>
      <c r="B2465" s="509" t="s">
        <v>2460</v>
      </c>
      <c r="C2465" s="508" t="s">
        <v>150</v>
      </c>
      <c r="D2465" s="508">
        <v>39.04</v>
      </c>
      <c r="E2465" s="461" t="s">
        <v>174</v>
      </c>
    </row>
    <row r="2466" spans="1:5" ht="27" x14ac:dyDescent="0.25">
      <c r="A2466" s="508">
        <v>92532</v>
      </c>
      <c r="B2466" s="509" t="s">
        <v>2461</v>
      </c>
      <c r="C2466" s="508" t="s">
        <v>150</v>
      </c>
      <c r="D2466" s="508">
        <v>70.41</v>
      </c>
      <c r="E2466" s="461" t="s">
        <v>174</v>
      </c>
    </row>
    <row r="2467" spans="1:5" ht="27" x14ac:dyDescent="0.25">
      <c r="A2467" s="508">
        <v>92534</v>
      </c>
      <c r="B2467" s="509" t="s">
        <v>2462</v>
      </c>
      <c r="C2467" s="508" t="s">
        <v>150</v>
      </c>
      <c r="D2467" s="508">
        <v>36.97</v>
      </c>
      <c r="E2467" s="461" t="s">
        <v>174</v>
      </c>
    </row>
    <row r="2468" spans="1:5" ht="27" x14ac:dyDescent="0.25">
      <c r="A2468" s="508">
        <v>92536</v>
      </c>
      <c r="B2468" s="509" t="s">
        <v>2463</v>
      </c>
      <c r="C2468" s="508" t="s">
        <v>150</v>
      </c>
      <c r="D2468" s="508">
        <v>64.73</v>
      </c>
      <c r="E2468" s="461" t="s">
        <v>174</v>
      </c>
    </row>
    <row r="2469" spans="1:5" ht="27" x14ac:dyDescent="0.25">
      <c r="A2469" s="508">
        <v>92538</v>
      </c>
      <c r="B2469" s="509" t="s">
        <v>2464</v>
      </c>
      <c r="C2469" s="508" t="s">
        <v>150</v>
      </c>
      <c r="D2469" s="508">
        <v>32.86</v>
      </c>
      <c r="E2469" s="461" t="s">
        <v>174</v>
      </c>
    </row>
    <row r="2470" spans="1:5" ht="27" x14ac:dyDescent="0.25">
      <c r="A2470" s="508">
        <v>96252</v>
      </c>
      <c r="B2470" s="509" t="s">
        <v>13019</v>
      </c>
      <c r="C2470" s="508" t="s">
        <v>150</v>
      </c>
      <c r="D2470" s="508">
        <v>140.57</v>
      </c>
      <c r="E2470" s="461" t="s">
        <v>174</v>
      </c>
    </row>
    <row r="2471" spans="1:5" ht="27" x14ac:dyDescent="0.25">
      <c r="A2471" s="508">
        <v>96258</v>
      </c>
      <c r="B2471" s="509" t="s">
        <v>13020</v>
      </c>
      <c r="C2471" s="508" t="s">
        <v>150</v>
      </c>
      <c r="D2471" s="508">
        <v>140.54</v>
      </c>
      <c r="E2471" s="461" t="s">
        <v>174</v>
      </c>
    </row>
    <row r="2472" spans="1:5" ht="27" x14ac:dyDescent="0.25">
      <c r="A2472" s="508">
        <v>96529</v>
      </c>
      <c r="B2472" s="509" t="s">
        <v>5433</v>
      </c>
      <c r="C2472" s="508" t="s">
        <v>150</v>
      </c>
      <c r="D2472" s="508">
        <v>255.72</v>
      </c>
      <c r="E2472" s="461" t="s">
        <v>174</v>
      </c>
    </row>
    <row r="2473" spans="1:5" ht="27" x14ac:dyDescent="0.25">
      <c r="A2473" s="508">
        <v>96530</v>
      </c>
      <c r="B2473" s="509" t="s">
        <v>5434</v>
      </c>
      <c r="C2473" s="508" t="s">
        <v>150</v>
      </c>
      <c r="D2473" s="508">
        <v>140.01</v>
      </c>
      <c r="E2473" s="461" t="s">
        <v>174</v>
      </c>
    </row>
    <row r="2474" spans="1:5" ht="27" x14ac:dyDescent="0.25">
      <c r="A2474" s="508">
        <v>96531</v>
      </c>
      <c r="B2474" s="509" t="s">
        <v>5435</v>
      </c>
      <c r="C2474" s="508" t="s">
        <v>150</v>
      </c>
      <c r="D2474" s="508">
        <v>105.12</v>
      </c>
      <c r="E2474" s="461" t="s">
        <v>174</v>
      </c>
    </row>
    <row r="2475" spans="1:5" ht="27" x14ac:dyDescent="0.25">
      <c r="A2475" s="508">
        <v>96532</v>
      </c>
      <c r="B2475" s="509" t="s">
        <v>5436</v>
      </c>
      <c r="C2475" s="508" t="s">
        <v>150</v>
      </c>
      <c r="D2475" s="508">
        <v>176.84</v>
      </c>
      <c r="E2475" s="461" t="s">
        <v>174</v>
      </c>
    </row>
    <row r="2476" spans="1:5" ht="27" x14ac:dyDescent="0.25">
      <c r="A2476" s="508">
        <v>96533</v>
      </c>
      <c r="B2476" s="509" t="s">
        <v>5437</v>
      </c>
      <c r="C2476" s="508" t="s">
        <v>150</v>
      </c>
      <c r="D2476" s="508">
        <v>93.18</v>
      </c>
      <c r="E2476" s="461" t="s">
        <v>174</v>
      </c>
    </row>
    <row r="2477" spans="1:5" ht="27" x14ac:dyDescent="0.25">
      <c r="A2477" s="508">
        <v>96534</v>
      </c>
      <c r="B2477" s="509" t="s">
        <v>5438</v>
      </c>
      <c r="C2477" s="508" t="s">
        <v>150</v>
      </c>
      <c r="D2477" s="508">
        <v>79.72</v>
      </c>
      <c r="E2477" s="461" t="s">
        <v>174</v>
      </c>
    </row>
    <row r="2478" spans="1:5" ht="27" x14ac:dyDescent="0.25">
      <c r="A2478" s="508">
        <v>96535</v>
      </c>
      <c r="B2478" s="509" t="s">
        <v>5439</v>
      </c>
      <c r="C2478" s="508" t="s">
        <v>150</v>
      </c>
      <c r="D2478" s="508">
        <v>135.79</v>
      </c>
      <c r="E2478" s="461" t="s">
        <v>174</v>
      </c>
    </row>
    <row r="2479" spans="1:5" ht="27" x14ac:dyDescent="0.25">
      <c r="A2479" s="508">
        <v>96536</v>
      </c>
      <c r="B2479" s="509" t="s">
        <v>5440</v>
      </c>
      <c r="C2479" s="508" t="s">
        <v>150</v>
      </c>
      <c r="D2479" s="508">
        <v>68.8</v>
      </c>
      <c r="E2479" s="461" t="s">
        <v>174</v>
      </c>
    </row>
    <row r="2480" spans="1:5" ht="27" x14ac:dyDescent="0.25">
      <c r="A2480" s="508">
        <v>96537</v>
      </c>
      <c r="B2480" s="509" t="s">
        <v>5441</v>
      </c>
      <c r="C2480" s="508" t="s">
        <v>150</v>
      </c>
      <c r="D2480" s="508">
        <v>180.73</v>
      </c>
      <c r="E2480" s="461" t="s">
        <v>174</v>
      </c>
    </row>
    <row r="2481" spans="1:5" ht="27" x14ac:dyDescent="0.25">
      <c r="A2481" s="508">
        <v>96538</v>
      </c>
      <c r="B2481" s="509" t="s">
        <v>5442</v>
      </c>
      <c r="C2481" s="508" t="s">
        <v>150</v>
      </c>
      <c r="D2481" s="508">
        <v>246.17</v>
      </c>
      <c r="E2481" s="461" t="s">
        <v>174</v>
      </c>
    </row>
    <row r="2482" spans="1:5" ht="27" x14ac:dyDescent="0.25">
      <c r="A2482" s="508">
        <v>96539</v>
      </c>
      <c r="B2482" s="509" t="s">
        <v>5443</v>
      </c>
      <c r="C2482" s="508" t="s">
        <v>150</v>
      </c>
      <c r="D2482" s="508">
        <v>128.44999999999999</v>
      </c>
      <c r="E2482" s="461" t="s">
        <v>174</v>
      </c>
    </row>
    <row r="2483" spans="1:5" ht="27" x14ac:dyDescent="0.25">
      <c r="A2483" s="508">
        <v>96540</v>
      </c>
      <c r="B2483" s="509" t="s">
        <v>5444</v>
      </c>
      <c r="C2483" s="508" t="s">
        <v>150</v>
      </c>
      <c r="D2483" s="508">
        <v>130.54</v>
      </c>
      <c r="E2483" s="461" t="s">
        <v>174</v>
      </c>
    </row>
    <row r="2484" spans="1:5" ht="27" x14ac:dyDescent="0.25">
      <c r="A2484" s="508">
        <v>96541</v>
      </c>
      <c r="B2484" s="509" t="s">
        <v>5445</v>
      </c>
      <c r="C2484" s="508" t="s">
        <v>150</v>
      </c>
      <c r="D2484" s="508">
        <v>184.44</v>
      </c>
      <c r="E2484" s="461" t="s">
        <v>174</v>
      </c>
    </row>
    <row r="2485" spans="1:5" ht="27" x14ac:dyDescent="0.25">
      <c r="A2485" s="508">
        <v>96542</v>
      </c>
      <c r="B2485" s="509" t="s">
        <v>5446</v>
      </c>
      <c r="C2485" s="508" t="s">
        <v>150</v>
      </c>
      <c r="D2485" s="508">
        <v>97.75</v>
      </c>
      <c r="E2485" s="461" t="s">
        <v>174</v>
      </c>
    </row>
    <row r="2486" spans="1:5" ht="15" x14ac:dyDescent="0.25">
      <c r="A2486" s="508">
        <v>96543</v>
      </c>
      <c r="B2486" s="509" t="s">
        <v>5447</v>
      </c>
      <c r="C2486" s="508" t="s">
        <v>106</v>
      </c>
      <c r="D2486" s="508">
        <v>20.76</v>
      </c>
      <c r="E2486" s="461" t="s">
        <v>174</v>
      </c>
    </row>
    <row r="2487" spans="1:5" ht="27" x14ac:dyDescent="0.25">
      <c r="A2487" s="508">
        <v>101791</v>
      </c>
      <c r="B2487" s="509" t="s">
        <v>2465</v>
      </c>
      <c r="C2487" s="508" t="s">
        <v>5</v>
      </c>
      <c r="D2487" s="508">
        <v>24.33</v>
      </c>
      <c r="E2487" s="461" t="s">
        <v>174</v>
      </c>
    </row>
    <row r="2488" spans="1:5" ht="27" x14ac:dyDescent="0.25">
      <c r="A2488" s="508">
        <v>101792</v>
      </c>
      <c r="B2488" s="509" t="s">
        <v>2466</v>
      </c>
      <c r="C2488" s="508" t="s">
        <v>163</v>
      </c>
      <c r="D2488" s="508">
        <v>17.190000000000001</v>
      </c>
      <c r="E2488" s="461" t="s">
        <v>174</v>
      </c>
    </row>
    <row r="2489" spans="1:5" ht="27" x14ac:dyDescent="0.25">
      <c r="A2489" s="508">
        <v>101793</v>
      </c>
      <c r="B2489" s="509" t="s">
        <v>2467</v>
      </c>
      <c r="C2489" s="508" t="s">
        <v>163</v>
      </c>
      <c r="D2489" s="508">
        <v>25.77</v>
      </c>
      <c r="E2489" s="461" t="s">
        <v>174</v>
      </c>
    </row>
    <row r="2490" spans="1:5" ht="27" x14ac:dyDescent="0.25">
      <c r="A2490" s="508">
        <v>101969</v>
      </c>
      <c r="B2490" s="509" t="s">
        <v>2468</v>
      </c>
      <c r="C2490" s="508" t="s">
        <v>150</v>
      </c>
      <c r="D2490" s="508">
        <v>175.02</v>
      </c>
      <c r="E2490" s="461" t="s">
        <v>174</v>
      </c>
    </row>
    <row r="2491" spans="1:5" ht="27" x14ac:dyDescent="0.25">
      <c r="A2491" s="508">
        <v>101971</v>
      </c>
      <c r="B2491" s="509" t="s">
        <v>2469</v>
      </c>
      <c r="C2491" s="508" t="s">
        <v>150</v>
      </c>
      <c r="D2491" s="508">
        <v>139.05000000000001</v>
      </c>
      <c r="E2491" s="461" t="s">
        <v>174</v>
      </c>
    </row>
    <row r="2492" spans="1:5" ht="27" x14ac:dyDescent="0.25">
      <c r="A2492" s="508">
        <v>101973</v>
      </c>
      <c r="B2492" s="509" t="s">
        <v>2470</v>
      </c>
      <c r="C2492" s="508" t="s">
        <v>150</v>
      </c>
      <c r="D2492" s="508">
        <v>221.77</v>
      </c>
      <c r="E2492" s="461" t="s">
        <v>174</v>
      </c>
    </row>
    <row r="2493" spans="1:5" ht="27" x14ac:dyDescent="0.25">
      <c r="A2493" s="508">
        <v>101974</v>
      </c>
      <c r="B2493" s="509" t="s">
        <v>2471</v>
      </c>
      <c r="C2493" s="508" t="s">
        <v>150</v>
      </c>
      <c r="D2493" s="508">
        <v>517.63</v>
      </c>
      <c r="E2493" s="461" t="s">
        <v>174</v>
      </c>
    </row>
    <row r="2494" spans="1:5" ht="27" x14ac:dyDescent="0.25">
      <c r="A2494" s="508">
        <v>101975</v>
      </c>
      <c r="B2494" s="509" t="s">
        <v>2472</v>
      </c>
      <c r="C2494" s="508" t="s">
        <v>150</v>
      </c>
      <c r="D2494" s="508">
        <v>438.48</v>
      </c>
      <c r="E2494" s="461" t="s">
        <v>174</v>
      </c>
    </row>
    <row r="2495" spans="1:5" ht="27" x14ac:dyDescent="0.25">
      <c r="A2495" s="508">
        <v>101977</v>
      </c>
      <c r="B2495" s="509" t="s">
        <v>2473</v>
      </c>
      <c r="C2495" s="508" t="s">
        <v>150</v>
      </c>
      <c r="D2495" s="508">
        <v>314.89999999999998</v>
      </c>
      <c r="E2495" s="461" t="s">
        <v>174</v>
      </c>
    </row>
    <row r="2496" spans="1:5" ht="27" x14ac:dyDescent="0.25">
      <c r="A2496" s="508">
        <v>101980</v>
      </c>
      <c r="B2496" s="509" t="s">
        <v>2474</v>
      </c>
      <c r="C2496" s="508" t="s">
        <v>150</v>
      </c>
      <c r="D2496" s="508">
        <v>289.3</v>
      </c>
      <c r="E2496" s="461" t="s">
        <v>174</v>
      </c>
    </row>
    <row r="2497" spans="1:5" ht="27" x14ac:dyDescent="0.25">
      <c r="A2497" s="508">
        <v>101981</v>
      </c>
      <c r="B2497" s="509" t="s">
        <v>2475</v>
      </c>
      <c r="C2497" s="508" t="s">
        <v>150</v>
      </c>
      <c r="D2497" s="508">
        <v>249.92</v>
      </c>
      <c r="E2497" s="461" t="s">
        <v>174</v>
      </c>
    </row>
    <row r="2498" spans="1:5" ht="27" x14ac:dyDescent="0.25">
      <c r="A2498" s="508">
        <v>101982</v>
      </c>
      <c r="B2498" s="509" t="s">
        <v>2476</v>
      </c>
      <c r="C2498" s="508" t="s">
        <v>150</v>
      </c>
      <c r="D2498" s="508">
        <v>224.57</v>
      </c>
      <c r="E2498" s="461" t="s">
        <v>174</v>
      </c>
    </row>
    <row r="2499" spans="1:5" ht="27" x14ac:dyDescent="0.25">
      <c r="A2499" s="508">
        <v>101983</v>
      </c>
      <c r="B2499" s="509" t="s">
        <v>2477</v>
      </c>
      <c r="C2499" s="508" t="s">
        <v>150</v>
      </c>
      <c r="D2499" s="508">
        <v>208.65</v>
      </c>
      <c r="E2499" s="461" t="s">
        <v>174</v>
      </c>
    </row>
    <row r="2500" spans="1:5" ht="27" x14ac:dyDescent="0.25">
      <c r="A2500" s="508">
        <v>101985</v>
      </c>
      <c r="B2500" s="509" t="s">
        <v>2478</v>
      </c>
      <c r="C2500" s="508" t="s">
        <v>150</v>
      </c>
      <c r="D2500" s="508">
        <v>182.04</v>
      </c>
      <c r="E2500" s="461" t="s">
        <v>174</v>
      </c>
    </row>
    <row r="2501" spans="1:5" ht="27" x14ac:dyDescent="0.25">
      <c r="A2501" s="508">
        <v>101986</v>
      </c>
      <c r="B2501" s="509" t="s">
        <v>2479</v>
      </c>
      <c r="C2501" s="508" t="s">
        <v>150</v>
      </c>
      <c r="D2501" s="508">
        <v>136.32</v>
      </c>
      <c r="E2501" s="461" t="s">
        <v>174</v>
      </c>
    </row>
    <row r="2502" spans="1:5" ht="27" x14ac:dyDescent="0.25">
      <c r="A2502" s="508">
        <v>101987</v>
      </c>
      <c r="B2502" s="509" t="s">
        <v>2480</v>
      </c>
      <c r="C2502" s="508" t="s">
        <v>150</v>
      </c>
      <c r="D2502" s="508">
        <v>261.76</v>
      </c>
      <c r="E2502" s="461" t="s">
        <v>174</v>
      </c>
    </row>
    <row r="2503" spans="1:5" ht="27" x14ac:dyDescent="0.25">
      <c r="A2503" s="508">
        <v>101988</v>
      </c>
      <c r="B2503" s="509" t="s">
        <v>2481</v>
      </c>
      <c r="C2503" s="508" t="s">
        <v>150</v>
      </c>
      <c r="D2503" s="508">
        <v>183.02</v>
      </c>
      <c r="E2503" s="461" t="s">
        <v>174</v>
      </c>
    </row>
    <row r="2504" spans="1:5" ht="27" x14ac:dyDescent="0.25">
      <c r="A2504" s="508">
        <v>101989</v>
      </c>
      <c r="B2504" s="509" t="s">
        <v>2482</v>
      </c>
      <c r="C2504" s="508" t="s">
        <v>150</v>
      </c>
      <c r="D2504" s="508">
        <v>147.51</v>
      </c>
      <c r="E2504" s="461" t="s">
        <v>174</v>
      </c>
    </row>
    <row r="2505" spans="1:5" ht="27" x14ac:dyDescent="0.25">
      <c r="A2505" s="508">
        <v>101990</v>
      </c>
      <c r="B2505" s="509" t="s">
        <v>2483</v>
      </c>
      <c r="C2505" s="508" t="s">
        <v>150</v>
      </c>
      <c r="D2505" s="508">
        <v>238.73</v>
      </c>
      <c r="E2505" s="461" t="s">
        <v>174</v>
      </c>
    </row>
    <row r="2506" spans="1:5" ht="27" x14ac:dyDescent="0.25">
      <c r="A2506" s="508">
        <v>101991</v>
      </c>
      <c r="B2506" s="509" t="s">
        <v>2484</v>
      </c>
      <c r="C2506" s="508" t="s">
        <v>150</v>
      </c>
      <c r="D2506" s="508">
        <v>183.59</v>
      </c>
      <c r="E2506" s="461" t="s">
        <v>174</v>
      </c>
    </row>
    <row r="2507" spans="1:5" ht="27" x14ac:dyDescent="0.25">
      <c r="A2507" s="508">
        <v>101992</v>
      </c>
      <c r="B2507" s="509" t="s">
        <v>2485</v>
      </c>
      <c r="C2507" s="508" t="s">
        <v>150</v>
      </c>
      <c r="D2507" s="508">
        <v>139.88</v>
      </c>
      <c r="E2507" s="461" t="s">
        <v>174</v>
      </c>
    </row>
    <row r="2508" spans="1:5" ht="27" x14ac:dyDescent="0.25">
      <c r="A2508" s="508">
        <v>101993</v>
      </c>
      <c r="B2508" s="509" t="s">
        <v>2486</v>
      </c>
      <c r="C2508" s="508" t="s">
        <v>150</v>
      </c>
      <c r="D2508" s="508">
        <v>307.36</v>
      </c>
      <c r="E2508" s="461" t="s">
        <v>174</v>
      </c>
    </row>
    <row r="2509" spans="1:5" ht="27" x14ac:dyDescent="0.25">
      <c r="A2509" s="508">
        <v>101994</v>
      </c>
      <c r="B2509" s="509" t="s">
        <v>2487</v>
      </c>
      <c r="C2509" s="508" t="s">
        <v>150</v>
      </c>
      <c r="D2509" s="508">
        <v>192.96</v>
      </c>
      <c r="E2509" s="461" t="s">
        <v>174</v>
      </c>
    </row>
    <row r="2510" spans="1:5" ht="27" x14ac:dyDescent="0.25">
      <c r="A2510" s="508">
        <v>101995</v>
      </c>
      <c r="B2510" s="509" t="s">
        <v>2488</v>
      </c>
      <c r="C2510" s="508" t="s">
        <v>150</v>
      </c>
      <c r="D2510" s="508">
        <v>153.09</v>
      </c>
      <c r="E2510" s="461" t="s">
        <v>174</v>
      </c>
    </row>
    <row r="2511" spans="1:5" ht="27" x14ac:dyDescent="0.25">
      <c r="A2511" s="508">
        <v>101996</v>
      </c>
      <c r="B2511" s="509" t="s">
        <v>2489</v>
      </c>
      <c r="C2511" s="508" t="s">
        <v>150</v>
      </c>
      <c r="D2511" s="508">
        <v>256.54000000000002</v>
      </c>
      <c r="E2511" s="461" t="s">
        <v>174</v>
      </c>
    </row>
    <row r="2512" spans="1:5" ht="27" x14ac:dyDescent="0.25">
      <c r="A2512" s="508">
        <v>101997</v>
      </c>
      <c r="B2512" s="509" t="s">
        <v>2490</v>
      </c>
      <c r="C2512" s="508" t="s">
        <v>150</v>
      </c>
      <c r="D2512" s="508">
        <v>183.07</v>
      </c>
      <c r="E2512" s="461" t="s">
        <v>174</v>
      </c>
    </row>
    <row r="2513" spans="1:5" ht="27" x14ac:dyDescent="0.25">
      <c r="A2513" s="508">
        <v>101998</v>
      </c>
      <c r="B2513" s="509" t="s">
        <v>2491</v>
      </c>
      <c r="C2513" s="508" t="s">
        <v>150</v>
      </c>
      <c r="D2513" s="508">
        <v>138.37</v>
      </c>
      <c r="E2513" s="461" t="s">
        <v>174</v>
      </c>
    </row>
    <row r="2514" spans="1:5" ht="27" x14ac:dyDescent="0.25">
      <c r="A2514" s="508">
        <v>101999</v>
      </c>
      <c r="B2514" s="509" t="s">
        <v>2492</v>
      </c>
      <c r="C2514" s="508" t="s">
        <v>150</v>
      </c>
      <c r="D2514" s="508">
        <v>329.34</v>
      </c>
      <c r="E2514" s="461" t="s">
        <v>174</v>
      </c>
    </row>
    <row r="2515" spans="1:5" ht="27" x14ac:dyDescent="0.25">
      <c r="A2515" s="508">
        <v>102000</v>
      </c>
      <c r="B2515" s="509" t="s">
        <v>2493</v>
      </c>
      <c r="C2515" s="508" t="s">
        <v>150</v>
      </c>
      <c r="D2515" s="508">
        <v>532.82000000000005</v>
      </c>
      <c r="E2515" s="461" t="s">
        <v>174</v>
      </c>
    </row>
    <row r="2516" spans="1:5" ht="27" x14ac:dyDescent="0.25">
      <c r="A2516" s="508">
        <v>102001</v>
      </c>
      <c r="B2516" s="509" t="s">
        <v>2494</v>
      </c>
      <c r="C2516" s="508" t="s">
        <v>150</v>
      </c>
      <c r="D2516" s="508">
        <v>457.27</v>
      </c>
      <c r="E2516" s="461" t="s">
        <v>174</v>
      </c>
    </row>
    <row r="2517" spans="1:5" ht="27" x14ac:dyDescent="0.25">
      <c r="A2517" s="508">
        <v>102002</v>
      </c>
      <c r="B2517" s="509" t="s">
        <v>2495</v>
      </c>
      <c r="C2517" s="508" t="s">
        <v>150</v>
      </c>
      <c r="D2517" s="508">
        <v>305.58999999999997</v>
      </c>
      <c r="E2517" s="461" t="s">
        <v>174</v>
      </c>
    </row>
    <row r="2518" spans="1:5" ht="27" x14ac:dyDescent="0.25">
      <c r="A2518" s="508">
        <v>102003</v>
      </c>
      <c r="B2518" s="509" t="s">
        <v>2496</v>
      </c>
      <c r="C2518" s="508" t="s">
        <v>150</v>
      </c>
      <c r="D2518" s="508">
        <v>278.54000000000002</v>
      </c>
      <c r="E2518" s="461" t="s">
        <v>174</v>
      </c>
    </row>
    <row r="2519" spans="1:5" ht="27" x14ac:dyDescent="0.25">
      <c r="A2519" s="508">
        <v>102004</v>
      </c>
      <c r="B2519" s="509" t="s">
        <v>2497</v>
      </c>
      <c r="C2519" s="508" t="s">
        <v>150</v>
      </c>
      <c r="D2519" s="508">
        <v>243.73</v>
      </c>
      <c r="E2519" s="461" t="s">
        <v>174</v>
      </c>
    </row>
    <row r="2520" spans="1:5" ht="27" x14ac:dyDescent="0.25">
      <c r="A2520" s="508">
        <v>102005</v>
      </c>
      <c r="B2520" s="509" t="s">
        <v>2498</v>
      </c>
      <c r="C2520" s="508" t="s">
        <v>150</v>
      </c>
      <c r="D2520" s="508">
        <v>217.61</v>
      </c>
      <c r="E2520" s="461" t="s">
        <v>174</v>
      </c>
    </row>
    <row r="2521" spans="1:5" ht="27" x14ac:dyDescent="0.25">
      <c r="A2521" s="508">
        <v>102006</v>
      </c>
      <c r="B2521" s="509" t="s">
        <v>2499</v>
      </c>
      <c r="C2521" s="508" t="s">
        <v>150</v>
      </c>
      <c r="D2521" s="508">
        <v>201.2</v>
      </c>
      <c r="E2521" s="461" t="s">
        <v>174</v>
      </c>
    </row>
    <row r="2522" spans="1:5" ht="27" x14ac:dyDescent="0.25">
      <c r="A2522" s="508">
        <v>102007</v>
      </c>
      <c r="B2522" s="509" t="s">
        <v>2500</v>
      </c>
      <c r="C2522" s="508" t="s">
        <v>150</v>
      </c>
      <c r="D2522" s="508">
        <v>513.07000000000005</v>
      </c>
      <c r="E2522" s="461" t="s">
        <v>174</v>
      </c>
    </row>
    <row r="2523" spans="1:5" ht="27" x14ac:dyDescent="0.25">
      <c r="A2523" s="508">
        <v>102008</v>
      </c>
      <c r="B2523" s="509" t="s">
        <v>2501</v>
      </c>
      <c r="C2523" s="508" t="s">
        <v>150</v>
      </c>
      <c r="D2523" s="508">
        <v>427.08</v>
      </c>
      <c r="E2523" s="461" t="s">
        <v>174</v>
      </c>
    </row>
    <row r="2524" spans="1:5" ht="27" x14ac:dyDescent="0.25">
      <c r="A2524" s="508">
        <v>102009</v>
      </c>
      <c r="B2524" s="509" t="s">
        <v>2502</v>
      </c>
      <c r="C2524" s="508" t="s">
        <v>150</v>
      </c>
      <c r="D2524" s="508">
        <v>316.87</v>
      </c>
      <c r="E2524" s="461" t="s">
        <v>174</v>
      </c>
    </row>
    <row r="2525" spans="1:5" ht="27" x14ac:dyDescent="0.25">
      <c r="A2525" s="508">
        <v>102010</v>
      </c>
      <c r="B2525" s="509" t="s">
        <v>2503</v>
      </c>
      <c r="C2525" s="508" t="s">
        <v>150</v>
      </c>
      <c r="D2525" s="508">
        <v>288.42</v>
      </c>
      <c r="E2525" s="461" t="s">
        <v>174</v>
      </c>
    </row>
    <row r="2526" spans="1:5" ht="27" x14ac:dyDescent="0.25">
      <c r="A2526" s="508">
        <v>102011</v>
      </c>
      <c r="B2526" s="509" t="s">
        <v>2504</v>
      </c>
      <c r="C2526" s="508" t="s">
        <v>150</v>
      </c>
      <c r="D2526" s="508">
        <v>246.67</v>
      </c>
      <c r="E2526" s="461" t="s">
        <v>174</v>
      </c>
    </row>
    <row r="2527" spans="1:5" ht="27" x14ac:dyDescent="0.25">
      <c r="A2527" s="508">
        <v>102012</v>
      </c>
      <c r="B2527" s="509" t="s">
        <v>2505</v>
      </c>
      <c r="C2527" s="508" t="s">
        <v>150</v>
      </c>
      <c r="D2527" s="508">
        <v>220.44</v>
      </c>
      <c r="E2527" s="461" t="s">
        <v>174</v>
      </c>
    </row>
    <row r="2528" spans="1:5" ht="27" x14ac:dyDescent="0.25">
      <c r="A2528" s="508">
        <v>102013</v>
      </c>
      <c r="B2528" s="509" t="s">
        <v>2506</v>
      </c>
      <c r="C2528" s="508" t="s">
        <v>150</v>
      </c>
      <c r="D2528" s="508">
        <v>205.79</v>
      </c>
      <c r="E2528" s="461" t="s">
        <v>174</v>
      </c>
    </row>
    <row r="2529" spans="1:5" ht="27" x14ac:dyDescent="0.25">
      <c r="A2529" s="508">
        <v>102014</v>
      </c>
      <c r="B2529" s="509" t="s">
        <v>2507</v>
      </c>
      <c r="C2529" s="508" t="s">
        <v>150</v>
      </c>
      <c r="D2529" s="508">
        <v>578.53</v>
      </c>
      <c r="E2529" s="461" t="s">
        <v>174</v>
      </c>
    </row>
    <row r="2530" spans="1:5" ht="27" x14ac:dyDescent="0.25">
      <c r="A2530" s="508">
        <v>102015</v>
      </c>
      <c r="B2530" s="509" t="s">
        <v>2508</v>
      </c>
      <c r="C2530" s="508" t="s">
        <v>150</v>
      </c>
      <c r="D2530" s="508">
        <v>483.37</v>
      </c>
      <c r="E2530" s="461" t="s">
        <v>174</v>
      </c>
    </row>
    <row r="2531" spans="1:5" ht="27" x14ac:dyDescent="0.25">
      <c r="A2531" s="508">
        <v>102016</v>
      </c>
      <c r="B2531" s="509" t="s">
        <v>2509</v>
      </c>
      <c r="C2531" s="508" t="s">
        <v>150</v>
      </c>
      <c r="D2531" s="508">
        <v>304.64</v>
      </c>
      <c r="E2531" s="461" t="s">
        <v>174</v>
      </c>
    </row>
    <row r="2532" spans="1:5" ht="27" x14ac:dyDescent="0.25">
      <c r="A2532" s="508">
        <v>102017</v>
      </c>
      <c r="B2532" s="509" t="s">
        <v>2510</v>
      </c>
      <c r="C2532" s="508" t="s">
        <v>150</v>
      </c>
      <c r="D2532" s="508">
        <v>275.51</v>
      </c>
      <c r="E2532" s="461" t="s">
        <v>174</v>
      </c>
    </row>
    <row r="2533" spans="1:5" ht="27" x14ac:dyDescent="0.25">
      <c r="A2533" s="508">
        <v>102036</v>
      </c>
      <c r="B2533" s="509" t="s">
        <v>2511</v>
      </c>
      <c r="C2533" s="508" t="s">
        <v>150</v>
      </c>
      <c r="D2533" s="508">
        <v>238.78</v>
      </c>
      <c r="E2533" s="461" t="s">
        <v>174</v>
      </c>
    </row>
    <row r="2534" spans="1:5" ht="27" x14ac:dyDescent="0.25">
      <c r="A2534" s="508">
        <v>102037</v>
      </c>
      <c r="B2534" s="509" t="s">
        <v>2512</v>
      </c>
      <c r="C2534" s="508" t="s">
        <v>150</v>
      </c>
      <c r="D2534" s="508">
        <v>212.49</v>
      </c>
      <c r="E2534" s="461" t="s">
        <v>174</v>
      </c>
    </row>
    <row r="2535" spans="1:5" ht="27" x14ac:dyDescent="0.25">
      <c r="A2535" s="508">
        <v>102038</v>
      </c>
      <c r="B2535" s="509" t="s">
        <v>2513</v>
      </c>
      <c r="C2535" s="508" t="s">
        <v>150</v>
      </c>
      <c r="D2535" s="508">
        <v>197.81</v>
      </c>
      <c r="E2535" s="461" t="s">
        <v>174</v>
      </c>
    </row>
    <row r="2536" spans="1:5" ht="27" x14ac:dyDescent="0.25">
      <c r="A2536" s="508">
        <v>102039</v>
      </c>
      <c r="B2536" s="509" t="s">
        <v>2514</v>
      </c>
      <c r="C2536" s="508" t="s">
        <v>150</v>
      </c>
      <c r="D2536" s="508">
        <v>536.70000000000005</v>
      </c>
      <c r="E2536" s="461" t="s">
        <v>174</v>
      </c>
    </row>
    <row r="2537" spans="1:5" ht="27" x14ac:dyDescent="0.25">
      <c r="A2537" s="508">
        <v>102040</v>
      </c>
      <c r="B2537" s="509" t="s">
        <v>2515</v>
      </c>
      <c r="C2537" s="508" t="s">
        <v>150</v>
      </c>
      <c r="D2537" s="508">
        <v>445.54</v>
      </c>
      <c r="E2537" s="461" t="s">
        <v>174</v>
      </c>
    </row>
    <row r="2538" spans="1:5" ht="27" x14ac:dyDescent="0.25">
      <c r="A2538" s="508">
        <v>102041</v>
      </c>
      <c r="B2538" s="509" t="s">
        <v>2516</v>
      </c>
      <c r="C2538" s="508" t="s">
        <v>150</v>
      </c>
      <c r="D2538" s="508">
        <v>316.14</v>
      </c>
      <c r="E2538" s="461" t="s">
        <v>174</v>
      </c>
    </row>
    <row r="2539" spans="1:5" ht="27" x14ac:dyDescent="0.25">
      <c r="A2539" s="508">
        <v>102042</v>
      </c>
      <c r="B2539" s="509" t="s">
        <v>2517</v>
      </c>
      <c r="C2539" s="508" t="s">
        <v>150</v>
      </c>
      <c r="D2539" s="508">
        <v>284.81</v>
      </c>
      <c r="E2539" s="461" t="s">
        <v>174</v>
      </c>
    </row>
    <row r="2540" spans="1:5" ht="27" x14ac:dyDescent="0.25">
      <c r="A2540" s="508">
        <v>102043</v>
      </c>
      <c r="B2540" s="509" t="s">
        <v>2518</v>
      </c>
      <c r="C2540" s="508" t="s">
        <v>150</v>
      </c>
      <c r="D2540" s="508">
        <v>244.3</v>
      </c>
      <c r="E2540" s="461" t="s">
        <v>174</v>
      </c>
    </row>
    <row r="2541" spans="1:5" ht="27" x14ac:dyDescent="0.25">
      <c r="A2541" s="508">
        <v>102044</v>
      </c>
      <c r="B2541" s="509" t="s">
        <v>2519</v>
      </c>
      <c r="C2541" s="508" t="s">
        <v>150</v>
      </c>
      <c r="D2541" s="508">
        <v>218.92</v>
      </c>
      <c r="E2541" s="461" t="s">
        <v>174</v>
      </c>
    </row>
    <row r="2542" spans="1:5" ht="27" x14ac:dyDescent="0.25">
      <c r="A2542" s="508">
        <v>102045</v>
      </c>
      <c r="B2542" s="509" t="s">
        <v>2520</v>
      </c>
      <c r="C2542" s="508" t="s">
        <v>150</v>
      </c>
      <c r="D2542" s="508">
        <v>203.67</v>
      </c>
      <c r="E2542" s="461" t="s">
        <v>174</v>
      </c>
    </row>
    <row r="2543" spans="1:5" ht="27" x14ac:dyDescent="0.25">
      <c r="A2543" s="508">
        <v>102046</v>
      </c>
      <c r="B2543" s="509" t="s">
        <v>2521</v>
      </c>
      <c r="C2543" s="508" t="s">
        <v>150</v>
      </c>
      <c r="D2543" s="508">
        <v>590.47</v>
      </c>
      <c r="E2543" s="461" t="s">
        <v>174</v>
      </c>
    </row>
    <row r="2544" spans="1:5" ht="27" x14ac:dyDescent="0.25">
      <c r="A2544" s="508">
        <v>102047</v>
      </c>
      <c r="B2544" s="509" t="s">
        <v>2522</v>
      </c>
      <c r="C2544" s="508" t="s">
        <v>150</v>
      </c>
      <c r="D2544" s="510">
        <v>502.08</v>
      </c>
      <c r="E2544" s="461" t="s">
        <v>174</v>
      </c>
    </row>
    <row r="2545" spans="1:6" ht="27" x14ac:dyDescent="0.25">
      <c r="A2545" s="508">
        <v>102048</v>
      </c>
      <c r="B2545" s="509" t="s">
        <v>2523</v>
      </c>
      <c r="C2545" s="508" t="s">
        <v>150</v>
      </c>
      <c r="D2545" s="508">
        <v>296.58999999999997</v>
      </c>
      <c r="E2545" s="461" t="s">
        <v>174</v>
      </c>
    </row>
    <row r="2546" spans="1:6" ht="27" x14ac:dyDescent="0.25">
      <c r="A2546" s="508">
        <v>102049</v>
      </c>
      <c r="B2546" s="509" t="s">
        <v>2524</v>
      </c>
      <c r="C2546" s="508" t="s">
        <v>150</v>
      </c>
      <c r="D2546" s="510">
        <v>263.67</v>
      </c>
      <c r="E2546" s="461" t="s">
        <v>174</v>
      </c>
    </row>
    <row r="2547" spans="1:6" ht="27" x14ac:dyDescent="0.25">
      <c r="A2547" s="508">
        <v>102050</v>
      </c>
      <c r="B2547" s="509" t="s">
        <v>2525</v>
      </c>
      <c r="C2547" s="508" t="s">
        <v>150</v>
      </c>
      <c r="D2547" s="508">
        <v>228.96</v>
      </c>
      <c r="E2547" s="461" t="s">
        <v>174</v>
      </c>
    </row>
    <row r="2548" spans="1:6" ht="27" x14ac:dyDescent="0.25">
      <c r="A2548" s="508">
        <v>102051</v>
      </c>
      <c r="B2548" s="509" t="s">
        <v>2526</v>
      </c>
      <c r="C2548" s="508" t="s">
        <v>150</v>
      </c>
      <c r="D2548" s="508">
        <v>202.74</v>
      </c>
      <c r="E2548" s="461" t="s">
        <v>174</v>
      </c>
    </row>
    <row r="2549" spans="1:6" ht="27" x14ac:dyDescent="0.25">
      <c r="A2549" s="508">
        <v>102052</v>
      </c>
      <c r="B2549" s="509" t="s">
        <v>2527</v>
      </c>
      <c r="C2549" s="508" t="s">
        <v>150</v>
      </c>
      <c r="D2549" s="508">
        <v>188.08</v>
      </c>
      <c r="E2549" s="461" t="s">
        <v>174</v>
      </c>
    </row>
    <row r="2550" spans="1:6" ht="27" x14ac:dyDescent="0.25">
      <c r="A2550" s="508">
        <v>102059</v>
      </c>
      <c r="B2550" s="509" t="s">
        <v>2528</v>
      </c>
      <c r="C2550" s="508" t="s">
        <v>150</v>
      </c>
      <c r="D2550" s="508">
        <v>497.87</v>
      </c>
      <c r="E2550" s="461" t="s">
        <v>174</v>
      </c>
      <c r="F2550" s="140"/>
    </row>
    <row r="2551" spans="1:6" ht="27" x14ac:dyDescent="0.25">
      <c r="A2551" s="508">
        <v>102060</v>
      </c>
      <c r="B2551" s="509" t="s">
        <v>2529</v>
      </c>
      <c r="C2551" s="508" t="s">
        <v>150</v>
      </c>
      <c r="D2551" s="508">
        <v>416.83</v>
      </c>
      <c r="E2551" s="461" t="s">
        <v>174</v>
      </c>
    </row>
    <row r="2552" spans="1:6" ht="27" x14ac:dyDescent="0.25">
      <c r="A2552" s="508">
        <v>102061</v>
      </c>
      <c r="B2552" s="509" t="s">
        <v>2530</v>
      </c>
      <c r="C2552" s="508" t="s">
        <v>150</v>
      </c>
      <c r="D2552" s="508">
        <v>291.92</v>
      </c>
      <c r="E2552" s="461" t="s">
        <v>174</v>
      </c>
    </row>
    <row r="2553" spans="1:6" ht="27" x14ac:dyDescent="0.25">
      <c r="A2553" s="508">
        <v>102062</v>
      </c>
      <c r="B2553" s="509" t="s">
        <v>2531</v>
      </c>
      <c r="C2553" s="508" t="s">
        <v>150</v>
      </c>
      <c r="D2553" s="508">
        <v>269.39999999999998</v>
      </c>
      <c r="E2553" s="461" t="s">
        <v>174</v>
      </c>
    </row>
    <row r="2554" spans="1:6" ht="27" x14ac:dyDescent="0.25">
      <c r="A2554" s="508">
        <v>102063</v>
      </c>
      <c r="B2554" s="509" t="s">
        <v>2532</v>
      </c>
      <c r="C2554" s="508" t="s">
        <v>150</v>
      </c>
      <c r="D2554" s="508">
        <v>230.38</v>
      </c>
      <c r="E2554" s="461" t="s">
        <v>174</v>
      </c>
    </row>
    <row r="2555" spans="1:6" ht="27" x14ac:dyDescent="0.25">
      <c r="A2555" s="508">
        <v>102064</v>
      </c>
      <c r="B2555" s="509" t="s">
        <v>2533</v>
      </c>
      <c r="C2555" s="508" t="s">
        <v>150</v>
      </c>
      <c r="D2555" s="508">
        <v>204.87</v>
      </c>
      <c r="E2555" s="461" t="s">
        <v>174</v>
      </c>
    </row>
    <row r="2556" spans="1:6" ht="27" x14ac:dyDescent="0.25">
      <c r="A2556" s="508">
        <v>102065</v>
      </c>
      <c r="B2556" s="509" t="s">
        <v>2534</v>
      </c>
      <c r="C2556" s="508" t="s">
        <v>150</v>
      </c>
      <c r="D2556" s="508">
        <v>190.66</v>
      </c>
      <c r="E2556" s="461" t="s">
        <v>174</v>
      </c>
    </row>
    <row r="2557" spans="1:6" ht="27" x14ac:dyDescent="0.25">
      <c r="A2557" s="508">
        <v>102066</v>
      </c>
      <c r="B2557" s="509" t="s">
        <v>2535</v>
      </c>
      <c r="C2557" s="508" t="s">
        <v>150</v>
      </c>
      <c r="D2557" s="508">
        <v>523.58000000000004</v>
      </c>
      <c r="E2557" s="461" t="s">
        <v>174</v>
      </c>
    </row>
    <row r="2558" spans="1:6" ht="27" x14ac:dyDescent="0.25">
      <c r="A2558" s="508">
        <v>102067</v>
      </c>
      <c r="B2558" s="509" t="s">
        <v>2536</v>
      </c>
      <c r="C2558" s="508" t="s">
        <v>150</v>
      </c>
      <c r="D2558" s="508">
        <v>447.11</v>
      </c>
      <c r="E2558" s="461" t="s">
        <v>174</v>
      </c>
    </row>
    <row r="2559" spans="1:6" ht="27" x14ac:dyDescent="0.25">
      <c r="A2559" s="508">
        <v>102068</v>
      </c>
      <c r="B2559" s="509" t="s">
        <v>2537</v>
      </c>
      <c r="C2559" s="508" t="s">
        <v>150</v>
      </c>
      <c r="D2559" s="508">
        <v>271.25</v>
      </c>
      <c r="E2559" s="461" t="s">
        <v>174</v>
      </c>
    </row>
    <row r="2560" spans="1:6" ht="27" x14ac:dyDescent="0.25">
      <c r="A2560" s="508">
        <v>102069</v>
      </c>
      <c r="B2560" s="509" t="s">
        <v>2538</v>
      </c>
      <c r="C2560" s="508" t="s">
        <v>150</v>
      </c>
      <c r="D2560" s="508">
        <v>248.05</v>
      </c>
      <c r="E2560" s="461" t="s">
        <v>174</v>
      </c>
    </row>
    <row r="2561" spans="1:5" ht="27" x14ac:dyDescent="0.25">
      <c r="A2561" s="508">
        <v>102070</v>
      </c>
      <c r="B2561" s="509" t="s">
        <v>2539</v>
      </c>
      <c r="C2561" s="508" t="s">
        <v>150</v>
      </c>
      <c r="D2561" s="508">
        <v>215.53</v>
      </c>
      <c r="E2561" s="461" t="s">
        <v>174</v>
      </c>
    </row>
    <row r="2562" spans="1:5" ht="27" x14ac:dyDescent="0.25">
      <c r="A2562" s="508">
        <v>102071</v>
      </c>
      <c r="B2562" s="509" t="s">
        <v>2540</v>
      </c>
      <c r="C2562" s="508" t="s">
        <v>150</v>
      </c>
      <c r="D2562" s="508">
        <v>191.33</v>
      </c>
      <c r="E2562" s="461" t="s">
        <v>174</v>
      </c>
    </row>
    <row r="2563" spans="1:5" ht="27" x14ac:dyDescent="0.25">
      <c r="A2563" s="508">
        <v>102072</v>
      </c>
      <c r="B2563" s="509" t="s">
        <v>2541</v>
      </c>
      <c r="C2563" s="508" t="s">
        <v>150</v>
      </c>
      <c r="D2563" s="508">
        <v>182.2</v>
      </c>
      <c r="E2563" s="461" t="s">
        <v>174</v>
      </c>
    </row>
    <row r="2564" spans="1:5" ht="27" x14ac:dyDescent="0.25">
      <c r="A2564" s="508">
        <v>102073</v>
      </c>
      <c r="B2564" s="509" t="s">
        <v>5448</v>
      </c>
      <c r="C2564" s="508" t="s">
        <v>163</v>
      </c>
      <c r="D2564" s="508">
        <v>3676.57</v>
      </c>
      <c r="E2564" s="461" t="s">
        <v>174</v>
      </c>
    </row>
    <row r="2565" spans="1:5" ht="27" x14ac:dyDescent="0.25">
      <c r="A2565" s="508">
        <v>102074</v>
      </c>
      <c r="B2565" s="509" t="s">
        <v>5449</v>
      </c>
      <c r="C2565" s="508" t="s">
        <v>163</v>
      </c>
      <c r="D2565" s="508">
        <v>4394.78</v>
      </c>
      <c r="E2565" s="461" t="s">
        <v>174</v>
      </c>
    </row>
    <row r="2566" spans="1:5" ht="27" x14ac:dyDescent="0.25">
      <c r="A2566" s="508">
        <v>102075</v>
      </c>
      <c r="B2566" s="509" t="s">
        <v>5450</v>
      </c>
      <c r="C2566" s="508" t="s">
        <v>163</v>
      </c>
      <c r="D2566" s="508">
        <v>4563.75</v>
      </c>
      <c r="E2566" s="461" t="s">
        <v>174</v>
      </c>
    </row>
    <row r="2567" spans="1:5" ht="27" x14ac:dyDescent="0.25">
      <c r="A2567" s="508">
        <v>102076</v>
      </c>
      <c r="B2567" s="509" t="s">
        <v>5451</v>
      </c>
      <c r="C2567" s="508" t="s">
        <v>163</v>
      </c>
      <c r="D2567" s="508">
        <v>4670.32</v>
      </c>
      <c r="E2567" s="461" t="s">
        <v>174</v>
      </c>
    </row>
    <row r="2568" spans="1:5" ht="27" x14ac:dyDescent="0.25">
      <c r="A2568" s="508">
        <v>102077</v>
      </c>
      <c r="B2568" s="509" t="s">
        <v>5452</v>
      </c>
      <c r="C2568" s="508" t="s">
        <v>163</v>
      </c>
      <c r="D2568" s="508">
        <v>5101.33</v>
      </c>
      <c r="E2568" s="461" t="s">
        <v>174</v>
      </c>
    </row>
    <row r="2569" spans="1:5" ht="27" x14ac:dyDescent="0.25">
      <c r="A2569" s="508">
        <v>102078</v>
      </c>
      <c r="B2569" s="509" t="s">
        <v>5453</v>
      </c>
      <c r="C2569" s="508" t="s">
        <v>163</v>
      </c>
      <c r="D2569" s="508">
        <v>5218.1099999999997</v>
      </c>
      <c r="E2569" s="461" t="s">
        <v>174</v>
      </c>
    </row>
    <row r="2570" spans="1:5" ht="27" x14ac:dyDescent="0.25">
      <c r="A2570" s="508">
        <v>102079</v>
      </c>
      <c r="B2570" s="509" t="s">
        <v>5454</v>
      </c>
      <c r="C2570" s="508" t="s">
        <v>163</v>
      </c>
      <c r="D2570" s="508">
        <v>5006.47</v>
      </c>
      <c r="E2570" s="461" t="s">
        <v>174</v>
      </c>
    </row>
    <row r="2571" spans="1:5" ht="27" x14ac:dyDescent="0.25">
      <c r="A2571" s="508">
        <v>102080</v>
      </c>
      <c r="B2571" s="509" t="s">
        <v>5455</v>
      </c>
      <c r="C2571" s="508" t="s">
        <v>163</v>
      </c>
      <c r="D2571" s="508">
        <v>4365.79</v>
      </c>
      <c r="E2571" s="461" t="s">
        <v>174</v>
      </c>
    </row>
    <row r="2572" spans="1:5" ht="27" x14ac:dyDescent="0.25">
      <c r="A2572" s="508">
        <v>102086</v>
      </c>
      <c r="B2572" s="509" t="s">
        <v>2542</v>
      </c>
      <c r="C2572" s="508" t="s">
        <v>150</v>
      </c>
      <c r="D2572" s="508">
        <v>185.47</v>
      </c>
      <c r="E2572" s="461" t="s">
        <v>174</v>
      </c>
    </row>
    <row r="2573" spans="1:5" ht="27" x14ac:dyDescent="0.25">
      <c r="A2573" s="508">
        <v>102087</v>
      </c>
      <c r="B2573" s="509" t="s">
        <v>2543</v>
      </c>
      <c r="C2573" s="508" t="s">
        <v>150</v>
      </c>
      <c r="D2573" s="508">
        <v>148.19</v>
      </c>
      <c r="E2573" s="461" t="s">
        <v>174</v>
      </c>
    </row>
    <row r="2574" spans="1:5" ht="27" x14ac:dyDescent="0.25">
      <c r="A2574" s="508">
        <v>102088</v>
      </c>
      <c r="B2574" s="509" t="s">
        <v>5456</v>
      </c>
      <c r="C2574" s="508" t="s">
        <v>150</v>
      </c>
      <c r="D2574" s="508">
        <v>238.86</v>
      </c>
      <c r="E2574" s="461" t="s">
        <v>174</v>
      </c>
    </row>
    <row r="2575" spans="1:5" ht="27" x14ac:dyDescent="0.25">
      <c r="A2575" s="508">
        <v>102089</v>
      </c>
      <c r="B2575" s="509" t="s">
        <v>2544</v>
      </c>
      <c r="C2575" s="508" t="s">
        <v>150</v>
      </c>
      <c r="D2575" s="508">
        <v>173.58</v>
      </c>
      <c r="E2575" s="461" t="s">
        <v>174</v>
      </c>
    </row>
    <row r="2576" spans="1:5" ht="27" x14ac:dyDescent="0.25">
      <c r="A2576" s="508">
        <v>102090</v>
      </c>
      <c r="B2576" s="509" t="s">
        <v>2545</v>
      </c>
      <c r="C2576" s="508" t="s">
        <v>150</v>
      </c>
      <c r="D2576" s="508">
        <v>131.29</v>
      </c>
      <c r="E2576" s="461" t="s">
        <v>174</v>
      </c>
    </row>
    <row r="2577" spans="1:5" ht="27" x14ac:dyDescent="0.25">
      <c r="A2577" s="508">
        <v>102091</v>
      </c>
      <c r="B2577" s="509" t="s">
        <v>5457</v>
      </c>
      <c r="C2577" s="508" t="s">
        <v>150</v>
      </c>
      <c r="D2577" s="508">
        <v>278.68</v>
      </c>
      <c r="E2577" s="461" t="s">
        <v>174</v>
      </c>
    </row>
    <row r="2578" spans="1:5" ht="27" x14ac:dyDescent="0.25">
      <c r="A2578" s="508">
        <v>103760</v>
      </c>
      <c r="B2578" s="509" t="s">
        <v>5458</v>
      </c>
      <c r="C2578" s="508" t="s">
        <v>150</v>
      </c>
      <c r="D2578" s="508">
        <v>118.52</v>
      </c>
      <c r="E2578" s="461" t="s">
        <v>174</v>
      </c>
    </row>
    <row r="2579" spans="1:5" ht="27" x14ac:dyDescent="0.25">
      <c r="A2579" s="508">
        <v>103761</v>
      </c>
      <c r="B2579" s="509" t="s">
        <v>5459</v>
      </c>
      <c r="C2579" s="508" t="s">
        <v>150</v>
      </c>
      <c r="D2579" s="508">
        <v>81</v>
      </c>
      <c r="E2579" s="461" t="s">
        <v>174</v>
      </c>
    </row>
    <row r="2580" spans="1:5" ht="27" x14ac:dyDescent="0.25">
      <c r="A2580" s="508">
        <v>103762</v>
      </c>
      <c r="B2580" s="509" t="s">
        <v>5460</v>
      </c>
      <c r="C2580" s="508" t="s">
        <v>150</v>
      </c>
      <c r="D2580" s="508">
        <v>69.69</v>
      </c>
      <c r="E2580" s="461" t="s">
        <v>174</v>
      </c>
    </row>
    <row r="2581" spans="1:5" ht="27" x14ac:dyDescent="0.25">
      <c r="A2581" s="508">
        <v>103763</v>
      </c>
      <c r="B2581" s="509" t="s">
        <v>5461</v>
      </c>
      <c r="C2581" s="508" t="s">
        <v>150</v>
      </c>
      <c r="D2581" s="508">
        <v>61.57</v>
      </c>
      <c r="E2581" s="461" t="s">
        <v>174</v>
      </c>
    </row>
    <row r="2582" spans="1:5" ht="27" x14ac:dyDescent="0.25">
      <c r="A2582" s="508">
        <v>104925</v>
      </c>
      <c r="B2582" s="509" t="s">
        <v>5462</v>
      </c>
      <c r="C2582" s="508" t="s">
        <v>150</v>
      </c>
      <c r="D2582" s="508">
        <v>156</v>
      </c>
      <c r="E2582" s="461" t="s">
        <v>174</v>
      </c>
    </row>
    <row r="2583" spans="1:5" ht="27" x14ac:dyDescent="0.25">
      <c r="A2583" s="508">
        <v>104926</v>
      </c>
      <c r="B2583" s="509" t="s">
        <v>5463</v>
      </c>
      <c r="C2583" s="508" t="s">
        <v>150</v>
      </c>
      <c r="D2583" s="508">
        <v>101.83</v>
      </c>
      <c r="E2583" s="461" t="s">
        <v>174</v>
      </c>
    </row>
    <row r="2584" spans="1:5" ht="27" x14ac:dyDescent="0.25">
      <c r="A2584" s="508">
        <v>104927</v>
      </c>
      <c r="B2584" s="509" t="s">
        <v>5464</v>
      </c>
      <c r="C2584" s="508" t="s">
        <v>150</v>
      </c>
      <c r="D2584" s="508">
        <v>73.64</v>
      </c>
      <c r="E2584" s="461" t="s">
        <v>174</v>
      </c>
    </row>
    <row r="2585" spans="1:5" ht="27" x14ac:dyDescent="0.25">
      <c r="A2585" s="508">
        <v>104928</v>
      </c>
      <c r="B2585" s="509" t="s">
        <v>5465</v>
      </c>
      <c r="C2585" s="508" t="s">
        <v>150</v>
      </c>
      <c r="D2585" s="508">
        <v>147.29</v>
      </c>
      <c r="E2585" s="461" t="s">
        <v>174</v>
      </c>
    </row>
    <row r="2586" spans="1:5" ht="27" x14ac:dyDescent="0.25">
      <c r="A2586" s="508">
        <v>104929</v>
      </c>
      <c r="B2586" s="509" t="s">
        <v>5466</v>
      </c>
      <c r="C2586" s="508" t="s">
        <v>150</v>
      </c>
      <c r="D2586" s="508">
        <v>91.82</v>
      </c>
      <c r="E2586" s="461" t="s">
        <v>174</v>
      </c>
    </row>
    <row r="2587" spans="1:5" ht="27" x14ac:dyDescent="0.25">
      <c r="A2587" s="508">
        <v>105403</v>
      </c>
      <c r="B2587" s="509" t="s">
        <v>13021</v>
      </c>
      <c r="C2587" s="508" t="s">
        <v>150</v>
      </c>
      <c r="D2587" s="508">
        <v>170.2</v>
      </c>
      <c r="E2587" s="461" t="s">
        <v>174</v>
      </c>
    </row>
    <row r="2588" spans="1:5" ht="27" x14ac:dyDescent="0.25">
      <c r="A2588" s="508">
        <v>105406</v>
      </c>
      <c r="B2588" s="509" t="s">
        <v>13022</v>
      </c>
      <c r="C2588" s="508" t="s">
        <v>150</v>
      </c>
      <c r="D2588" s="508">
        <v>194.33</v>
      </c>
      <c r="E2588" s="461" t="s">
        <v>174</v>
      </c>
    </row>
    <row r="2589" spans="1:5" ht="15" x14ac:dyDescent="0.25">
      <c r="A2589" s="508">
        <v>89996</v>
      </c>
      <c r="B2589" s="509" t="s">
        <v>4036</v>
      </c>
      <c r="C2589" s="508" t="s">
        <v>106</v>
      </c>
      <c r="D2589" s="508">
        <v>10.77</v>
      </c>
      <c r="E2589" s="461" t="s">
        <v>174</v>
      </c>
    </row>
    <row r="2590" spans="1:5" ht="15" x14ac:dyDescent="0.25">
      <c r="A2590" s="508">
        <v>89997</v>
      </c>
      <c r="B2590" s="509" t="s">
        <v>4037</v>
      </c>
      <c r="C2590" s="508" t="s">
        <v>106</v>
      </c>
      <c r="D2590" s="508">
        <v>8.68</v>
      </c>
      <c r="E2590" s="461" t="s">
        <v>174</v>
      </c>
    </row>
    <row r="2591" spans="1:5" ht="15" x14ac:dyDescent="0.25">
      <c r="A2591" s="508">
        <v>89998</v>
      </c>
      <c r="B2591" s="509" t="s">
        <v>4038</v>
      </c>
      <c r="C2591" s="508" t="s">
        <v>106</v>
      </c>
      <c r="D2591" s="508">
        <v>10.17</v>
      </c>
      <c r="E2591" s="461" t="s">
        <v>174</v>
      </c>
    </row>
    <row r="2592" spans="1:5" ht="27" x14ac:dyDescent="0.25">
      <c r="A2592" s="508">
        <v>89999</v>
      </c>
      <c r="B2592" s="509" t="s">
        <v>4039</v>
      </c>
      <c r="C2592" s="508" t="s">
        <v>106</v>
      </c>
      <c r="D2592" s="508">
        <v>16.79</v>
      </c>
      <c r="E2592" s="461" t="s">
        <v>174</v>
      </c>
    </row>
    <row r="2593" spans="1:5" ht="27" x14ac:dyDescent="0.25">
      <c r="A2593" s="508">
        <v>90000</v>
      </c>
      <c r="B2593" s="509" t="s">
        <v>4040</v>
      </c>
      <c r="C2593" s="508" t="s">
        <v>106</v>
      </c>
      <c r="D2593" s="508">
        <v>13.27</v>
      </c>
      <c r="E2593" s="461" t="s">
        <v>174</v>
      </c>
    </row>
    <row r="2594" spans="1:5" ht="27" x14ac:dyDescent="0.25">
      <c r="A2594" s="508">
        <v>91593</v>
      </c>
      <c r="B2594" s="509" t="s">
        <v>1324</v>
      </c>
      <c r="C2594" s="508" t="s">
        <v>106</v>
      </c>
      <c r="D2594" s="508">
        <v>9.19</v>
      </c>
      <c r="E2594" s="461" t="s">
        <v>174</v>
      </c>
    </row>
    <row r="2595" spans="1:5" ht="27" x14ac:dyDescent="0.25">
      <c r="A2595" s="508">
        <v>91594</v>
      </c>
      <c r="B2595" s="509" t="s">
        <v>1325</v>
      </c>
      <c r="C2595" s="508" t="s">
        <v>106</v>
      </c>
      <c r="D2595" s="508">
        <v>9.69</v>
      </c>
      <c r="E2595" s="461" t="s">
        <v>174</v>
      </c>
    </row>
    <row r="2596" spans="1:5" ht="27" x14ac:dyDescent="0.25">
      <c r="A2596" s="508">
        <v>91595</v>
      </c>
      <c r="B2596" s="509" t="s">
        <v>1326</v>
      </c>
      <c r="C2596" s="508" t="s">
        <v>106</v>
      </c>
      <c r="D2596" s="508">
        <v>10.54</v>
      </c>
      <c r="E2596" s="461" t="s">
        <v>174</v>
      </c>
    </row>
    <row r="2597" spans="1:5" ht="27" x14ac:dyDescent="0.25">
      <c r="A2597" s="508">
        <v>91596</v>
      </c>
      <c r="B2597" s="509" t="s">
        <v>1327</v>
      </c>
      <c r="C2597" s="508" t="s">
        <v>106</v>
      </c>
      <c r="D2597" s="508">
        <v>9.56</v>
      </c>
      <c r="E2597" s="461" t="s">
        <v>174</v>
      </c>
    </row>
    <row r="2598" spans="1:5" ht="27" x14ac:dyDescent="0.25">
      <c r="A2598" s="508">
        <v>91597</v>
      </c>
      <c r="B2598" s="509" t="s">
        <v>1328</v>
      </c>
      <c r="C2598" s="508" t="s">
        <v>106</v>
      </c>
      <c r="D2598" s="508">
        <v>6.92</v>
      </c>
      <c r="E2598" s="461" t="s">
        <v>174</v>
      </c>
    </row>
    <row r="2599" spans="1:5" ht="27" x14ac:dyDescent="0.25">
      <c r="A2599" s="508">
        <v>91598</v>
      </c>
      <c r="B2599" s="509" t="s">
        <v>1329</v>
      </c>
      <c r="C2599" s="508" t="s">
        <v>106</v>
      </c>
      <c r="D2599" s="508">
        <v>9.49</v>
      </c>
      <c r="E2599" s="461" t="s">
        <v>174</v>
      </c>
    </row>
    <row r="2600" spans="1:5" ht="27" x14ac:dyDescent="0.25">
      <c r="A2600" s="508">
        <v>91599</v>
      </c>
      <c r="B2600" s="509" t="s">
        <v>1330</v>
      </c>
      <c r="C2600" s="508" t="s">
        <v>106</v>
      </c>
      <c r="D2600" s="508">
        <v>7.33</v>
      </c>
      <c r="E2600" s="461" t="s">
        <v>174</v>
      </c>
    </row>
    <row r="2601" spans="1:5" ht="27" x14ac:dyDescent="0.25">
      <c r="A2601" s="508">
        <v>91600</v>
      </c>
      <c r="B2601" s="509" t="s">
        <v>1331</v>
      </c>
      <c r="C2601" s="508" t="s">
        <v>106</v>
      </c>
      <c r="D2601" s="508">
        <v>12.5</v>
      </c>
      <c r="E2601" s="461" t="s">
        <v>174</v>
      </c>
    </row>
    <row r="2602" spans="1:5" ht="27" x14ac:dyDescent="0.25">
      <c r="A2602" s="508">
        <v>91601</v>
      </c>
      <c r="B2602" s="509" t="s">
        <v>1332</v>
      </c>
      <c r="C2602" s="508" t="s">
        <v>106</v>
      </c>
      <c r="D2602" s="508">
        <v>12.39</v>
      </c>
      <c r="E2602" s="461" t="s">
        <v>174</v>
      </c>
    </row>
    <row r="2603" spans="1:5" ht="27" x14ac:dyDescent="0.25">
      <c r="A2603" s="508">
        <v>91602</v>
      </c>
      <c r="B2603" s="509" t="s">
        <v>1333</v>
      </c>
      <c r="C2603" s="508" t="s">
        <v>106</v>
      </c>
      <c r="D2603" s="508">
        <v>11.26</v>
      </c>
      <c r="E2603" s="461" t="s">
        <v>174</v>
      </c>
    </row>
    <row r="2604" spans="1:5" ht="27" x14ac:dyDescent="0.25">
      <c r="A2604" s="508">
        <v>91603</v>
      </c>
      <c r="B2604" s="509" t="s">
        <v>1334</v>
      </c>
      <c r="C2604" s="508" t="s">
        <v>106</v>
      </c>
      <c r="D2604" s="508">
        <v>10.62</v>
      </c>
      <c r="E2604" s="461" t="s">
        <v>174</v>
      </c>
    </row>
    <row r="2605" spans="1:5" ht="27" x14ac:dyDescent="0.25">
      <c r="A2605" s="508">
        <v>92759</v>
      </c>
      <c r="B2605" s="509" t="s">
        <v>5467</v>
      </c>
      <c r="C2605" s="508" t="s">
        <v>106</v>
      </c>
      <c r="D2605" s="508">
        <v>14.37</v>
      </c>
      <c r="E2605" s="461" t="s">
        <v>174</v>
      </c>
    </row>
    <row r="2606" spans="1:5" ht="27" x14ac:dyDescent="0.25">
      <c r="A2606" s="508">
        <v>92760</v>
      </c>
      <c r="B2606" s="509" t="s">
        <v>5468</v>
      </c>
      <c r="C2606" s="508" t="s">
        <v>106</v>
      </c>
      <c r="D2606" s="508">
        <v>13.33</v>
      </c>
      <c r="E2606" s="461" t="s">
        <v>174</v>
      </c>
    </row>
    <row r="2607" spans="1:5" ht="27" x14ac:dyDescent="0.25">
      <c r="A2607" s="508">
        <v>92761</v>
      </c>
      <c r="B2607" s="509" t="s">
        <v>5469</v>
      </c>
      <c r="C2607" s="508" t="s">
        <v>106</v>
      </c>
      <c r="D2607" s="508">
        <v>12.36</v>
      </c>
      <c r="E2607" s="461" t="s">
        <v>174</v>
      </c>
    </row>
    <row r="2608" spans="1:5" ht="27" x14ac:dyDescent="0.25">
      <c r="A2608" s="508">
        <v>92762</v>
      </c>
      <c r="B2608" s="509" t="s">
        <v>5470</v>
      </c>
      <c r="C2608" s="508" t="s">
        <v>106</v>
      </c>
      <c r="D2608" s="508">
        <v>10.91</v>
      </c>
      <c r="E2608" s="461" t="s">
        <v>174</v>
      </c>
    </row>
    <row r="2609" spans="1:5" ht="27" x14ac:dyDescent="0.25">
      <c r="A2609" s="508">
        <v>92763</v>
      </c>
      <c r="B2609" s="509" t="s">
        <v>5471</v>
      </c>
      <c r="C2609" s="508" t="s">
        <v>106</v>
      </c>
      <c r="D2609" s="508">
        <v>9.11</v>
      </c>
      <c r="E2609" s="461" t="s">
        <v>174</v>
      </c>
    </row>
    <row r="2610" spans="1:5" ht="27" x14ac:dyDescent="0.25">
      <c r="A2610" s="508">
        <v>92764</v>
      </c>
      <c r="B2610" s="509" t="s">
        <v>5472</v>
      </c>
      <c r="C2610" s="508" t="s">
        <v>106</v>
      </c>
      <c r="D2610" s="508">
        <v>8.76</v>
      </c>
      <c r="E2610" s="461" t="s">
        <v>174</v>
      </c>
    </row>
    <row r="2611" spans="1:5" ht="27" x14ac:dyDescent="0.25">
      <c r="A2611" s="508">
        <v>92765</v>
      </c>
      <c r="B2611" s="509" t="s">
        <v>5473</v>
      </c>
      <c r="C2611" s="508" t="s">
        <v>106</v>
      </c>
      <c r="D2611" s="508">
        <v>9.9700000000000006</v>
      </c>
      <c r="E2611" s="461" t="s">
        <v>174</v>
      </c>
    </row>
    <row r="2612" spans="1:5" ht="27" x14ac:dyDescent="0.25">
      <c r="A2612" s="508">
        <v>92766</v>
      </c>
      <c r="B2612" s="509" t="s">
        <v>5474</v>
      </c>
      <c r="C2612" s="508" t="s">
        <v>106</v>
      </c>
      <c r="D2612" s="508">
        <v>9.84</v>
      </c>
      <c r="E2612" s="461" t="s">
        <v>174</v>
      </c>
    </row>
    <row r="2613" spans="1:5" ht="27" x14ac:dyDescent="0.25">
      <c r="A2613" s="508">
        <v>92767</v>
      </c>
      <c r="B2613" s="509" t="s">
        <v>5475</v>
      </c>
      <c r="C2613" s="508" t="s">
        <v>106</v>
      </c>
      <c r="D2613" s="508">
        <v>15.89</v>
      </c>
      <c r="E2613" s="461" t="s">
        <v>174</v>
      </c>
    </row>
    <row r="2614" spans="1:5" ht="27" x14ac:dyDescent="0.25">
      <c r="A2614" s="508">
        <v>92768</v>
      </c>
      <c r="B2614" s="509" t="s">
        <v>5476</v>
      </c>
      <c r="C2614" s="508" t="s">
        <v>106</v>
      </c>
      <c r="D2614" s="510">
        <v>13.75</v>
      </c>
      <c r="E2614" s="461" t="s">
        <v>174</v>
      </c>
    </row>
    <row r="2615" spans="1:5" ht="27" x14ac:dyDescent="0.25">
      <c r="A2615" s="508">
        <v>92769</v>
      </c>
      <c r="B2615" s="509" t="s">
        <v>5477</v>
      </c>
      <c r="C2615" s="508" t="s">
        <v>106</v>
      </c>
      <c r="D2615" s="508">
        <v>12.74</v>
      </c>
      <c r="E2615" s="461" t="s">
        <v>174</v>
      </c>
    </row>
    <row r="2616" spans="1:5" ht="27" x14ac:dyDescent="0.25">
      <c r="A2616" s="508">
        <v>92770</v>
      </c>
      <c r="B2616" s="509" t="s">
        <v>5478</v>
      </c>
      <c r="C2616" s="508" t="s">
        <v>106</v>
      </c>
      <c r="D2616" s="508">
        <v>11.8</v>
      </c>
      <c r="E2616" s="461" t="s">
        <v>174</v>
      </c>
    </row>
    <row r="2617" spans="1:5" ht="27" x14ac:dyDescent="0.25">
      <c r="A2617" s="508">
        <v>92771</v>
      </c>
      <c r="B2617" s="509" t="s">
        <v>5479</v>
      </c>
      <c r="C2617" s="508" t="s">
        <v>106</v>
      </c>
      <c r="D2617" s="508">
        <v>10.41</v>
      </c>
      <c r="E2617" s="461" t="s">
        <v>174</v>
      </c>
    </row>
    <row r="2618" spans="1:5" ht="27" x14ac:dyDescent="0.25">
      <c r="A2618" s="508">
        <v>92772</v>
      </c>
      <c r="B2618" s="509" t="s">
        <v>5480</v>
      </c>
      <c r="C2618" s="508" t="s">
        <v>106</v>
      </c>
      <c r="D2618" s="510">
        <v>8.66</v>
      </c>
      <c r="E2618" s="461" t="s">
        <v>174</v>
      </c>
    </row>
    <row r="2619" spans="1:5" ht="27" x14ac:dyDescent="0.25">
      <c r="A2619" s="508">
        <v>92773</v>
      </c>
      <c r="B2619" s="509" t="s">
        <v>5481</v>
      </c>
      <c r="C2619" s="508" t="s">
        <v>106</v>
      </c>
      <c r="D2619" s="508">
        <v>8.4700000000000006</v>
      </c>
      <c r="E2619" s="461" t="s">
        <v>174</v>
      </c>
    </row>
    <row r="2620" spans="1:5" ht="27" x14ac:dyDescent="0.25">
      <c r="A2620" s="508">
        <v>92774</v>
      </c>
      <c r="B2620" s="509" t="s">
        <v>5482</v>
      </c>
      <c r="C2620" s="508" t="s">
        <v>106</v>
      </c>
      <c r="D2620" s="508">
        <v>9.8000000000000007</v>
      </c>
      <c r="E2620" s="461" t="s">
        <v>174</v>
      </c>
    </row>
    <row r="2621" spans="1:5" ht="15" x14ac:dyDescent="0.25">
      <c r="A2621" s="508">
        <v>92798</v>
      </c>
      <c r="B2621" s="509" t="s">
        <v>5483</v>
      </c>
      <c r="C2621" s="508" t="s">
        <v>106</v>
      </c>
      <c r="D2621" s="508">
        <v>9.02</v>
      </c>
      <c r="E2621" s="461" t="s">
        <v>174</v>
      </c>
    </row>
    <row r="2622" spans="1:5" ht="15" x14ac:dyDescent="0.25">
      <c r="A2622" s="508">
        <v>92799</v>
      </c>
      <c r="B2622" s="509" t="s">
        <v>5484</v>
      </c>
      <c r="C2622" s="508" t="s">
        <v>106</v>
      </c>
      <c r="D2622" s="508">
        <v>11.22</v>
      </c>
      <c r="E2622" s="461" t="s">
        <v>174</v>
      </c>
    </row>
    <row r="2623" spans="1:5" ht="15" x14ac:dyDescent="0.25">
      <c r="A2623" s="508">
        <v>92800</v>
      </c>
      <c r="B2623" s="509" t="s">
        <v>5485</v>
      </c>
      <c r="C2623" s="508" t="s">
        <v>106</v>
      </c>
      <c r="D2623" s="508">
        <v>10</v>
      </c>
      <c r="E2623" s="461" t="s">
        <v>174</v>
      </c>
    </row>
    <row r="2624" spans="1:5" ht="15" x14ac:dyDescent="0.25">
      <c r="A2624" s="508">
        <v>92801</v>
      </c>
      <c r="B2624" s="509" t="s">
        <v>5486</v>
      </c>
      <c r="C2624" s="508" t="s">
        <v>106</v>
      </c>
      <c r="D2624" s="508">
        <v>9.98</v>
      </c>
      <c r="E2624" s="461" t="s">
        <v>174</v>
      </c>
    </row>
    <row r="2625" spans="1:5" ht="15" x14ac:dyDescent="0.25">
      <c r="A2625" s="508">
        <v>92802</v>
      </c>
      <c r="B2625" s="509" t="s">
        <v>5487</v>
      </c>
      <c r="C2625" s="508" t="s">
        <v>106</v>
      </c>
      <c r="D2625" s="510">
        <v>9.85</v>
      </c>
      <c r="E2625" s="461" t="s">
        <v>174</v>
      </c>
    </row>
    <row r="2626" spans="1:5" ht="15" x14ac:dyDescent="0.25">
      <c r="A2626" s="508">
        <v>92803</v>
      </c>
      <c r="B2626" s="509" t="s">
        <v>5488</v>
      </c>
      <c r="C2626" s="508" t="s">
        <v>106</v>
      </c>
      <c r="D2626" s="508">
        <v>9.0500000000000007</v>
      </c>
      <c r="E2626" s="461" t="s">
        <v>174</v>
      </c>
    </row>
    <row r="2627" spans="1:5" ht="15" x14ac:dyDescent="0.25">
      <c r="A2627" s="508">
        <v>92804</v>
      </c>
      <c r="B2627" s="509" t="s">
        <v>5489</v>
      </c>
      <c r="C2627" s="508" t="s">
        <v>106</v>
      </c>
      <c r="D2627" s="508">
        <v>7.74</v>
      </c>
      <c r="E2627" s="461" t="s">
        <v>174</v>
      </c>
    </row>
    <row r="2628" spans="1:5" ht="15" x14ac:dyDescent="0.25">
      <c r="A2628" s="508">
        <v>92805</v>
      </c>
      <c r="B2628" s="509" t="s">
        <v>5490</v>
      </c>
      <c r="C2628" s="508" t="s">
        <v>106</v>
      </c>
      <c r="D2628" s="508">
        <v>7.66</v>
      </c>
      <c r="E2628" s="461" t="s">
        <v>174</v>
      </c>
    </row>
    <row r="2629" spans="1:5" ht="15" x14ac:dyDescent="0.25">
      <c r="A2629" s="508">
        <v>92806</v>
      </c>
      <c r="B2629" s="509" t="s">
        <v>5491</v>
      </c>
      <c r="C2629" s="508" t="s">
        <v>106</v>
      </c>
      <c r="D2629" s="508">
        <v>9.0299999999999994</v>
      </c>
      <c r="E2629" s="461" t="s">
        <v>174</v>
      </c>
    </row>
    <row r="2630" spans="1:5" ht="15" x14ac:dyDescent="0.25">
      <c r="A2630" s="508">
        <v>92875</v>
      </c>
      <c r="B2630" s="509" t="s">
        <v>5492</v>
      </c>
      <c r="C2630" s="508" t="s">
        <v>106</v>
      </c>
      <c r="D2630" s="508">
        <v>9.5399999999999991</v>
      </c>
      <c r="E2630" s="461" t="s">
        <v>174</v>
      </c>
    </row>
    <row r="2631" spans="1:5" ht="15" x14ac:dyDescent="0.25">
      <c r="A2631" s="508">
        <v>92876</v>
      </c>
      <c r="B2631" s="509" t="s">
        <v>5493</v>
      </c>
      <c r="C2631" s="508" t="s">
        <v>106</v>
      </c>
      <c r="D2631" s="508">
        <v>9.17</v>
      </c>
      <c r="E2631" s="461" t="s">
        <v>174</v>
      </c>
    </row>
    <row r="2632" spans="1:5" ht="15" x14ac:dyDescent="0.25">
      <c r="A2632" s="508">
        <v>92877</v>
      </c>
      <c r="B2632" s="509" t="s">
        <v>5494</v>
      </c>
      <c r="C2632" s="508" t="s">
        <v>106</v>
      </c>
      <c r="D2632" s="508">
        <v>9.83</v>
      </c>
      <c r="E2632" s="461" t="s">
        <v>174</v>
      </c>
    </row>
    <row r="2633" spans="1:5" ht="15" x14ac:dyDescent="0.25">
      <c r="A2633" s="508">
        <v>92878</v>
      </c>
      <c r="B2633" s="509" t="s">
        <v>5495</v>
      </c>
      <c r="C2633" s="508" t="s">
        <v>106</v>
      </c>
      <c r="D2633" s="508">
        <v>9.64</v>
      </c>
      <c r="E2633" s="461" t="s">
        <v>174</v>
      </c>
    </row>
    <row r="2634" spans="1:5" ht="15" x14ac:dyDescent="0.25">
      <c r="A2634" s="508">
        <v>92879</v>
      </c>
      <c r="B2634" s="509" t="s">
        <v>5496</v>
      </c>
      <c r="C2634" s="508" t="s">
        <v>106</v>
      </c>
      <c r="D2634" s="508">
        <v>9.52</v>
      </c>
      <c r="E2634" s="461" t="s">
        <v>174</v>
      </c>
    </row>
    <row r="2635" spans="1:5" ht="15" x14ac:dyDescent="0.25">
      <c r="A2635" s="508">
        <v>92880</v>
      </c>
      <c r="B2635" s="509" t="s">
        <v>5497</v>
      </c>
      <c r="C2635" s="508" t="s">
        <v>106</v>
      </c>
      <c r="D2635" s="508">
        <v>9.7200000000000006</v>
      </c>
      <c r="E2635" s="461" t="s">
        <v>174</v>
      </c>
    </row>
    <row r="2636" spans="1:5" ht="15" x14ac:dyDescent="0.25">
      <c r="A2636" s="508">
        <v>92881</v>
      </c>
      <c r="B2636" s="509" t="s">
        <v>5498</v>
      </c>
      <c r="C2636" s="508" t="s">
        <v>106</v>
      </c>
      <c r="D2636" s="508">
        <v>9.69</v>
      </c>
      <c r="E2636" s="461" t="s">
        <v>174</v>
      </c>
    </row>
    <row r="2637" spans="1:5" ht="15" x14ac:dyDescent="0.25">
      <c r="A2637" s="508">
        <v>92882</v>
      </c>
      <c r="B2637" s="509" t="s">
        <v>5499</v>
      </c>
      <c r="C2637" s="508" t="s">
        <v>106</v>
      </c>
      <c r="D2637" s="508">
        <v>13.44</v>
      </c>
      <c r="E2637" s="461" t="s">
        <v>174</v>
      </c>
    </row>
    <row r="2638" spans="1:5" ht="15" x14ac:dyDescent="0.25">
      <c r="A2638" s="508">
        <v>92883</v>
      </c>
      <c r="B2638" s="509" t="s">
        <v>5500</v>
      </c>
      <c r="C2638" s="508" t="s">
        <v>106</v>
      </c>
      <c r="D2638" s="508">
        <v>12.18</v>
      </c>
      <c r="E2638" s="461" t="s">
        <v>174</v>
      </c>
    </row>
    <row r="2639" spans="1:5" ht="15" x14ac:dyDescent="0.25">
      <c r="A2639" s="508">
        <v>92884</v>
      </c>
      <c r="B2639" s="509" t="s">
        <v>5501</v>
      </c>
      <c r="C2639" s="508" t="s">
        <v>106</v>
      </c>
      <c r="D2639" s="508">
        <v>12.17</v>
      </c>
      <c r="E2639" s="461" t="s">
        <v>174</v>
      </c>
    </row>
    <row r="2640" spans="1:5" ht="15" x14ac:dyDescent="0.25">
      <c r="A2640" s="508">
        <v>92885</v>
      </c>
      <c r="B2640" s="509" t="s">
        <v>5502</v>
      </c>
      <c r="C2640" s="508" t="s">
        <v>106</v>
      </c>
      <c r="D2640" s="508">
        <v>11.46</v>
      </c>
      <c r="E2640" s="461" t="s">
        <v>174</v>
      </c>
    </row>
    <row r="2641" spans="1:5" ht="15" x14ac:dyDescent="0.25">
      <c r="A2641" s="508">
        <v>92886</v>
      </c>
      <c r="B2641" s="509" t="s">
        <v>5503</v>
      </c>
      <c r="C2641" s="508" t="s">
        <v>106</v>
      </c>
      <c r="D2641" s="508">
        <v>10.86</v>
      </c>
      <c r="E2641" s="461" t="s">
        <v>174</v>
      </c>
    </row>
    <row r="2642" spans="1:5" ht="15" x14ac:dyDescent="0.25">
      <c r="A2642" s="508">
        <v>92887</v>
      </c>
      <c r="B2642" s="509" t="s">
        <v>5504</v>
      </c>
      <c r="C2642" s="508" t="s">
        <v>106</v>
      </c>
      <c r="D2642" s="508">
        <v>10.73</v>
      </c>
      <c r="E2642" s="461" t="s">
        <v>174</v>
      </c>
    </row>
    <row r="2643" spans="1:5" ht="15" x14ac:dyDescent="0.25">
      <c r="A2643" s="508">
        <v>92888</v>
      </c>
      <c r="B2643" s="509" t="s">
        <v>5505</v>
      </c>
      <c r="C2643" s="508" t="s">
        <v>106</v>
      </c>
      <c r="D2643" s="508">
        <v>10.43</v>
      </c>
      <c r="E2643" s="461" t="s">
        <v>174</v>
      </c>
    </row>
    <row r="2644" spans="1:5" ht="27" x14ac:dyDescent="0.25">
      <c r="A2644" s="508">
        <v>92915</v>
      </c>
      <c r="B2644" s="509" t="s">
        <v>5506</v>
      </c>
      <c r="C2644" s="508" t="s">
        <v>106</v>
      </c>
      <c r="D2644" s="508">
        <v>17.38</v>
      </c>
      <c r="E2644" s="461" t="s">
        <v>174</v>
      </c>
    </row>
    <row r="2645" spans="1:5" ht="27" x14ac:dyDescent="0.25">
      <c r="A2645" s="508">
        <v>92916</v>
      </c>
      <c r="B2645" s="509" t="s">
        <v>5507</v>
      </c>
      <c r="C2645" s="508" t="s">
        <v>106</v>
      </c>
      <c r="D2645" s="508">
        <v>15.55</v>
      </c>
      <c r="E2645" s="461" t="s">
        <v>174</v>
      </c>
    </row>
    <row r="2646" spans="1:5" ht="27" x14ac:dyDescent="0.25">
      <c r="A2646" s="508">
        <v>92917</v>
      </c>
      <c r="B2646" s="509" t="s">
        <v>5508</v>
      </c>
      <c r="C2646" s="508" t="s">
        <v>106</v>
      </c>
      <c r="D2646" s="508">
        <v>13.94</v>
      </c>
      <c r="E2646" s="461" t="s">
        <v>174</v>
      </c>
    </row>
    <row r="2647" spans="1:5" ht="27" x14ac:dyDescent="0.25">
      <c r="A2647" s="508">
        <v>92919</v>
      </c>
      <c r="B2647" s="509" t="s">
        <v>5509</v>
      </c>
      <c r="C2647" s="508" t="s">
        <v>106</v>
      </c>
      <c r="D2647" s="508">
        <v>12.02</v>
      </c>
      <c r="E2647" s="461" t="s">
        <v>174</v>
      </c>
    </row>
    <row r="2648" spans="1:5" ht="27" x14ac:dyDescent="0.25">
      <c r="A2648" s="508">
        <v>92921</v>
      </c>
      <c r="B2648" s="509" t="s">
        <v>5510</v>
      </c>
      <c r="C2648" s="508" t="s">
        <v>106</v>
      </c>
      <c r="D2648" s="508">
        <v>9.83</v>
      </c>
      <c r="E2648" s="461" t="s">
        <v>174</v>
      </c>
    </row>
    <row r="2649" spans="1:5" ht="27" x14ac:dyDescent="0.25">
      <c r="A2649" s="508">
        <v>92922</v>
      </c>
      <c r="B2649" s="509" t="s">
        <v>5511</v>
      </c>
      <c r="C2649" s="508" t="s">
        <v>106</v>
      </c>
      <c r="D2649" s="508">
        <v>9.31</v>
      </c>
      <c r="E2649" s="461" t="s">
        <v>174</v>
      </c>
    </row>
    <row r="2650" spans="1:5" ht="27" x14ac:dyDescent="0.25">
      <c r="A2650" s="508">
        <v>92923</v>
      </c>
      <c r="B2650" s="509" t="s">
        <v>5512</v>
      </c>
      <c r="C2650" s="508" t="s">
        <v>106</v>
      </c>
      <c r="D2650" s="508">
        <v>10.39</v>
      </c>
      <c r="E2650" s="461" t="s">
        <v>174</v>
      </c>
    </row>
    <row r="2651" spans="1:5" ht="27" x14ac:dyDescent="0.25">
      <c r="A2651" s="508">
        <v>92924</v>
      </c>
      <c r="B2651" s="509" t="s">
        <v>5513</v>
      </c>
      <c r="C2651" s="508" t="s">
        <v>106</v>
      </c>
      <c r="D2651" s="508">
        <v>10.17</v>
      </c>
      <c r="E2651" s="461" t="s">
        <v>174</v>
      </c>
    </row>
    <row r="2652" spans="1:5" ht="15" x14ac:dyDescent="0.25">
      <c r="A2652" s="508">
        <v>95448</v>
      </c>
      <c r="B2652" s="509" t="s">
        <v>5514</v>
      </c>
      <c r="C2652" s="508" t="s">
        <v>106</v>
      </c>
      <c r="D2652" s="508">
        <v>9.89</v>
      </c>
      <c r="E2652" s="461" t="s">
        <v>174</v>
      </c>
    </row>
    <row r="2653" spans="1:5" ht="15" x14ac:dyDescent="0.25">
      <c r="A2653" s="508">
        <v>95576</v>
      </c>
      <c r="B2653" s="509" t="s">
        <v>5515</v>
      </c>
      <c r="C2653" s="508" t="s">
        <v>106</v>
      </c>
      <c r="D2653" s="508">
        <v>12.62</v>
      </c>
      <c r="E2653" s="461" t="s">
        <v>174</v>
      </c>
    </row>
    <row r="2654" spans="1:5" ht="15" x14ac:dyDescent="0.25">
      <c r="A2654" s="508">
        <v>95577</v>
      </c>
      <c r="B2654" s="509" t="s">
        <v>5516</v>
      </c>
      <c r="C2654" s="508" t="s">
        <v>106</v>
      </c>
      <c r="D2654" s="508">
        <v>10.56</v>
      </c>
      <c r="E2654" s="461" t="s">
        <v>174</v>
      </c>
    </row>
    <row r="2655" spans="1:5" ht="15" x14ac:dyDescent="0.25">
      <c r="A2655" s="508">
        <v>95578</v>
      </c>
      <c r="B2655" s="509" t="s">
        <v>5517</v>
      </c>
      <c r="C2655" s="508" t="s">
        <v>106</v>
      </c>
      <c r="D2655" s="508">
        <v>8.7200000000000006</v>
      </c>
      <c r="E2655" s="461" t="s">
        <v>174</v>
      </c>
    </row>
    <row r="2656" spans="1:5" ht="15" x14ac:dyDescent="0.25">
      <c r="A2656" s="508">
        <v>95579</v>
      </c>
      <c r="B2656" s="509" t="s">
        <v>5518</v>
      </c>
      <c r="C2656" s="508" t="s">
        <v>106</v>
      </c>
      <c r="D2656" s="508">
        <v>8.39</v>
      </c>
      <c r="E2656" s="461" t="s">
        <v>174</v>
      </c>
    </row>
    <row r="2657" spans="1:5" ht="15" x14ac:dyDescent="0.25">
      <c r="A2657" s="508">
        <v>95580</v>
      </c>
      <c r="B2657" s="509" t="s">
        <v>5519</v>
      </c>
      <c r="C2657" s="508" t="s">
        <v>106</v>
      </c>
      <c r="D2657" s="508">
        <v>9.67</v>
      </c>
      <c r="E2657" s="461" t="s">
        <v>174</v>
      </c>
    </row>
    <row r="2658" spans="1:5" ht="15" x14ac:dyDescent="0.25">
      <c r="A2658" s="508">
        <v>95581</v>
      </c>
      <c r="B2658" s="509" t="s">
        <v>5520</v>
      </c>
      <c r="C2658" s="508" t="s">
        <v>106</v>
      </c>
      <c r="D2658" s="508">
        <v>9.61</v>
      </c>
      <c r="E2658" s="461" t="s">
        <v>174</v>
      </c>
    </row>
    <row r="2659" spans="1:5" ht="15" x14ac:dyDescent="0.25">
      <c r="A2659" s="508">
        <v>95582</v>
      </c>
      <c r="B2659" s="509" t="s">
        <v>5521</v>
      </c>
      <c r="C2659" s="508" t="s">
        <v>106</v>
      </c>
      <c r="D2659" s="508">
        <v>10.46</v>
      </c>
      <c r="E2659" s="461" t="s">
        <v>174</v>
      </c>
    </row>
    <row r="2660" spans="1:5" ht="27" x14ac:dyDescent="0.25">
      <c r="A2660" s="508">
        <v>95583</v>
      </c>
      <c r="B2660" s="509" t="s">
        <v>5522</v>
      </c>
      <c r="C2660" s="508" t="s">
        <v>106</v>
      </c>
      <c r="D2660" s="510">
        <v>16.46</v>
      </c>
      <c r="E2660" s="461" t="s">
        <v>174</v>
      </c>
    </row>
    <row r="2661" spans="1:5" ht="27" x14ac:dyDescent="0.25">
      <c r="A2661" s="508">
        <v>95584</v>
      </c>
      <c r="B2661" s="509" t="s">
        <v>5523</v>
      </c>
      <c r="C2661" s="508" t="s">
        <v>106</v>
      </c>
      <c r="D2661" s="510">
        <v>14.21</v>
      </c>
      <c r="E2661" s="461" t="s">
        <v>174</v>
      </c>
    </row>
    <row r="2662" spans="1:5" ht="27" x14ac:dyDescent="0.25">
      <c r="A2662" s="508">
        <v>95592</v>
      </c>
      <c r="B2662" s="509" t="s">
        <v>5524</v>
      </c>
      <c r="C2662" s="508" t="s">
        <v>106</v>
      </c>
      <c r="D2662" s="510">
        <v>16.46</v>
      </c>
      <c r="E2662" s="461" t="s">
        <v>174</v>
      </c>
    </row>
    <row r="2663" spans="1:5" ht="27" x14ac:dyDescent="0.25">
      <c r="A2663" s="508">
        <v>95593</v>
      </c>
      <c r="B2663" s="509" t="s">
        <v>5525</v>
      </c>
      <c r="C2663" s="508" t="s">
        <v>106</v>
      </c>
      <c r="D2663" s="510">
        <v>14.21</v>
      </c>
      <c r="E2663" s="461" t="s">
        <v>174</v>
      </c>
    </row>
    <row r="2664" spans="1:5" ht="27" x14ac:dyDescent="0.25">
      <c r="A2664" s="508">
        <v>95943</v>
      </c>
      <c r="B2664" s="509" t="s">
        <v>2546</v>
      </c>
      <c r="C2664" s="508" t="s">
        <v>106</v>
      </c>
      <c r="D2664" s="510">
        <v>23.31</v>
      </c>
      <c r="E2664" s="461" t="s">
        <v>174</v>
      </c>
    </row>
    <row r="2665" spans="1:5" ht="27" x14ac:dyDescent="0.25">
      <c r="A2665" s="508">
        <v>95944</v>
      </c>
      <c r="B2665" s="509" t="s">
        <v>2547</v>
      </c>
      <c r="C2665" s="508" t="s">
        <v>106</v>
      </c>
      <c r="D2665" s="510">
        <v>20.85</v>
      </c>
      <c r="E2665" s="461" t="s">
        <v>174</v>
      </c>
    </row>
    <row r="2666" spans="1:5" ht="27" x14ac:dyDescent="0.25">
      <c r="A2666" s="508">
        <v>95945</v>
      </c>
      <c r="B2666" s="509" t="s">
        <v>2548</v>
      </c>
      <c r="C2666" s="508" t="s">
        <v>106</v>
      </c>
      <c r="D2666" s="510">
        <v>16.440000000000001</v>
      </c>
      <c r="E2666" s="461" t="s">
        <v>174</v>
      </c>
    </row>
    <row r="2667" spans="1:5" ht="27" x14ac:dyDescent="0.25">
      <c r="A2667" s="508">
        <v>95946</v>
      </c>
      <c r="B2667" s="509" t="s">
        <v>2549</v>
      </c>
      <c r="C2667" s="508" t="s">
        <v>106</v>
      </c>
      <c r="D2667" s="510">
        <v>12.79</v>
      </c>
      <c r="E2667" s="461" t="s">
        <v>174</v>
      </c>
    </row>
    <row r="2668" spans="1:5" ht="27" x14ac:dyDescent="0.25">
      <c r="A2668" s="508">
        <v>95947</v>
      </c>
      <c r="B2668" s="509" t="s">
        <v>2550</v>
      </c>
      <c r="C2668" s="508" t="s">
        <v>106</v>
      </c>
      <c r="D2668" s="508">
        <v>9.65</v>
      </c>
      <c r="E2668" s="461" t="s">
        <v>174</v>
      </c>
    </row>
    <row r="2669" spans="1:5" ht="27" x14ac:dyDescent="0.25">
      <c r="A2669" s="508">
        <v>95948</v>
      </c>
      <c r="B2669" s="509" t="s">
        <v>2551</v>
      </c>
      <c r="C2669" s="508" t="s">
        <v>106</v>
      </c>
      <c r="D2669" s="508">
        <v>8.32</v>
      </c>
      <c r="E2669" s="461" t="s">
        <v>174</v>
      </c>
    </row>
    <row r="2670" spans="1:5" ht="15" x14ac:dyDescent="0.25">
      <c r="A2670" s="508">
        <v>96544</v>
      </c>
      <c r="B2670" s="509" t="s">
        <v>5526</v>
      </c>
      <c r="C2670" s="508" t="s">
        <v>106</v>
      </c>
      <c r="D2670" s="508">
        <v>18.41</v>
      </c>
      <c r="E2670" s="461" t="s">
        <v>174</v>
      </c>
    </row>
    <row r="2671" spans="1:5" ht="15" x14ac:dyDescent="0.25">
      <c r="A2671" s="508">
        <v>96545</v>
      </c>
      <c r="B2671" s="509" t="s">
        <v>5527</v>
      </c>
      <c r="C2671" s="508" t="s">
        <v>106</v>
      </c>
      <c r="D2671" s="508">
        <v>16.37</v>
      </c>
      <c r="E2671" s="461" t="s">
        <v>174</v>
      </c>
    </row>
    <row r="2672" spans="1:5" ht="15" x14ac:dyDescent="0.25">
      <c r="A2672" s="508">
        <v>96546</v>
      </c>
      <c r="B2672" s="509" t="s">
        <v>5528</v>
      </c>
      <c r="C2672" s="508" t="s">
        <v>106</v>
      </c>
      <c r="D2672" s="508">
        <v>14.18</v>
      </c>
      <c r="E2672" s="461" t="s">
        <v>174</v>
      </c>
    </row>
    <row r="2673" spans="1:5" ht="27" x14ac:dyDescent="0.25">
      <c r="A2673" s="508">
        <v>100064</v>
      </c>
      <c r="B2673" s="509" t="s">
        <v>3558</v>
      </c>
      <c r="C2673" s="508" t="s">
        <v>106</v>
      </c>
      <c r="D2673" s="508">
        <v>9.49</v>
      </c>
      <c r="E2673" s="461" t="s">
        <v>174</v>
      </c>
    </row>
    <row r="2674" spans="1:5" ht="27" x14ac:dyDescent="0.25">
      <c r="A2674" s="508">
        <v>100066</v>
      </c>
      <c r="B2674" s="509" t="s">
        <v>1335</v>
      </c>
      <c r="C2674" s="508" t="s">
        <v>106</v>
      </c>
      <c r="D2674" s="508">
        <v>9.34</v>
      </c>
      <c r="E2674" s="461" t="s">
        <v>174</v>
      </c>
    </row>
    <row r="2675" spans="1:5" ht="27" x14ac:dyDescent="0.25">
      <c r="A2675" s="508">
        <v>100067</v>
      </c>
      <c r="B2675" s="509" t="s">
        <v>1336</v>
      </c>
      <c r="C2675" s="508" t="s">
        <v>106</v>
      </c>
      <c r="D2675" s="508">
        <v>12.2</v>
      </c>
      <c r="E2675" s="461" t="s">
        <v>174</v>
      </c>
    </row>
    <row r="2676" spans="1:5" ht="27" x14ac:dyDescent="0.25">
      <c r="A2676" s="508">
        <v>100068</v>
      </c>
      <c r="B2676" s="509" t="s">
        <v>1337</v>
      </c>
      <c r="C2676" s="508" t="s">
        <v>106</v>
      </c>
      <c r="D2676" s="508">
        <v>9.07</v>
      </c>
      <c r="E2676" s="461" t="s">
        <v>174</v>
      </c>
    </row>
    <row r="2677" spans="1:5" ht="15" x14ac:dyDescent="0.25">
      <c r="A2677" s="508">
        <v>102920</v>
      </c>
      <c r="B2677" s="509" t="s">
        <v>4041</v>
      </c>
      <c r="C2677" s="508" t="s">
        <v>106</v>
      </c>
      <c r="D2677" s="508">
        <v>8.3000000000000007</v>
      </c>
      <c r="E2677" s="461" t="s">
        <v>174</v>
      </c>
    </row>
    <row r="2678" spans="1:5" ht="15" x14ac:dyDescent="0.25">
      <c r="A2678" s="508">
        <v>102921</v>
      </c>
      <c r="B2678" s="509" t="s">
        <v>4042</v>
      </c>
      <c r="C2678" s="508" t="s">
        <v>106</v>
      </c>
      <c r="D2678" s="508">
        <v>7.96</v>
      </c>
      <c r="E2678" s="461" t="s">
        <v>174</v>
      </c>
    </row>
    <row r="2679" spans="1:5" ht="27" x14ac:dyDescent="0.25">
      <c r="A2679" s="508">
        <v>102922</v>
      </c>
      <c r="B2679" s="509" t="s">
        <v>4043</v>
      </c>
      <c r="C2679" s="508" t="s">
        <v>106</v>
      </c>
      <c r="D2679" s="508">
        <v>8.94</v>
      </c>
      <c r="E2679" s="461" t="s">
        <v>174</v>
      </c>
    </row>
    <row r="2680" spans="1:5" ht="15" x14ac:dyDescent="0.25">
      <c r="A2680" s="508">
        <v>102923</v>
      </c>
      <c r="B2680" s="509" t="s">
        <v>4044</v>
      </c>
      <c r="C2680" s="508" t="s">
        <v>106</v>
      </c>
      <c r="D2680" s="508">
        <v>7.72</v>
      </c>
      <c r="E2680" s="461" t="s">
        <v>174</v>
      </c>
    </row>
    <row r="2681" spans="1:5" ht="27" x14ac:dyDescent="0.25">
      <c r="A2681" s="508">
        <v>103088</v>
      </c>
      <c r="B2681" s="509" t="s">
        <v>4045</v>
      </c>
      <c r="C2681" s="508" t="s">
        <v>106</v>
      </c>
      <c r="D2681" s="508">
        <v>10.28</v>
      </c>
      <c r="E2681" s="461" t="s">
        <v>174</v>
      </c>
    </row>
    <row r="2682" spans="1:5" ht="27" x14ac:dyDescent="0.25">
      <c r="A2682" s="508">
        <v>104104</v>
      </c>
      <c r="B2682" s="509" t="s">
        <v>5529</v>
      </c>
      <c r="C2682" s="508" t="s">
        <v>106</v>
      </c>
      <c r="D2682" s="508">
        <v>10.59</v>
      </c>
      <c r="E2682" s="461" t="s">
        <v>174</v>
      </c>
    </row>
    <row r="2683" spans="1:5" ht="27" x14ac:dyDescent="0.25">
      <c r="A2683" s="508">
        <v>104105</v>
      </c>
      <c r="B2683" s="509" t="s">
        <v>5530</v>
      </c>
      <c r="C2683" s="508" t="s">
        <v>106</v>
      </c>
      <c r="D2683" s="508">
        <v>10.6</v>
      </c>
      <c r="E2683" s="461" t="s">
        <v>174</v>
      </c>
    </row>
    <row r="2684" spans="1:5" ht="27" x14ac:dyDescent="0.25">
      <c r="A2684" s="508">
        <v>104106</v>
      </c>
      <c r="B2684" s="509" t="s">
        <v>5531</v>
      </c>
      <c r="C2684" s="508" t="s">
        <v>106</v>
      </c>
      <c r="D2684" s="508">
        <v>10.050000000000001</v>
      </c>
      <c r="E2684" s="461" t="s">
        <v>174</v>
      </c>
    </row>
    <row r="2685" spans="1:5" ht="27" x14ac:dyDescent="0.25">
      <c r="A2685" s="508">
        <v>104107</v>
      </c>
      <c r="B2685" s="509" t="s">
        <v>5532</v>
      </c>
      <c r="C2685" s="508" t="s">
        <v>106</v>
      </c>
      <c r="D2685" s="508">
        <v>10.8</v>
      </c>
      <c r="E2685" s="461" t="s">
        <v>174</v>
      </c>
    </row>
    <row r="2686" spans="1:5" ht="27" x14ac:dyDescent="0.25">
      <c r="A2686" s="508">
        <v>104108</v>
      </c>
      <c r="B2686" s="509" t="s">
        <v>5533</v>
      </c>
      <c r="C2686" s="508" t="s">
        <v>106</v>
      </c>
      <c r="D2686" s="508">
        <v>12.87</v>
      </c>
      <c r="E2686" s="461" t="s">
        <v>174</v>
      </c>
    </row>
    <row r="2687" spans="1:5" ht="27" x14ac:dyDescent="0.25">
      <c r="A2687" s="508">
        <v>104109</v>
      </c>
      <c r="B2687" s="509" t="s">
        <v>5534</v>
      </c>
      <c r="C2687" s="508" t="s">
        <v>106</v>
      </c>
      <c r="D2687" s="508">
        <v>16.059999999999999</v>
      </c>
      <c r="E2687" s="461" t="s">
        <v>174</v>
      </c>
    </row>
    <row r="2688" spans="1:5" ht="27" x14ac:dyDescent="0.25">
      <c r="A2688" s="508">
        <v>104110</v>
      </c>
      <c r="B2688" s="509" t="s">
        <v>5535</v>
      </c>
      <c r="C2688" s="508" t="s">
        <v>106</v>
      </c>
      <c r="D2688" s="508">
        <v>18.54</v>
      </c>
      <c r="E2688" s="461" t="s">
        <v>174</v>
      </c>
    </row>
    <row r="2689" spans="1:5" ht="27" x14ac:dyDescent="0.25">
      <c r="A2689" s="508">
        <v>104111</v>
      </c>
      <c r="B2689" s="509" t="s">
        <v>5536</v>
      </c>
      <c r="C2689" s="508" t="s">
        <v>106</v>
      </c>
      <c r="D2689" s="508">
        <v>21.42</v>
      </c>
      <c r="E2689" s="461" t="s">
        <v>174</v>
      </c>
    </row>
    <row r="2690" spans="1:5" ht="15" x14ac:dyDescent="0.25">
      <c r="A2690" s="508">
        <v>104915</v>
      </c>
      <c r="B2690" s="509" t="s">
        <v>5537</v>
      </c>
      <c r="C2690" s="508" t="s">
        <v>106</v>
      </c>
      <c r="D2690" s="508">
        <v>9.92</v>
      </c>
      <c r="E2690" s="461" t="s">
        <v>174</v>
      </c>
    </row>
    <row r="2691" spans="1:5" ht="27" x14ac:dyDescent="0.25">
      <c r="A2691" s="508">
        <v>104917</v>
      </c>
      <c r="B2691" s="509" t="s">
        <v>5538</v>
      </c>
      <c r="C2691" s="508" t="s">
        <v>106</v>
      </c>
      <c r="D2691" s="508">
        <v>15.77</v>
      </c>
      <c r="E2691" s="461" t="s">
        <v>174</v>
      </c>
    </row>
    <row r="2692" spans="1:5" ht="27" x14ac:dyDescent="0.25">
      <c r="A2692" s="508">
        <v>104918</v>
      </c>
      <c r="B2692" s="509" t="s">
        <v>5539</v>
      </c>
      <c r="C2692" s="508" t="s">
        <v>106</v>
      </c>
      <c r="D2692" s="508">
        <v>14.44</v>
      </c>
      <c r="E2692" s="461" t="s">
        <v>174</v>
      </c>
    </row>
    <row r="2693" spans="1:5" ht="27" x14ac:dyDescent="0.25">
      <c r="A2693" s="508">
        <v>104919</v>
      </c>
      <c r="B2693" s="509" t="s">
        <v>5540</v>
      </c>
      <c r="C2693" s="508" t="s">
        <v>106</v>
      </c>
      <c r="D2693" s="508">
        <v>12.77</v>
      </c>
      <c r="E2693" s="461" t="s">
        <v>174</v>
      </c>
    </row>
    <row r="2694" spans="1:5" ht="27" x14ac:dyDescent="0.25">
      <c r="A2694" s="508">
        <v>104920</v>
      </c>
      <c r="B2694" s="509" t="s">
        <v>5541</v>
      </c>
      <c r="C2694" s="508" t="s">
        <v>106</v>
      </c>
      <c r="D2694" s="508">
        <v>10.77</v>
      </c>
      <c r="E2694" s="461" t="s">
        <v>174</v>
      </c>
    </row>
    <row r="2695" spans="1:5" ht="27" x14ac:dyDescent="0.25">
      <c r="A2695" s="508">
        <v>104921</v>
      </c>
      <c r="B2695" s="509" t="s">
        <v>5542</v>
      </c>
      <c r="C2695" s="508" t="s">
        <v>106</v>
      </c>
      <c r="D2695" s="508">
        <v>10.07</v>
      </c>
      <c r="E2695" s="461" t="s">
        <v>174</v>
      </c>
    </row>
    <row r="2696" spans="1:5" ht="27" x14ac:dyDescent="0.25">
      <c r="A2696" s="508">
        <v>104922</v>
      </c>
      <c r="B2696" s="509" t="s">
        <v>5543</v>
      </c>
      <c r="C2696" s="508" t="s">
        <v>106</v>
      </c>
      <c r="D2696" s="508">
        <v>11.03</v>
      </c>
      <c r="E2696" s="461" t="s">
        <v>174</v>
      </c>
    </row>
    <row r="2697" spans="1:5" ht="15" x14ac:dyDescent="0.25">
      <c r="A2697" s="508">
        <v>89993</v>
      </c>
      <c r="B2697" s="509" t="s">
        <v>4046</v>
      </c>
      <c r="C2697" s="508" t="s">
        <v>163</v>
      </c>
      <c r="D2697" s="508">
        <v>1160.72</v>
      </c>
      <c r="E2697" s="461" t="s">
        <v>174</v>
      </c>
    </row>
    <row r="2698" spans="1:5" ht="27" x14ac:dyDescent="0.25">
      <c r="A2698" s="508">
        <v>89994</v>
      </c>
      <c r="B2698" s="509" t="s">
        <v>4047</v>
      </c>
      <c r="C2698" s="508" t="s">
        <v>163</v>
      </c>
      <c r="D2698" s="508">
        <v>999.59</v>
      </c>
      <c r="E2698" s="461" t="s">
        <v>174</v>
      </c>
    </row>
    <row r="2699" spans="1:5" ht="15" x14ac:dyDescent="0.25">
      <c r="A2699" s="508">
        <v>89995</v>
      </c>
      <c r="B2699" s="509" t="s">
        <v>4048</v>
      </c>
      <c r="C2699" s="508" t="s">
        <v>163</v>
      </c>
      <c r="D2699" s="508">
        <v>1119.52</v>
      </c>
      <c r="E2699" s="461" t="s">
        <v>174</v>
      </c>
    </row>
    <row r="2700" spans="1:5" ht="27" x14ac:dyDescent="0.25">
      <c r="A2700" s="508">
        <v>90278</v>
      </c>
      <c r="B2700" s="509" t="s">
        <v>4049</v>
      </c>
      <c r="C2700" s="508" t="s">
        <v>163</v>
      </c>
      <c r="D2700" s="508">
        <v>600.16</v>
      </c>
      <c r="E2700" s="461" t="s">
        <v>174</v>
      </c>
    </row>
    <row r="2701" spans="1:5" ht="27" x14ac:dyDescent="0.25">
      <c r="A2701" s="508">
        <v>90279</v>
      </c>
      <c r="B2701" s="509" t="s">
        <v>4050</v>
      </c>
      <c r="C2701" s="508" t="s">
        <v>163</v>
      </c>
      <c r="D2701" s="508">
        <v>642.77</v>
      </c>
      <c r="E2701" s="461" t="s">
        <v>174</v>
      </c>
    </row>
    <row r="2702" spans="1:5" ht="27" x14ac:dyDescent="0.25">
      <c r="A2702" s="508">
        <v>90280</v>
      </c>
      <c r="B2702" s="509" t="s">
        <v>4051</v>
      </c>
      <c r="C2702" s="508" t="s">
        <v>163</v>
      </c>
      <c r="D2702" s="508">
        <v>685.08</v>
      </c>
      <c r="E2702" s="461" t="s">
        <v>174</v>
      </c>
    </row>
    <row r="2703" spans="1:5" ht="27" x14ac:dyDescent="0.25">
      <c r="A2703" s="508">
        <v>90281</v>
      </c>
      <c r="B2703" s="509" t="s">
        <v>4052</v>
      </c>
      <c r="C2703" s="508" t="s">
        <v>163</v>
      </c>
      <c r="D2703" s="508">
        <v>759.91</v>
      </c>
      <c r="E2703" s="461" t="s">
        <v>174</v>
      </c>
    </row>
    <row r="2704" spans="1:5" ht="27" x14ac:dyDescent="0.25">
      <c r="A2704" s="508">
        <v>90282</v>
      </c>
      <c r="B2704" s="509" t="s">
        <v>4053</v>
      </c>
      <c r="C2704" s="508" t="s">
        <v>163</v>
      </c>
      <c r="D2704" s="508">
        <v>584.33000000000004</v>
      </c>
      <c r="E2704" s="461" t="s">
        <v>174</v>
      </c>
    </row>
    <row r="2705" spans="1:5" ht="27" x14ac:dyDescent="0.25">
      <c r="A2705" s="508">
        <v>90283</v>
      </c>
      <c r="B2705" s="509" t="s">
        <v>4054</v>
      </c>
      <c r="C2705" s="508" t="s">
        <v>163</v>
      </c>
      <c r="D2705" s="508">
        <v>626.27</v>
      </c>
      <c r="E2705" s="461" t="s">
        <v>174</v>
      </c>
    </row>
    <row r="2706" spans="1:5" ht="27" x14ac:dyDescent="0.25">
      <c r="A2706" s="508">
        <v>90284</v>
      </c>
      <c r="B2706" s="509" t="s">
        <v>4055</v>
      </c>
      <c r="C2706" s="508" t="s">
        <v>163</v>
      </c>
      <c r="D2706" s="508">
        <v>673.95</v>
      </c>
      <c r="E2706" s="461" t="s">
        <v>174</v>
      </c>
    </row>
    <row r="2707" spans="1:5" ht="27" x14ac:dyDescent="0.25">
      <c r="A2707" s="508">
        <v>90285</v>
      </c>
      <c r="B2707" s="509" t="s">
        <v>4056</v>
      </c>
      <c r="C2707" s="508" t="s">
        <v>163</v>
      </c>
      <c r="D2707" s="508">
        <v>754.02</v>
      </c>
      <c r="E2707" s="461" t="s">
        <v>174</v>
      </c>
    </row>
    <row r="2708" spans="1:5" ht="27" x14ac:dyDescent="0.25">
      <c r="A2708" s="508">
        <v>94962</v>
      </c>
      <c r="B2708" s="509" t="s">
        <v>3559</v>
      </c>
      <c r="C2708" s="508" t="s">
        <v>163</v>
      </c>
      <c r="D2708" s="508">
        <v>498.13</v>
      </c>
      <c r="E2708" s="461" t="s">
        <v>174</v>
      </c>
    </row>
    <row r="2709" spans="1:5" ht="27" x14ac:dyDescent="0.25">
      <c r="A2709" s="508">
        <v>94963</v>
      </c>
      <c r="B2709" s="509" t="s">
        <v>3560</v>
      </c>
      <c r="C2709" s="508" t="s">
        <v>163</v>
      </c>
      <c r="D2709" s="508">
        <v>532.24</v>
      </c>
      <c r="E2709" s="461" t="s">
        <v>174</v>
      </c>
    </row>
    <row r="2710" spans="1:5" ht="27" x14ac:dyDescent="0.25">
      <c r="A2710" s="508">
        <v>94964</v>
      </c>
      <c r="B2710" s="509" t="s">
        <v>3561</v>
      </c>
      <c r="C2710" s="508" t="s">
        <v>163</v>
      </c>
      <c r="D2710" s="508">
        <v>564.28</v>
      </c>
      <c r="E2710" s="461" t="s">
        <v>174</v>
      </c>
    </row>
    <row r="2711" spans="1:5" ht="27" x14ac:dyDescent="0.25">
      <c r="A2711" s="508">
        <v>94965</v>
      </c>
      <c r="B2711" s="509" t="s">
        <v>3562</v>
      </c>
      <c r="C2711" s="508" t="s">
        <v>163</v>
      </c>
      <c r="D2711" s="508">
        <v>575.24</v>
      </c>
      <c r="E2711" s="461" t="s">
        <v>174</v>
      </c>
    </row>
    <row r="2712" spans="1:5" ht="27" x14ac:dyDescent="0.25">
      <c r="A2712" s="508">
        <v>94966</v>
      </c>
      <c r="B2712" s="509" t="s">
        <v>3563</v>
      </c>
      <c r="C2712" s="508" t="s">
        <v>163</v>
      </c>
      <c r="D2712" s="508">
        <v>587.49</v>
      </c>
      <c r="E2712" s="461" t="s">
        <v>174</v>
      </c>
    </row>
    <row r="2713" spans="1:5" ht="27" x14ac:dyDescent="0.25">
      <c r="A2713" s="508">
        <v>94967</v>
      </c>
      <c r="B2713" s="509" t="s">
        <v>3564</v>
      </c>
      <c r="C2713" s="508" t="s">
        <v>163</v>
      </c>
      <c r="D2713" s="508">
        <v>644.39</v>
      </c>
      <c r="E2713" s="461" t="s">
        <v>174</v>
      </c>
    </row>
    <row r="2714" spans="1:5" ht="27" x14ac:dyDescent="0.25">
      <c r="A2714" s="508">
        <v>94968</v>
      </c>
      <c r="B2714" s="509" t="s">
        <v>3565</v>
      </c>
      <c r="C2714" s="508" t="s">
        <v>163</v>
      </c>
      <c r="D2714" s="510">
        <v>494.37</v>
      </c>
      <c r="E2714" s="461" t="s">
        <v>174</v>
      </c>
    </row>
    <row r="2715" spans="1:5" ht="27" x14ac:dyDescent="0.25">
      <c r="A2715" s="508">
        <v>94969</v>
      </c>
      <c r="B2715" s="509" t="s">
        <v>3566</v>
      </c>
      <c r="C2715" s="508" t="s">
        <v>163</v>
      </c>
      <c r="D2715" s="510">
        <v>524.77</v>
      </c>
      <c r="E2715" s="461" t="s">
        <v>174</v>
      </c>
    </row>
    <row r="2716" spans="1:5" ht="27" x14ac:dyDescent="0.25">
      <c r="A2716" s="508">
        <v>94970</v>
      </c>
      <c r="B2716" s="509" t="s">
        <v>3567</v>
      </c>
      <c r="C2716" s="508" t="s">
        <v>163</v>
      </c>
      <c r="D2716" s="508">
        <v>549.73</v>
      </c>
      <c r="E2716" s="461" t="s">
        <v>174</v>
      </c>
    </row>
    <row r="2717" spans="1:5" ht="27" x14ac:dyDescent="0.25">
      <c r="A2717" s="508">
        <v>94971</v>
      </c>
      <c r="B2717" s="509" t="s">
        <v>3568</v>
      </c>
      <c r="C2717" s="508" t="s">
        <v>163</v>
      </c>
      <c r="D2717" s="510">
        <v>567.69000000000005</v>
      </c>
      <c r="E2717" s="461" t="s">
        <v>174</v>
      </c>
    </row>
    <row r="2718" spans="1:5" ht="27" x14ac:dyDescent="0.25">
      <c r="A2718" s="508">
        <v>94972</v>
      </c>
      <c r="B2718" s="509" t="s">
        <v>3569</v>
      </c>
      <c r="C2718" s="508" t="s">
        <v>163</v>
      </c>
      <c r="D2718" s="508">
        <v>579.89</v>
      </c>
      <c r="E2718" s="461" t="s">
        <v>174</v>
      </c>
    </row>
    <row r="2719" spans="1:5" ht="27" x14ac:dyDescent="0.25">
      <c r="A2719" s="508">
        <v>94973</v>
      </c>
      <c r="B2719" s="509" t="s">
        <v>3570</v>
      </c>
      <c r="C2719" s="508" t="s">
        <v>163</v>
      </c>
      <c r="D2719" s="508">
        <v>634.58000000000004</v>
      </c>
      <c r="E2719" s="461" t="s">
        <v>174</v>
      </c>
    </row>
    <row r="2720" spans="1:5" ht="27" x14ac:dyDescent="0.25">
      <c r="A2720" s="508">
        <v>94974</v>
      </c>
      <c r="B2720" s="509" t="s">
        <v>3571</v>
      </c>
      <c r="C2720" s="508" t="s">
        <v>163</v>
      </c>
      <c r="D2720" s="508">
        <v>563.88</v>
      </c>
      <c r="E2720" s="461" t="s">
        <v>174</v>
      </c>
    </row>
    <row r="2721" spans="1:5" ht="27" x14ac:dyDescent="0.25">
      <c r="A2721" s="508">
        <v>94975</v>
      </c>
      <c r="B2721" s="509" t="s">
        <v>3572</v>
      </c>
      <c r="C2721" s="508" t="s">
        <v>163</v>
      </c>
      <c r="D2721" s="510">
        <v>591.35</v>
      </c>
      <c r="E2721" s="461" t="s">
        <v>174</v>
      </c>
    </row>
    <row r="2722" spans="1:5" ht="27" x14ac:dyDescent="0.25">
      <c r="A2722" s="508">
        <v>96555</v>
      </c>
      <c r="B2722" s="509" t="s">
        <v>5544</v>
      </c>
      <c r="C2722" s="508" t="s">
        <v>163</v>
      </c>
      <c r="D2722" s="508">
        <v>816.48</v>
      </c>
      <c r="E2722" s="461" t="s">
        <v>174</v>
      </c>
    </row>
    <row r="2723" spans="1:5" ht="27" x14ac:dyDescent="0.25">
      <c r="A2723" s="508">
        <v>96556</v>
      </c>
      <c r="B2723" s="509" t="s">
        <v>5545</v>
      </c>
      <c r="C2723" s="508" t="s">
        <v>163</v>
      </c>
      <c r="D2723" s="508">
        <v>984.51</v>
      </c>
      <c r="E2723" s="461" t="s">
        <v>174</v>
      </c>
    </row>
    <row r="2724" spans="1:5" ht="27" x14ac:dyDescent="0.25">
      <c r="A2724" s="508">
        <v>96557</v>
      </c>
      <c r="B2724" s="509" t="s">
        <v>5546</v>
      </c>
      <c r="C2724" s="508" t="s">
        <v>163</v>
      </c>
      <c r="D2724" s="508">
        <v>668.32</v>
      </c>
      <c r="E2724" s="461" t="s">
        <v>174</v>
      </c>
    </row>
    <row r="2725" spans="1:5" ht="27" x14ac:dyDescent="0.25">
      <c r="A2725" s="508">
        <v>96558</v>
      </c>
      <c r="B2725" s="509" t="s">
        <v>5547</v>
      </c>
      <c r="C2725" s="508" t="s">
        <v>163</v>
      </c>
      <c r="D2725" s="508">
        <v>700.95</v>
      </c>
      <c r="E2725" s="461" t="s">
        <v>174</v>
      </c>
    </row>
    <row r="2726" spans="1:5" ht="40.5" x14ac:dyDescent="0.25">
      <c r="A2726" s="508">
        <v>99235</v>
      </c>
      <c r="B2726" s="509" t="s">
        <v>4162</v>
      </c>
      <c r="C2726" s="508" t="s">
        <v>163</v>
      </c>
      <c r="D2726" s="508">
        <v>608.32000000000005</v>
      </c>
      <c r="E2726" s="461" t="s">
        <v>174</v>
      </c>
    </row>
    <row r="2727" spans="1:5" ht="40.5" x14ac:dyDescent="0.25">
      <c r="A2727" s="508">
        <v>99431</v>
      </c>
      <c r="B2727" s="509" t="s">
        <v>4163</v>
      </c>
      <c r="C2727" s="508" t="s">
        <v>163</v>
      </c>
      <c r="D2727" s="508">
        <v>631.79</v>
      </c>
      <c r="E2727" s="461" t="s">
        <v>174</v>
      </c>
    </row>
    <row r="2728" spans="1:5" ht="40.5" x14ac:dyDescent="0.25">
      <c r="A2728" s="508">
        <v>99432</v>
      </c>
      <c r="B2728" s="509" t="s">
        <v>4164</v>
      </c>
      <c r="C2728" s="508" t="s">
        <v>163</v>
      </c>
      <c r="D2728" s="508">
        <v>613.24</v>
      </c>
      <c r="E2728" s="461" t="s">
        <v>174</v>
      </c>
    </row>
    <row r="2729" spans="1:5" ht="40.5" x14ac:dyDescent="0.25">
      <c r="A2729" s="508">
        <v>99433</v>
      </c>
      <c r="B2729" s="509" t="s">
        <v>4165</v>
      </c>
      <c r="C2729" s="508" t="s">
        <v>163</v>
      </c>
      <c r="D2729" s="508">
        <v>667.66</v>
      </c>
      <c r="E2729" s="461" t="s">
        <v>174</v>
      </c>
    </row>
    <row r="2730" spans="1:5" ht="40.5" x14ac:dyDescent="0.25">
      <c r="A2730" s="508">
        <v>99434</v>
      </c>
      <c r="B2730" s="509" t="s">
        <v>4166</v>
      </c>
      <c r="C2730" s="508" t="s">
        <v>163</v>
      </c>
      <c r="D2730" s="508">
        <v>636.48</v>
      </c>
      <c r="E2730" s="461" t="s">
        <v>174</v>
      </c>
    </row>
    <row r="2731" spans="1:5" ht="40.5" x14ac:dyDescent="0.25">
      <c r="A2731" s="508">
        <v>99435</v>
      </c>
      <c r="B2731" s="509" t="s">
        <v>4167</v>
      </c>
      <c r="C2731" s="508" t="s">
        <v>163</v>
      </c>
      <c r="D2731" s="508">
        <v>616.47</v>
      </c>
      <c r="E2731" s="461" t="s">
        <v>174</v>
      </c>
    </row>
    <row r="2732" spans="1:5" ht="40.5" x14ac:dyDescent="0.25">
      <c r="A2732" s="508">
        <v>99436</v>
      </c>
      <c r="B2732" s="509" t="s">
        <v>4168</v>
      </c>
      <c r="C2732" s="508" t="s">
        <v>163</v>
      </c>
      <c r="D2732" s="508">
        <v>692.19</v>
      </c>
      <c r="E2732" s="461" t="s">
        <v>174</v>
      </c>
    </row>
    <row r="2733" spans="1:5" ht="40.5" x14ac:dyDescent="0.25">
      <c r="A2733" s="508">
        <v>99437</v>
      </c>
      <c r="B2733" s="509" t="s">
        <v>4169</v>
      </c>
      <c r="C2733" s="508" t="s">
        <v>163</v>
      </c>
      <c r="D2733" s="508">
        <v>645.79</v>
      </c>
      <c r="E2733" s="461" t="s">
        <v>174</v>
      </c>
    </row>
    <row r="2734" spans="1:5" ht="40.5" x14ac:dyDescent="0.25">
      <c r="A2734" s="508">
        <v>99438</v>
      </c>
      <c r="B2734" s="509" t="s">
        <v>4170</v>
      </c>
      <c r="C2734" s="508" t="s">
        <v>163</v>
      </c>
      <c r="D2734" s="508">
        <v>652.53</v>
      </c>
      <c r="E2734" s="461" t="s">
        <v>174</v>
      </c>
    </row>
    <row r="2735" spans="1:5" ht="40.5" x14ac:dyDescent="0.25">
      <c r="A2735" s="508">
        <v>99439</v>
      </c>
      <c r="B2735" s="509" t="s">
        <v>4171</v>
      </c>
      <c r="C2735" s="508" t="s">
        <v>163</v>
      </c>
      <c r="D2735" s="508">
        <v>622.32000000000005</v>
      </c>
      <c r="E2735" s="461" t="s">
        <v>174</v>
      </c>
    </row>
    <row r="2736" spans="1:5" ht="27" x14ac:dyDescent="0.25">
      <c r="A2736" s="508">
        <v>102473</v>
      </c>
      <c r="B2736" s="509" t="s">
        <v>3573</v>
      </c>
      <c r="C2736" s="508" t="s">
        <v>163</v>
      </c>
      <c r="D2736" s="508">
        <v>752.07</v>
      </c>
      <c r="E2736" s="461" t="s">
        <v>174</v>
      </c>
    </row>
    <row r="2737" spans="1:5" ht="27" x14ac:dyDescent="0.25">
      <c r="A2737" s="508">
        <v>102474</v>
      </c>
      <c r="B2737" s="509" t="s">
        <v>3574</v>
      </c>
      <c r="C2737" s="508" t="s">
        <v>163</v>
      </c>
      <c r="D2737" s="508">
        <v>779.24</v>
      </c>
      <c r="E2737" s="461" t="s">
        <v>174</v>
      </c>
    </row>
    <row r="2738" spans="1:5" ht="27" x14ac:dyDescent="0.25">
      <c r="A2738" s="508">
        <v>102475</v>
      </c>
      <c r="B2738" s="509" t="s">
        <v>3575</v>
      </c>
      <c r="C2738" s="508" t="s">
        <v>163</v>
      </c>
      <c r="D2738" s="508">
        <v>816.18</v>
      </c>
      <c r="E2738" s="461" t="s">
        <v>174</v>
      </c>
    </row>
    <row r="2739" spans="1:5" ht="27" x14ac:dyDescent="0.25">
      <c r="A2739" s="508">
        <v>102476</v>
      </c>
      <c r="B2739" s="509" t="s">
        <v>3576</v>
      </c>
      <c r="C2739" s="508" t="s">
        <v>163</v>
      </c>
      <c r="D2739" s="508">
        <v>824.01</v>
      </c>
      <c r="E2739" s="461" t="s">
        <v>174</v>
      </c>
    </row>
    <row r="2740" spans="1:5" ht="27" x14ac:dyDescent="0.25">
      <c r="A2740" s="508">
        <v>102477</v>
      </c>
      <c r="B2740" s="509" t="s">
        <v>3577</v>
      </c>
      <c r="C2740" s="508" t="s">
        <v>163</v>
      </c>
      <c r="D2740" s="508">
        <v>855.08</v>
      </c>
      <c r="E2740" s="461" t="s">
        <v>174</v>
      </c>
    </row>
    <row r="2741" spans="1:5" ht="27" x14ac:dyDescent="0.25">
      <c r="A2741" s="508">
        <v>102478</v>
      </c>
      <c r="B2741" s="509" t="s">
        <v>3578</v>
      </c>
      <c r="C2741" s="508" t="s">
        <v>163</v>
      </c>
      <c r="D2741" s="508">
        <v>885</v>
      </c>
      <c r="E2741" s="461" t="s">
        <v>174</v>
      </c>
    </row>
    <row r="2742" spans="1:5" ht="27" x14ac:dyDescent="0.25">
      <c r="A2742" s="508">
        <v>102479</v>
      </c>
      <c r="B2742" s="509" t="s">
        <v>3579</v>
      </c>
      <c r="C2742" s="508" t="s">
        <v>163</v>
      </c>
      <c r="D2742" s="508">
        <v>749.59</v>
      </c>
      <c r="E2742" s="461" t="s">
        <v>174</v>
      </c>
    </row>
    <row r="2743" spans="1:5" ht="27" x14ac:dyDescent="0.25">
      <c r="A2743" s="508">
        <v>102480</v>
      </c>
      <c r="B2743" s="509" t="s">
        <v>3580</v>
      </c>
      <c r="C2743" s="508" t="s">
        <v>163</v>
      </c>
      <c r="D2743" s="508">
        <v>772.65</v>
      </c>
      <c r="E2743" s="461" t="s">
        <v>174</v>
      </c>
    </row>
    <row r="2744" spans="1:5" ht="27" x14ac:dyDescent="0.25">
      <c r="A2744" s="508">
        <v>102481</v>
      </c>
      <c r="B2744" s="509" t="s">
        <v>3581</v>
      </c>
      <c r="C2744" s="508" t="s">
        <v>163</v>
      </c>
      <c r="D2744" s="508">
        <v>802.78</v>
      </c>
      <c r="E2744" s="461" t="s">
        <v>174</v>
      </c>
    </row>
    <row r="2745" spans="1:5" ht="27" x14ac:dyDescent="0.25">
      <c r="A2745" s="508">
        <v>102482</v>
      </c>
      <c r="B2745" s="509" t="s">
        <v>3582</v>
      </c>
      <c r="C2745" s="508" t="s">
        <v>163</v>
      </c>
      <c r="D2745" s="508">
        <v>821.59</v>
      </c>
      <c r="E2745" s="461" t="s">
        <v>174</v>
      </c>
    </row>
    <row r="2746" spans="1:5" ht="27" x14ac:dyDescent="0.25">
      <c r="A2746" s="508">
        <v>102483</v>
      </c>
      <c r="B2746" s="509" t="s">
        <v>3583</v>
      </c>
      <c r="C2746" s="508" t="s">
        <v>163</v>
      </c>
      <c r="D2746" s="508">
        <v>848.1</v>
      </c>
      <c r="E2746" s="461" t="s">
        <v>174</v>
      </c>
    </row>
    <row r="2747" spans="1:5" ht="27" x14ac:dyDescent="0.25">
      <c r="A2747" s="508">
        <v>102484</v>
      </c>
      <c r="B2747" s="509" t="s">
        <v>3584</v>
      </c>
      <c r="C2747" s="508" t="s">
        <v>163</v>
      </c>
      <c r="D2747" s="508">
        <v>884.18</v>
      </c>
      <c r="E2747" s="461" t="s">
        <v>174</v>
      </c>
    </row>
    <row r="2748" spans="1:5" ht="27" x14ac:dyDescent="0.25">
      <c r="A2748" s="508">
        <v>102485</v>
      </c>
      <c r="B2748" s="509" t="s">
        <v>3585</v>
      </c>
      <c r="C2748" s="508" t="s">
        <v>163</v>
      </c>
      <c r="D2748" s="508">
        <v>824.13</v>
      </c>
      <c r="E2748" s="461" t="s">
        <v>174</v>
      </c>
    </row>
    <row r="2749" spans="1:5" ht="27" x14ac:dyDescent="0.25">
      <c r="A2749" s="508">
        <v>102486</v>
      </c>
      <c r="B2749" s="509" t="s">
        <v>3586</v>
      </c>
      <c r="C2749" s="508" t="s">
        <v>163</v>
      </c>
      <c r="D2749" s="508">
        <v>841.03</v>
      </c>
      <c r="E2749" s="461" t="s">
        <v>174</v>
      </c>
    </row>
    <row r="2750" spans="1:5" ht="27" x14ac:dyDescent="0.25">
      <c r="A2750" s="508">
        <v>102487</v>
      </c>
      <c r="B2750" s="509" t="s">
        <v>3587</v>
      </c>
      <c r="C2750" s="508" t="s">
        <v>163</v>
      </c>
      <c r="D2750" s="508">
        <v>708.09</v>
      </c>
      <c r="E2750" s="461" t="s">
        <v>174</v>
      </c>
    </row>
    <row r="2751" spans="1:5" ht="40.5" x14ac:dyDescent="0.25">
      <c r="A2751" s="508">
        <v>103183</v>
      </c>
      <c r="B2751" s="509" t="s">
        <v>4172</v>
      </c>
      <c r="C2751" s="508" t="s">
        <v>163</v>
      </c>
      <c r="D2751" s="508">
        <v>668.66</v>
      </c>
      <c r="E2751" s="461" t="s">
        <v>174</v>
      </c>
    </row>
    <row r="2752" spans="1:5" ht="40.5" x14ac:dyDescent="0.25">
      <c r="A2752" s="508">
        <v>103184</v>
      </c>
      <c r="B2752" s="509" t="s">
        <v>4173</v>
      </c>
      <c r="C2752" s="508" t="s">
        <v>163</v>
      </c>
      <c r="D2752" s="508">
        <v>621.94000000000005</v>
      </c>
      <c r="E2752" s="461" t="s">
        <v>174</v>
      </c>
    </row>
    <row r="2753" spans="1:5" ht="27" x14ac:dyDescent="0.25">
      <c r="A2753" s="508">
        <v>103669</v>
      </c>
      <c r="B2753" s="509" t="s">
        <v>5548</v>
      </c>
      <c r="C2753" s="508" t="s">
        <v>163</v>
      </c>
      <c r="D2753" s="508">
        <v>922.99</v>
      </c>
      <c r="E2753" s="461" t="s">
        <v>174</v>
      </c>
    </row>
    <row r="2754" spans="1:5" ht="27" x14ac:dyDescent="0.25">
      <c r="A2754" s="508">
        <v>103670</v>
      </c>
      <c r="B2754" s="509" t="s">
        <v>5549</v>
      </c>
      <c r="C2754" s="508" t="s">
        <v>163</v>
      </c>
      <c r="D2754" s="508">
        <v>326.58999999999997</v>
      </c>
      <c r="E2754" s="461" t="s">
        <v>174</v>
      </c>
    </row>
    <row r="2755" spans="1:5" ht="27" x14ac:dyDescent="0.25">
      <c r="A2755" s="508">
        <v>103671</v>
      </c>
      <c r="B2755" s="509" t="s">
        <v>5550</v>
      </c>
      <c r="C2755" s="508" t="s">
        <v>163</v>
      </c>
      <c r="D2755" s="508">
        <v>649.35</v>
      </c>
      <c r="E2755" s="461" t="s">
        <v>174</v>
      </c>
    </row>
    <row r="2756" spans="1:5" ht="27" x14ac:dyDescent="0.25">
      <c r="A2756" s="508">
        <v>103672</v>
      </c>
      <c r="B2756" s="509" t="s">
        <v>5551</v>
      </c>
      <c r="C2756" s="508" t="s">
        <v>163</v>
      </c>
      <c r="D2756" s="508">
        <v>607.54</v>
      </c>
      <c r="E2756" s="461" t="s">
        <v>174</v>
      </c>
    </row>
    <row r="2757" spans="1:5" ht="27" x14ac:dyDescent="0.25">
      <c r="A2757" s="508">
        <v>103673</v>
      </c>
      <c r="B2757" s="509" t="s">
        <v>5552</v>
      </c>
      <c r="C2757" s="508" t="s">
        <v>163</v>
      </c>
      <c r="D2757" s="508">
        <v>45.47</v>
      </c>
      <c r="E2757" s="461" t="s">
        <v>174</v>
      </c>
    </row>
    <row r="2758" spans="1:5" ht="27" x14ac:dyDescent="0.25">
      <c r="A2758" s="508">
        <v>103674</v>
      </c>
      <c r="B2758" s="509" t="s">
        <v>5553</v>
      </c>
      <c r="C2758" s="508" t="s">
        <v>163</v>
      </c>
      <c r="D2758" s="508">
        <v>630.79</v>
      </c>
      <c r="E2758" s="461" t="s">
        <v>174</v>
      </c>
    </row>
    <row r="2759" spans="1:5" ht="27" x14ac:dyDescent="0.25">
      <c r="A2759" s="508">
        <v>103675</v>
      </c>
      <c r="B2759" s="509" t="s">
        <v>5554</v>
      </c>
      <c r="C2759" s="508" t="s">
        <v>163</v>
      </c>
      <c r="D2759" s="508">
        <v>608.83000000000004</v>
      </c>
      <c r="E2759" s="461" t="s">
        <v>174</v>
      </c>
    </row>
    <row r="2760" spans="1:5" ht="40.5" x14ac:dyDescent="0.25">
      <c r="A2760" s="508">
        <v>103676</v>
      </c>
      <c r="B2760" s="509" t="s">
        <v>5555</v>
      </c>
      <c r="C2760" s="508" t="s">
        <v>163</v>
      </c>
      <c r="D2760" s="508">
        <v>983.08</v>
      </c>
      <c r="E2760" s="461" t="s">
        <v>174</v>
      </c>
    </row>
    <row r="2761" spans="1:5" ht="40.5" x14ac:dyDescent="0.25">
      <c r="A2761" s="508">
        <v>103677</v>
      </c>
      <c r="B2761" s="509" t="s">
        <v>5556</v>
      </c>
      <c r="C2761" s="508" t="s">
        <v>163</v>
      </c>
      <c r="D2761" s="508">
        <v>796.82</v>
      </c>
      <c r="E2761" s="461" t="s">
        <v>174</v>
      </c>
    </row>
    <row r="2762" spans="1:5" ht="40.5" x14ac:dyDescent="0.25">
      <c r="A2762" s="508">
        <v>103678</v>
      </c>
      <c r="B2762" s="509" t="s">
        <v>5557</v>
      </c>
      <c r="C2762" s="508" t="s">
        <v>163</v>
      </c>
      <c r="D2762" s="508">
        <v>878.34</v>
      </c>
      <c r="E2762" s="461" t="s">
        <v>174</v>
      </c>
    </row>
    <row r="2763" spans="1:5" ht="40.5" x14ac:dyDescent="0.25">
      <c r="A2763" s="508">
        <v>103679</v>
      </c>
      <c r="B2763" s="509" t="s">
        <v>5558</v>
      </c>
      <c r="C2763" s="508" t="s">
        <v>163</v>
      </c>
      <c r="D2763" s="508">
        <v>750.28</v>
      </c>
      <c r="E2763" s="461" t="s">
        <v>174</v>
      </c>
    </row>
    <row r="2764" spans="1:5" ht="40.5" x14ac:dyDescent="0.25">
      <c r="A2764" s="508">
        <v>103680</v>
      </c>
      <c r="B2764" s="509" t="s">
        <v>5559</v>
      </c>
      <c r="C2764" s="508" t="s">
        <v>163</v>
      </c>
      <c r="D2764" s="508">
        <v>805.98</v>
      </c>
      <c r="E2764" s="461" t="s">
        <v>174</v>
      </c>
    </row>
    <row r="2765" spans="1:5" ht="40.5" x14ac:dyDescent="0.25">
      <c r="A2765" s="508">
        <v>103681</v>
      </c>
      <c r="B2765" s="509" t="s">
        <v>5560</v>
      </c>
      <c r="C2765" s="508" t="s">
        <v>163</v>
      </c>
      <c r="D2765" s="508">
        <v>678.87</v>
      </c>
      <c r="E2765" s="461" t="s">
        <v>174</v>
      </c>
    </row>
    <row r="2766" spans="1:5" ht="27" x14ac:dyDescent="0.25">
      <c r="A2766" s="508">
        <v>103682</v>
      </c>
      <c r="B2766" s="509" t="s">
        <v>5561</v>
      </c>
      <c r="C2766" s="508" t="s">
        <v>163</v>
      </c>
      <c r="D2766" s="508">
        <v>941.97</v>
      </c>
      <c r="E2766" s="461" t="s">
        <v>174</v>
      </c>
    </row>
    <row r="2767" spans="1:5" ht="40.5" x14ac:dyDescent="0.25">
      <c r="A2767" s="508">
        <v>103683</v>
      </c>
      <c r="B2767" s="509" t="s">
        <v>5562</v>
      </c>
      <c r="C2767" s="508" t="s">
        <v>163</v>
      </c>
      <c r="D2767" s="508">
        <v>1258.42</v>
      </c>
      <c r="E2767" s="461" t="s">
        <v>174</v>
      </c>
    </row>
    <row r="2768" spans="1:5" ht="27" x14ac:dyDescent="0.25">
      <c r="A2768" s="508">
        <v>103684</v>
      </c>
      <c r="B2768" s="509" t="s">
        <v>5563</v>
      </c>
      <c r="C2768" s="508" t="s">
        <v>163</v>
      </c>
      <c r="D2768" s="508">
        <v>627.76</v>
      </c>
      <c r="E2768" s="461" t="s">
        <v>174</v>
      </c>
    </row>
    <row r="2769" spans="1:5" ht="27" x14ac:dyDescent="0.25">
      <c r="A2769" s="508">
        <v>103685</v>
      </c>
      <c r="B2769" s="509" t="s">
        <v>5564</v>
      </c>
      <c r="C2769" s="508" t="s">
        <v>163</v>
      </c>
      <c r="D2769" s="508">
        <v>613.96</v>
      </c>
      <c r="E2769" s="461" t="s">
        <v>174</v>
      </c>
    </row>
    <row r="2770" spans="1:5" ht="27" x14ac:dyDescent="0.25">
      <c r="A2770" s="508">
        <v>103686</v>
      </c>
      <c r="B2770" s="509" t="s">
        <v>5565</v>
      </c>
      <c r="C2770" s="508" t="s">
        <v>163</v>
      </c>
      <c r="D2770" s="508">
        <v>682.2</v>
      </c>
      <c r="E2770" s="461" t="s">
        <v>174</v>
      </c>
    </row>
    <row r="2771" spans="1:5" ht="27" x14ac:dyDescent="0.25">
      <c r="A2771" s="508">
        <v>103687</v>
      </c>
      <c r="B2771" s="509" t="s">
        <v>5566</v>
      </c>
      <c r="C2771" s="508" t="s">
        <v>163</v>
      </c>
      <c r="D2771" s="508">
        <v>1058.01</v>
      </c>
      <c r="E2771" s="461" t="s">
        <v>174</v>
      </c>
    </row>
    <row r="2772" spans="1:5" ht="27" x14ac:dyDescent="0.25">
      <c r="A2772" s="508">
        <v>103688</v>
      </c>
      <c r="B2772" s="509" t="s">
        <v>5567</v>
      </c>
      <c r="C2772" s="508" t="s">
        <v>163</v>
      </c>
      <c r="D2772" s="508">
        <v>790.01</v>
      </c>
      <c r="E2772" s="461" t="s">
        <v>174</v>
      </c>
    </row>
    <row r="2773" spans="1:5" ht="27" x14ac:dyDescent="0.25">
      <c r="A2773" s="508">
        <v>104916</v>
      </c>
      <c r="B2773" s="509" t="s">
        <v>5568</v>
      </c>
      <c r="C2773" s="508" t="s">
        <v>106</v>
      </c>
      <c r="D2773" s="508">
        <v>17.239999999999998</v>
      </c>
      <c r="E2773" s="461" t="s">
        <v>174</v>
      </c>
    </row>
    <row r="2774" spans="1:5" ht="27" x14ac:dyDescent="0.25">
      <c r="A2774" s="508">
        <v>104923</v>
      </c>
      <c r="B2774" s="509" t="s">
        <v>5569</v>
      </c>
      <c r="C2774" s="508" t="s">
        <v>163</v>
      </c>
      <c r="D2774" s="508">
        <v>877.49</v>
      </c>
      <c r="E2774" s="461" t="s">
        <v>174</v>
      </c>
    </row>
    <row r="2775" spans="1:5" ht="27" x14ac:dyDescent="0.25">
      <c r="A2775" s="508">
        <v>104924</v>
      </c>
      <c r="B2775" s="509" t="s">
        <v>5570</v>
      </c>
      <c r="C2775" s="508" t="s">
        <v>163</v>
      </c>
      <c r="D2775" s="508">
        <v>691.15</v>
      </c>
      <c r="E2775" s="461" t="s">
        <v>174</v>
      </c>
    </row>
    <row r="2776" spans="1:5" ht="27" x14ac:dyDescent="0.25">
      <c r="A2776" s="508">
        <v>101963</v>
      </c>
      <c r="B2776" s="509" t="s">
        <v>5571</v>
      </c>
      <c r="C2776" s="508" t="s">
        <v>150</v>
      </c>
      <c r="D2776" s="508">
        <v>181</v>
      </c>
      <c r="E2776" s="461" t="s">
        <v>174</v>
      </c>
    </row>
    <row r="2777" spans="1:5" ht="27" x14ac:dyDescent="0.25">
      <c r="A2777" s="508">
        <v>101964</v>
      </c>
      <c r="B2777" s="509" t="s">
        <v>5572</v>
      </c>
      <c r="C2777" s="508" t="s">
        <v>150</v>
      </c>
      <c r="D2777" s="508">
        <v>169.3</v>
      </c>
      <c r="E2777" s="461" t="s">
        <v>174</v>
      </c>
    </row>
    <row r="2778" spans="1:5" ht="27" x14ac:dyDescent="0.25">
      <c r="A2778" s="508">
        <v>101165</v>
      </c>
      <c r="B2778" s="509" t="s">
        <v>1989</v>
      </c>
      <c r="C2778" s="508" t="s">
        <v>163</v>
      </c>
      <c r="D2778" s="508">
        <v>1070.6500000000001</v>
      </c>
      <c r="E2778" s="461" t="s">
        <v>174</v>
      </c>
    </row>
    <row r="2779" spans="1:5" ht="27" x14ac:dyDescent="0.25">
      <c r="A2779" s="508">
        <v>101166</v>
      </c>
      <c r="B2779" s="509" t="s">
        <v>1990</v>
      </c>
      <c r="C2779" s="508" t="s">
        <v>163</v>
      </c>
      <c r="D2779" s="508">
        <v>720.74</v>
      </c>
      <c r="E2779" s="461" t="s">
        <v>174</v>
      </c>
    </row>
    <row r="2780" spans="1:5" ht="27" x14ac:dyDescent="0.25">
      <c r="A2780" s="508">
        <v>98575</v>
      </c>
      <c r="B2780" s="509" t="s">
        <v>5573</v>
      </c>
      <c r="C2780" s="508" t="s">
        <v>5</v>
      </c>
      <c r="D2780" s="508">
        <v>76.72</v>
      </c>
      <c r="E2780" s="461" t="s">
        <v>174</v>
      </c>
    </row>
    <row r="2781" spans="1:5" ht="15" x14ac:dyDescent="0.25">
      <c r="A2781" s="508">
        <v>98576</v>
      </c>
      <c r="B2781" s="509" t="s">
        <v>5574</v>
      </c>
      <c r="C2781" s="508" t="s">
        <v>5</v>
      </c>
      <c r="D2781" s="508">
        <v>20.89</v>
      </c>
      <c r="E2781" s="461" t="s">
        <v>174</v>
      </c>
    </row>
    <row r="2782" spans="1:5" ht="27" x14ac:dyDescent="0.25">
      <c r="A2782" s="508">
        <v>98577</v>
      </c>
      <c r="B2782" s="509" t="s">
        <v>5575</v>
      </c>
      <c r="C2782" s="508" t="s">
        <v>5</v>
      </c>
      <c r="D2782" s="508">
        <v>51.83</v>
      </c>
      <c r="E2782" s="461" t="s">
        <v>174</v>
      </c>
    </row>
    <row r="2783" spans="1:5" ht="15" x14ac:dyDescent="0.25">
      <c r="A2783" s="508">
        <v>93184</v>
      </c>
      <c r="B2783" s="509" t="s">
        <v>5576</v>
      </c>
      <c r="C2783" s="508" t="s">
        <v>5</v>
      </c>
      <c r="D2783" s="508">
        <v>30.89</v>
      </c>
      <c r="E2783" s="461" t="s">
        <v>174</v>
      </c>
    </row>
    <row r="2784" spans="1:5" ht="15" x14ac:dyDescent="0.25">
      <c r="A2784" s="508">
        <v>93187</v>
      </c>
      <c r="B2784" s="509" t="s">
        <v>5577</v>
      </c>
      <c r="C2784" s="508" t="s">
        <v>5</v>
      </c>
      <c r="D2784" s="508">
        <v>81.91</v>
      </c>
      <c r="E2784" s="461" t="s">
        <v>174</v>
      </c>
    </row>
    <row r="2785" spans="1:5" ht="27" x14ac:dyDescent="0.25">
      <c r="A2785" s="508">
        <v>93191</v>
      </c>
      <c r="B2785" s="509" t="s">
        <v>5578</v>
      </c>
      <c r="C2785" s="508" t="s">
        <v>5</v>
      </c>
      <c r="D2785" s="508">
        <v>75.17</v>
      </c>
      <c r="E2785" s="461" t="s">
        <v>174</v>
      </c>
    </row>
    <row r="2786" spans="1:5" ht="15" x14ac:dyDescent="0.25">
      <c r="A2786" s="508">
        <v>93194</v>
      </c>
      <c r="B2786" s="509" t="s">
        <v>5579</v>
      </c>
      <c r="C2786" s="508" t="s">
        <v>5</v>
      </c>
      <c r="D2786" s="508">
        <v>30.12</v>
      </c>
      <c r="E2786" s="461" t="s">
        <v>174</v>
      </c>
    </row>
    <row r="2787" spans="1:5" ht="15" x14ac:dyDescent="0.25">
      <c r="A2787" s="508">
        <v>93197</v>
      </c>
      <c r="B2787" s="509" t="s">
        <v>5580</v>
      </c>
      <c r="C2787" s="508" t="s">
        <v>5</v>
      </c>
      <c r="D2787" s="508">
        <v>61.6</v>
      </c>
      <c r="E2787" s="461" t="s">
        <v>174</v>
      </c>
    </row>
    <row r="2788" spans="1:5" ht="27" x14ac:dyDescent="0.25">
      <c r="A2788" s="508">
        <v>93199</v>
      </c>
      <c r="B2788" s="509" t="s">
        <v>5581</v>
      </c>
      <c r="C2788" s="508" t="s">
        <v>5</v>
      </c>
      <c r="D2788" s="508">
        <v>53.69</v>
      </c>
      <c r="E2788" s="461" t="s">
        <v>174</v>
      </c>
    </row>
    <row r="2789" spans="1:5" ht="27" x14ac:dyDescent="0.25">
      <c r="A2789" s="508">
        <v>93200</v>
      </c>
      <c r="B2789" s="509" t="s">
        <v>5582</v>
      </c>
      <c r="C2789" s="508" t="s">
        <v>5</v>
      </c>
      <c r="D2789" s="508">
        <v>13.15</v>
      </c>
      <c r="E2789" s="461" t="s">
        <v>174</v>
      </c>
    </row>
    <row r="2790" spans="1:5" ht="15" x14ac:dyDescent="0.25">
      <c r="A2790" s="508">
        <v>93202</v>
      </c>
      <c r="B2790" s="509" t="s">
        <v>5583</v>
      </c>
      <c r="C2790" s="508" t="s">
        <v>5</v>
      </c>
      <c r="D2790" s="508">
        <v>31.34</v>
      </c>
      <c r="E2790" s="461" t="s">
        <v>174</v>
      </c>
    </row>
    <row r="2791" spans="1:5" ht="27" x14ac:dyDescent="0.25">
      <c r="A2791" s="508">
        <v>93203</v>
      </c>
      <c r="B2791" s="509" t="s">
        <v>5584</v>
      </c>
      <c r="C2791" s="508" t="s">
        <v>5</v>
      </c>
      <c r="D2791" s="508">
        <v>13.28</v>
      </c>
      <c r="E2791" s="461" t="s">
        <v>174</v>
      </c>
    </row>
    <row r="2792" spans="1:5" ht="27" x14ac:dyDescent="0.25">
      <c r="A2792" s="508">
        <v>93205</v>
      </c>
      <c r="B2792" s="509" t="s">
        <v>5585</v>
      </c>
      <c r="C2792" s="508" t="s">
        <v>5</v>
      </c>
      <c r="D2792" s="508">
        <v>65.27</v>
      </c>
      <c r="E2792" s="461" t="s">
        <v>174</v>
      </c>
    </row>
    <row r="2793" spans="1:5" ht="15" x14ac:dyDescent="0.25">
      <c r="A2793" s="508">
        <v>105021</v>
      </c>
      <c r="B2793" s="509" t="s">
        <v>5586</v>
      </c>
      <c r="C2793" s="508" t="s">
        <v>5</v>
      </c>
      <c r="D2793" s="508">
        <v>26.54</v>
      </c>
      <c r="E2793" s="461" t="s">
        <v>174</v>
      </c>
    </row>
    <row r="2794" spans="1:5" ht="15" x14ac:dyDescent="0.25">
      <c r="A2794" s="508">
        <v>105022</v>
      </c>
      <c r="B2794" s="509" t="s">
        <v>5587</v>
      </c>
      <c r="C2794" s="508" t="s">
        <v>5</v>
      </c>
      <c r="D2794" s="508">
        <v>23.05</v>
      </c>
      <c r="E2794" s="461" t="s">
        <v>174</v>
      </c>
    </row>
    <row r="2795" spans="1:5" ht="15" x14ac:dyDescent="0.25">
      <c r="A2795" s="508">
        <v>105023</v>
      </c>
      <c r="B2795" s="509" t="s">
        <v>5588</v>
      </c>
      <c r="C2795" s="508" t="s">
        <v>5</v>
      </c>
      <c r="D2795" s="508">
        <v>69.13</v>
      </c>
      <c r="E2795" s="461" t="s">
        <v>174</v>
      </c>
    </row>
    <row r="2796" spans="1:5" ht="15" x14ac:dyDescent="0.25">
      <c r="A2796" s="508">
        <v>105024</v>
      </c>
      <c r="B2796" s="509" t="s">
        <v>5589</v>
      </c>
      <c r="C2796" s="508" t="s">
        <v>5</v>
      </c>
      <c r="D2796" s="508">
        <v>56.33</v>
      </c>
      <c r="E2796" s="461" t="s">
        <v>174</v>
      </c>
    </row>
    <row r="2797" spans="1:5" ht="27" x14ac:dyDescent="0.25">
      <c r="A2797" s="508">
        <v>105025</v>
      </c>
      <c r="B2797" s="509" t="s">
        <v>5590</v>
      </c>
      <c r="C2797" s="508" t="s">
        <v>5</v>
      </c>
      <c r="D2797" s="508">
        <v>61.93</v>
      </c>
      <c r="E2797" s="461" t="s">
        <v>174</v>
      </c>
    </row>
    <row r="2798" spans="1:5" ht="27" x14ac:dyDescent="0.25">
      <c r="A2798" s="508">
        <v>105026</v>
      </c>
      <c r="B2798" s="509" t="s">
        <v>5591</v>
      </c>
      <c r="C2798" s="508" t="s">
        <v>5</v>
      </c>
      <c r="D2798" s="508">
        <v>43.52</v>
      </c>
      <c r="E2798" s="461" t="s">
        <v>174</v>
      </c>
    </row>
    <row r="2799" spans="1:5" ht="15" x14ac:dyDescent="0.25">
      <c r="A2799" s="508">
        <v>105027</v>
      </c>
      <c r="B2799" s="509" t="s">
        <v>5592</v>
      </c>
      <c r="C2799" s="508" t="s">
        <v>5</v>
      </c>
      <c r="D2799" s="508">
        <v>26.16</v>
      </c>
      <c r="E2799" s="461" t="s">
        <v>174</v>
      </c>
    </row>
    <row r="2800" spans="1:5" ht="15" x14ac:dyDescent="0.25">
      <c r="A2800" s="508">
        <v>105028</v>
      </c>
      <c r="B2800" s="509" t="s">
        <v>5593</v>
      </c>
      <c r="C2800" s="508" t="s">
        <v>5</v>
      </c>
      <c r="D2800" s="508">
        <v>22.69</v>
      </c>
      <c r="E2800" s="461" t="s">
        <v>174</v>
      </c>
    </row>
    <row r="2801" spans="1:5" ht="15" x14ac:dyDescent="0.25">
      <c r="A2801" s="508">
        <v>105029</v>
      </c>
      <c r="B2801" s="509" t="s">
        <v>5594</v>
      </c>
      <c r="C2801" s="508" t="s">
        <v>5</v>
      </c>
      <c r="D2801" s="508">
        <v>52.76</v>
      </c>
      <c r="E2801" s="461" t="s">
        <v>174</v>
      </c>
    </row>
    <row r="2802" spans="1:5" ht="15" x14ac:dyDescent="0.25">
      <c r="A2802" s="508">
        <v>105030</v>
      </c>
      <c r="B2802" s="509" t="s">
        <v>5595</v>
      </c>
      <c r="C2802" s="508" t="s">
        <v>5</v>
      </c>
      <c r="D2802" s="508">
        <v>43.95</v>
      </c>
      <c r="E2802" s="461" t="s">
        <v>174</v>
      </c>
    </row>
    <row r="2803" spans="1:5" ht="27" x14ac:dyDescent="0.25">
      <c r="A2803" s="508">
        <v>105031</v>
      </c>
      <c r="B2803" s="509" t="s">
        <v>5596</v>
      </c>
      <c r="C2803" s="508" t="s">
        <v>5</v>
      </c>
      <c r="D2803" s="508">
        <v>50.5</v>
      </c>
      <c r="E2803" s="461" t="s">
        <v>174</v>
      </c>
    </row>
    <row r="2804" spans="1:5" ht="27" x14ac:dyDescent="0.25">
      <c r="A2804" s="508">
        <v>105032</v>
      </c>
      <c r="B2804" s="509" t="s">
        <v>5597</v>
      </c>
      <c r="C2804" s="508" t="s">
        <v>5</v>
      </c>
      <c r="D2804" s="508">
        <v>42.51</v>
      </c>
      <c r="E2804" s="461" t="s">
        <v>174</v>
      </c>
    </row>
    <row r="2805" spans="1:5" ht="27" x14ac:dyDescent="0.25">
      <c r="A2805" s="508">
        <v>105033</v>
      </c>
      <c r="B2805" s="509" t="s">
        <v>5598</v>
      </c>
      <c r="C2805" s="508" t="s">
        <v>5</v>
      </c>
      <c r="D2805" s="508">
        <v>60.82</v>
      </c>
      <c r="E2805" s="461" t="s">
        <v>174</v>
      </c>
    </row>
    <row r="2806" spans="1:5" ht="27" x14ac:dyDescent="0.25">
      <c r="A2806" s="508">
        <v>105034</v>
      </c>
      <c r="B2806" s="509" t="s">
        <v>5599</v>
      </c>
      <c r="C2806" s="508" t="s">
        <v>5</v>
      </c>
      <c r="D2806" s="508">
        <v>51.58</v>
      </c>
      <c r="E2806" s="461" t="s">
        <v>174</v>
      </c>
    </row>
    <row r="2807" spans="1:5" ht="15" x14ac:dyDescent="0.25">
      <c r="A2807" s="508">
        <v>105035</v>
      </c>
      <c r="B2807" s="509" t="s">
        <v>5600</v>
      </c>
      <c r="C2807" s="508" t="s">
        <v>5</v>
      </c>
      <c r="D2807" s="508">
        <v>70.819999999999993</v>
      </c>
      <c r="E2807" s="461" t="s">
        <v>174</v>
      </c>
    </row>
    <row r="2808" spans="1:5" ht="15" x14ac:dyDescent="0.25">
      <c r="A2808" s="508">
        <v>105036</v>
      </c>
      <c r="B2808" s="509" t="s">
        <v>5601</v>
      </c>
      <c r="C2808" s="508" t="s">
        <v>5</v>
      </c>
      <c r="D2808" s="508">
        <v>51.08</v>
      </c>
      <c r="E2808" s="461" t="s">
        <v>174</v>
      </c>
    </row>
    <row r="2809" spans="1:5" ht="15" x14ac:dyDescent="0.25">
      <c r="A2809" s="508">
        <v>105037</v>
      </c>
      <c r="B2809" s="509" t="s">
        <v>5602</v>
      </c>
      <c r="C2809" s="508" t="s">
        <v>5</v>
      </c>
      <c r="D2809" s="508">
        <v>34.619999999999997</v>
      </c>
      <c r="E2809" s="461" t="s">
        <v>174</v>
      </c>
    </row>
    <row r="2810" spans="1:5" ht="15" x14ac:dyDescent="0.25">
      <c r="A2810" s="508">
        <v>105038</v>
      </c>
      <c r="B2810" s="509" t="s">
        <v>5603</v>
      </c>
      <c r="C2810" s="508" t="s">
        <v>5</v>
      </c>
      <c r="D2810" s="508">
        <v>70.61</v>
      </c>
      <c r="E2810" s="461" t="s">
        <v>174</v>
      </c>
    </row>
    <row r="2811" spans="1:5" ht="15" x14ac:dyDescent="0.25">
      <c r="A2811" s="508">
        <v>105039</v>
      </c>
      <c r="B2811" s="509" t="s">
        <v>5604</v>
      </c>
      <c r="C2811" s="508" t="s">
        <v>5</v>
      </c>
      <c r="D2811" s="508">
        <v>50.85</v>
      </c>
      <c r="E2811" s="461" t="s">
        <v>174</v>
      </c>
    </row>
    <row r="2812" spans="1:5" ht="15" x14ac:dyDescent="0.25">
      <c r="A2812" s="508">
        <v>105040</v>
      </c>
      <c r="B2812" s="509" t="s">
        <v>5605</v>
      </c>
      <c r="C2812" s="508" t="s">
        <v>5</v>
      </c>
      <c r="D2812" s="508">
        <v>34.450000000000003</v>
      </c>
      <c r="E2812" s="461" t="s">
        <v>174</v>
      </c>
    </row>
    <row r="2813" spans="1:5" ht="27" x14ac:dyDescent="0.25">
      <c r="A2813" s="508">
        <v>97733</v>
      </c>
      <c r="B2813" s="509" t="s">
        <v>5606</v>
      </c>
      <c r="C2813" s="508" t="s">
        <v>163</v>
      </c>
      <c r="D2813" s="508">
        <v>3622.11</v>
      </c>
      <c r="E2813" s="461" t="s">
        <v>174</v>
      </c>
    </row>
    <row r="2814" spans="1:5" ht="27" x14ac:dyDescent="0.25">
      <c r="A2814" s="508">
        <v>97734</v>
      </c>
      <c r="B2814" s="509" t="s">
        <v>5607</v>
      </c>
      <c r="C2814" s="508" t="s">
        <v>163</v>
      </c>
      <c r="D2814" s="508">
        <v>3195.03</v>
      </c>
      <c r="E2814" s="461" t="s">
        <v>174</v>
      </c>
    </row>
    <row r="2815" spans="1:5" ht="27" x14ac:dyDescent="0.25">
      <c r="A2815" s="508">
        <v>97735</v>
      </c>
      <c r="B2815" s="509" t="s">
        <v>5608</v>
      </c>
      <c r="C2815" s="508" t="s">
        <v>163</v>
      </c>
      <c r="D2815" s="508">
        <v>2614.1</v>
      </c>
      <c r="E2815" s="461" t="s">
        <v>174</v>
      </c>
    </row>
    <row r="2816" spans="1:5" ht="27" x14ac:dyDescent="0.25">
      <c r="A2816" s="508">
        <v>97736</v>
      </c>
      <c r="B2816" s="509" t="s">
        <v>5609</v>
      </c>
      <c r="C2816" s="508" t="s">
        <v>163</v>
      </c>
      <c r="D2816" s="508">
        <v>1595.23</v>
      </c>
      <c r="E2816" s="461" t="s">
        <v>174</v>
      </c>
    </row>
    <row r="2817" spans="1:5" ht="27" x14ac:dyDescent="0.25">
      <c r="A2817" s="508">
        <v>97737</v>
      </c>
      <c r="B2817" s="509" t="s">
        <v>5610</v>
      </c>
      <c r="C2817" s="508" t="s">
        <v>163</v>
      </c>
      <c r="D2817" s="508">
        <v>3379.87</v>
      </c>
      <c r="E2817" s="461" t="s">
        <v>174</v>
      </c>
    </row>
    <row r="2818" spans="1:5" ht="27" x14ac:dyDescent="0.25">
      <c r="A2818" s="508">
        <v>97738</v>
      </c>
      <c r="B2818" s="509" t="s">
        <v>13023</v>
      </c>
      <c r="C2818" s="508" t="s">
        <v>163</v>
      </c>
      <c r="D2818" s="508">
        <v>4093.63</v>
      </c>
      <c r="E2818" s="461" t="s">
        <v>174</v>
      </c>
    </row>
    <row r="2819" spans="1:5" ht="27" x14ac:dyDescent="0.25">
      <c r="A2819" s="508">
        <v>97739</v>
      </c>
      <c r="B2819" s="509" t="s">
        <v>5611</v>
      </c>
      <c r="C2819" s="508" t="s">
        <v>163</v>
      </c>
      <c r="D2819" s="508">
        <v>3001.88</v>
      </c>
      <c r="E2819" s="461" t="s">
        <v>174</v>
      </c>
    </row>
    <row r="2820" spans="1:5" ht="27" x14ac:dyDescent="0.25">
      <c r="A2820" s="508">
        <v>97740</v>
      </c>
      <c r="B2820" s="509" t="s">
        <v>5612</v>
      </c>
      <c r="C2820" s="508" t="s">
        <v>163</v>
      </c>
      <c r="D2820" s="508">
        <v>2125.35</v>
      </c>
      <c r="E2820" s="461" t="s">
        <v>174</v>
      </c>
    </row>
    <row r="2821" spans="1:5" ht="27" x14ac:dyDescent="0.25">
      <c r="A2821" s="508">
        <v>98615</v>
      </c>
      <c r="B2821" s="509" t="s">
        <v>1338</v>
      </c>
      <c r="C2821" s="508" t="s">
        <v>150</v>
      </c>
      <c r="D2821" s="508">
        <v>144.94999999999999</v>
      </c>
      <c r="E2821" s="461" t="s">
        <v>174</v>
      </c>
    </row>
    <row r="2822" spans="1:5" ht="27" x14ac:dyDescent="0.25">
      <c r="A2822" s="508">
        <v>98616</v>
      </c>
      <c r="B2822" s="509" t="s">
        <v>1339</v>
      </c>
      <c r="C2822" s="508" t="s">
        <v>150</v>
      </c>
      <c r="D2822" s="508">
        <v>112.2</v>
      </c>
      <c r="E2822" s="461" t="s">
        <v>174</v>
      </c>
    </row>
    <row r="2823" spans="1:5" ht="27" x14ac:dyDescent="0.25">
      <c r="A2823" s="508">
        <v>98617</v>
      </c>
      <c r="B2823" s="509" t="s">
        <v>1340</v>
      </c>
      <c r="C2823" s="508" t="s">
        <v>150</v>
      </c>
      <c r="D2823" s="508">
        <v>103.1</v>
      </c>
      <c r="E2823" s="461" t="s">
        <v>174</v>
      </c>
    </row>
    <row r="2824" spans="1:5" ht="27" x14ac:dyDescent="0.25">
      <c r="A2824" s="508">
        <v>98618</v>
      </c>
      <c r="B2824" s="509" t="s">
        <v>1341</v>
      </c>
      <c r="C2824" s="508" t="s">
        <v>150</v>
      </c>
      <c r="D2824" s="508">
        <v>141.85</v>
      </c>
      <c r="E2824" s="461" t="s">
        <v>174</v>
      </c>
    </row>
    <row r="2825" spans="1:5" ht="27" x14ac:dyDescent="0.25">
      <c r="A2825" s="508">
        <v>98619</v>
      </c>
      <c r="B2825" s="509" t="s">
        <v>1342</v>
      </c>
      <c r="C2825" s="508" t="s">
        <v>150</v>
      </c>
      <c r="D2825" s="508">
        <v>128.09</v>
      </c>
      <c r="E2825" s="461" t="s">
        <v>174</v>
      </c>
    </row>
    <row r="2826" spans="1:5" ht="27" x14ac:dyDescent="0.25">
      <c r="A2826" s="508">
        <v>98620</v>
      </c>
      <c r="B2826" s="509" t="s">
        <v>1343</v>
      </c>
      <c r="C2826" s="508" t="s">
        <v>150</v>
      </c>
      <c r="D2826" s="508">
        <v>121.14</v>
      </c>
      <c r="E2826" s="461" t="s">
        <v>174</v>
      </c>
    </row>
    <row r="2827" spans="1:5" ht="27" x14ac:dyDescent="0.25">
      <c r="A2827" s="508">
        <v>98621</v>
      </c>
      <c r="B2827" s="509" t="s">
        <v>1344</v>
      </c>
      <c r="C2827" s="508" t="s">
        <v>150</v>
      </c>
      <c r="D2827" s="508">
        <v>159.44</v>
      </c>
      <c r="E2827" s="461" t="s">
        <v>174</v>
      </c>
    </row>
    <row r="2828" spans="1:5" ht="27" x14ac:dyDescent="0.25">
      <c r="A2828" s="508">
        <v>98622</v>
      </c>
      <c r="B2828" s="509" t="s">
        <v>1345</v>
      </c>
      <c r="C2828" s="508" t="s">
        <v>150</v>
      </c>
      <c r="D2828" s="508">
        <v>148.37</v>
      </c>
      <c r="E2828" s="461" t="s">
        <v>174</v>
      </c>
    </row>
    <row r="2829" spans="1:5" ht="27" x14ac:dyDescent="0.25">
      <c r="A2829" s="508">
        <v>98623</v>
      </c>
      <c r="B2829" s="509" t="s">
        <v>1346</v>
      </c>
      <c r="C2829" s="508" t="s">
        <v>150</v>
      </c>
      <c r="D2829" s="508">
        <v>142.75</v>
      </c>
      <c r="E2829" s="461" t="s">
        <v>174</v>
      </c>
    </row>
    <row r="2830" spans="1:5" ht="27" x14ac:dyDescent="0.25">
      <c r="A2830" s="508">
        <v>98624</v>
      </c>
      <c r="B2830" s="509" t="s">
        <v>1347</v>
      </c>
      <c r="C2830" s="508" t="s">
        <v>150</v>
      </c>
      <c r="D2830" s="508">
        <v>178.97</v>
      </c>
      <c r="E2830" s="461" t="s">
        <v>174</v>
      </c>
    </row>
    <row r="2831" spans="1:5" ht="27" x14ac:dyDescent="0.25">
      <c r="A2831" s="508">
        <v>98625</v>
      </c>
      <c r="B2831" s="509" t="s">
        <v>1348</v>
      </c>
      <c r="C2831" s="508" t="s">
        <v>150</v>
      </c>
      <c r="D2831" s="508">
        <v>169.62</v>
      </c>
      <c r="E2831" s="461" t="s">
        <v>174</v>
      </c>
    </row>
    <row r="2832" spans="1:5" ht="27" x14ac:dyDescent="0.25">
      <c r="A2832" s="508">
        <v>98626</v>
      </c>
      <c r="B2832" s="509" t="s">
        <v>1349</v>
      </c>
      <c r="C2832" s="508" t="s">
        <v>150</v>
      </c>
      <c r="D2832" s="508">
        <v>164.82</v>
      </c>
      <c r="E2832" s="461" t="s">
        <v>174</v>
      </c>
    </row>
    <row r="2833" spans="1:5" ht="15" x14ac:dyDescent="0.25">
      <c r="A2833" s="508">
        <v>98655</v>
      </c>
      <c r="B2833" s="509" t="s">
        <v>1350</v>
      </c>
      <c r="C2833" s="508" t="s">
        <v>5</v>
      </c>
      <c r="D2833" s="508">
        <v>708.45</v>
      </c>
      <c r="E2833" s="461" t="s">
        <v>174</v>
      </c>
    </row>
    <row r="2834" spans="1:5" ht="15" x14ac:dyDescent="0.25">
      <c r="A2834" s="508">
        <v>98656</v>
      </c>
      <c r="B2834" s="509" t="s">
        <v>1351</v>
      </c>
      <c r="C2834" s="508" t="s">
        <v>5</v>
      </c>
      <c r="D2834" s="508">
        <v>719.02</v>
      </c>
      <c r="E2834" s="461" t="s">
        <v>174</v>
      </c>
    </row>
    <row r="2835" spans="1:5" ht="15" x14ac:dyDescent="0.25">
      <c r="A2835" s="508">
        <v>98657</v>
      </c>
      <c r="B2835" s="509" t="s">
        <v>1352</v>
      </c>
      <c r="C2835" s="508" t="s">
        <v>5</v>
      </c>
      <c r="D2835" s="508">
        <v>729.6</v>
      </c>
      <c r="E2835" s="461" t="s">
        <v>174</v>
      </c>
    </row>
    <row r="2836" spans="1:5" ht="15" x14ac:dyDescent="0.25">
      <c r="A2836" s="508">
        <v>98658</v>
      </c>
      <c r="B2836" s="509" t="s">
        <v>1353</v>
      </c>
      <c r="C2836" s="508" t="s">
        <v>5</v>
      </c>
      <c r="D2836" s="508">
        <v>740.19</v>
      </c>
      <c r="E2836" s="461" t="s">
        <v>174</v>
      </c>
    </row>
    <row r="2837" spans="1:5" ht="15" x14ac:dyDescent="0.25">
      <c r="A2837" s="508">
        <v>98659</v>
      </c>
      <c r="B2837" s="509" t="s">
        <v>1354</v>
      </c>
      <c r="C2837" s="508" t="s">
        <v>5</v>
      </c>
      <c r="D2837" s="508">
        <v>761.34</v>
      </c>
      <c r="E2837" s="461" t="s">
        <v>174</v>
      </c>
    </row>
    <row r="2838" spans="1:5" ht="15" x14ac:dyDescent="0.25">
      <c r="A2838" s="508">
        <v>98746</v>
      </c>
      <c r="B2838" s="509" t="s">
        <v>1355</v>
      </c>
      <c r="C2838" s="508" t="s">
        <v>5</v>
      </c>
      <c r="D2838" s="508">
        <v>74.349999999999994</v>
      </c>
      <c r="E2838" s="461" t="s">
        <v>174</v>
      </c>
    </row>
    <row r="2839" spans="1:5" ht="15" x14ac:dyDescent="0.25">
      <c r="A2839" s="508">
        <v>98749</v>
      </c>
      <c r="B2839" s="509" t="s">
        <v>1356</v>
      </c>
      <c r="C2839" s="508" t="s">
        <v>5</v>
      </c>
      <c r="D2839" s="508">
        <v>88.84</v>
      </c>
      <c r="E2839" s="461" t="s">
        <v>174</v>
      </c>
    </row>
    <row r="2840" spans="1:5" ht="15" x14ac:dyDescent="0.25">
      <c r="A2840" s="508">
        <v>98750</v>
      </c>
      <c r="B2840" s="509" t="s">
        <v>1357</v>
      </c>
      <c r="C2840" s="508" t="s">
        <v>5</v>
      </c>
      <c r="D2840" s="508">
        <v>106.37</v>
      </c>
      <c r="E2840" s="461" t="s">
        <v>174</v>
      </c>
    </row>
    <row r="2841" spans="1:5" ht="15" x14ac:dyDescent="0.25">
      <c r="A2841" s="508">
        <v>98751</v>
      </c>
      <c r="B2841" s="509" t="s">
        <v>1358</v>
      </c>
      <c r="C2841" s="508" t="s">
        <v>5</v>
      </c>
      <c r="D2841" s="508">
        <v>152.11000000000001</v>
      </c>
      <c r="E2841" s="461" t="s">
        <v>174</v>
      </c>
    </row>
    <row r="2842" spans="1:5" ht="15" x14ac:dyDescent="0.25">
      <c r="A2842" s="508">
        <v>98752</v>
      </c>
      <c r="B2842" s="509" t="s">
        <v>1359</v>
      </c>
      <c r="C2842" s="508" t="s">
        <v>5</v>
      </c>
      <c r="D2842" s="508">
        <v>207.18</v>
      </c>
      <c r="E2842" s="461" t="s">
        <v>174</v>
      </c>
    </row>
    <row r="2843" spans="1:5" ht="15" x14ac:dyDescent="0.25">
      <c r="A2843" s="508">
        <v>98753</v>
      </c>
      <c r="B2843" s="509" t="s">
        <v>1360</v>
      </c>
      <c r="C2843" s="508" t="s">
        <v>5</v>
      </c>
      <c r="D2843" s="508">
        <v>275.67</v>
      </c>
      <c r="E2843" s="461" t="s">
        <v>174</v>
      </c>
    </row>
    <row r="2844" spans="1:5" ht="40.5" x14ac:dyDescent="0.25">
      <c r="A2844" s="508">
        <v>100763</v>
      </c>
      <c r="B2844" s="509" t="s">
        <v>5613</v>
      </c>
      <c r="C2844" s="508" t="s">
        <v>106</v>
      </c>
      <c r="D2844" s="508">
        <v>15.77</v>
      </c>
      <c r="E2844" s="461" t="s">
        <v>174</v>
      </c>
    </row>
    <row r="2845" spans="1:5" ht="40.5" x14ac:dyDescent="0.25">
      <c r="A2845" s="508">
        <v>100764</v>
      </c>
      <c r="B2845" s="509" t="s">
        <v>5614</v>
      </c>
      <c r="C2845" s="508" t="s">
        <v>106</v>
      </c>
      <c r="D2845" s="508">
        <v>15.55</v>
      </c>
      <c r="E2845" s="461" t="s">
        <v>174</v>
      </c>
    </row>
    <row r="2846" spans="1:5" ht="40.5" x14ac:dyDescent="0.25">
      <c r="A2846" s="508">
        <v>100765</v>
      </c>
      <c r="B2846" s="509" t="s">
        <v>5615</v>
      </c>
      <c r="C2846" s="508" t="s">
        <v>106</v>
      </c>
      <c r="D2846" s="508">
        <v>13.82</v>
      </c>
      <c r="E2846" s="461" t="s">
        <v>174</v>
      </c>
    </row>
    <row r="2847" spans="1:5" ht="40.5" x14ac:dyDescent="0.25">
      <c r="A2847" s="508">
        <v>100766</v>
      </c>
      <c r="B2847" s="509" t="s">
        <v>5616</v>
      </c>
      <c r="C2847" s="508" t="s">
        <v>106</v>
      </c>
      <c r="D2847" s="508">
        <v>14.05</v>
      </c>
      <c r="E2847" s="461" t="s">
        <v>174</v>
      </c>
    </row>
    <row r="2848" spans="1:5" ht="40.5" x14ac:dyDescent="0.25">
      <c r="A2848" s="508">
        <v>100767</v>
      </c>
      <c r="B2848" s="509" t="s">
        <v>5617</v>
      </c>
      <c r="C2848" s="508" t="s">
        <v>106</v>
      </c>
      <c r="D2848" s="508">
        <v>16.190000000000001</v>
      </c>
      <c r="E2848" s="461" t="s">
        <v>174</v>
      </c>
    </row>
    <row r="2849" spans="1:5" ht="40.5" x14ac:dyDescent="0.25">
      <c r="A2849" s="508">
        <v>100768</v>
      </c>
      <c r="B2849" s="509" t="s">
        <v>5618</v>
      </c>
      <c r="C2849" s="508" t="s">
        <v>106</v>
      </c>
      <c r="D2849" s="508">
        <v>15.51</v>
      </c>
      <c r="E2849" s="461" t="s">
        <v>174</v>
      </c>
    </row>
    <row r="2850" spans="1:5" ht="40.5" x14ac:dyDescent="0.25">
      <c r="A2850" s="508">
        <v>100769</v>
      </c>
      <c r="B2850" s="509" t="s">
        <v>5619</v>
      </c>
      <c r="C2850" s="508" t="s">
        <v>106</v>
      </c>
      <c r="D2850" s="508">
        <v>21.83</v>
      </c>
      <c r="E2850" s="461" t="s">
        <v>174</v>
      </c>
    </row>
    <row r="2851" spans="1:5" ht="40.5" x14ac:dyDescent="0.25">
      <c r="A2851" s="508">
        <v>100770</v>
      </c>
      <c r="B2851" s="509" t="s">
        <v>5620</v>
      </c>
      <c r="C2851" s="508" t="s">
        <v>106</v>
      </c>
      <c r="D2851" s="508">
        <v>20.86</v>
      </c>
      <c r="E2851" s="461" t="s">
        <v>174</v>
      </c>
    </row>
    <row r="2852" spans="1:5" ht="40.5" x14ac:dyDescent="0.25">
      <c r="A2852" s="508">
        <v>100771</v>
      </c>
      <c r="B2852" s="509" t="s">
        <v>5621</v>
      </c>
      <c r="C2852" s="508" t="s">
        <v>106</v>
      </c>
      <c r="D2852" s="508">
        <v>16.23</v>
      </c>
      <c r="E2852" s="461" t="s">
        <v>174</v>
      </c>
    </row>
    <row r="2853" spans="1:5" ht="40.5" x14ac:dyDescent="0.25">
      <c r="A2853" s="508">
        <v>100772</v>
      </c>
      <c r="B2853" s="509" t="s">
        <v>5622</v>
      </c>
      <c r="C2853" s="508" t="s">
        <v>106</v>
      </c>
      <c r="D2853" s="508">
        <v>15.37</v>
      </c>
      <c r="E2853" s="461" t="s">
        <v>174</v>
      </c>
    </row>
    <row r="2854" spans="1:5" ht="40.5" x14ac:dyDescent="0.25">
      <c r="A2854" s="508">
        <v>100773</v>
      </c>
      <c r="B2854" s="509" t="s">
        <v>5623</v>
      </c>
      <c r="C2854" s="508" t="s">
        <v>106</v>
      </c>
      <c r="D2854" s="508">
        <v>19.239999999999998</v>
      </c>
      <c r="E2854" s="461" t="s">
        <v>174</v>
      </c>
    </row>
    <row r="2855" spans="1:5" ht="40.5" x14ac:dyDescent="0.25">
      <c r="A2855" s="508">
        <v>100774</v>
      </c>
      <c r="B2855" s="509" t="s">
        <v>5624</v>
      </c>
      <c r="C2855" s="508" t="s">
        <v>106</v>
      </c>
      <c r="D2855" s="508">
        <v>11.42</v>
      </c>
      <c r="E2855" s="461" t="s">
        <v>174</v>
      </c>
    </row>
    <row r="2856" spans="1:5" ht="40.5" x14ac:dyDescent="0.25">
      <c r="A2856" s="508">
        <v>100775</v>
      </c>
      <c r="B2856" s="509" t="s">
        <v>5625</v>
      </c>
      <c r="C2856" s="508" t="s">
        <v>106</v>
      </c>
      <c r="D2856" s="508">
        <v>12.89</v>
      </c>
      <c r="E2856" s="461" t="s">
        <v>174</v>
      </c>
    </row>
    <row r="2857" spans="1:5" ht="40.5" x14ac:dyDescent="0.25">
      <c r="A2857" s="508">
        <v>100776</v>
      </c>
      <c r="B2857" s="509" t="s">
        <v>5626</v>
      </c>
      <c r="C2857" s="508" t="s">
        <v>106</v>
      </c>
      <c r="D2857" s="508">
        <v>19.36</v>
      </c>
      <c r="E2857" s="461" t="s">
        <v>174</v>
      </c>
    </row>
    <row r="2858" spans="1:5" ht="40.5" x14ac:dyDescent="0.25">
      <c r="A2858" s="508">
        <v>100777</v>
      </c>
      <c r="B2858" s="509" t="s">
        <v>5627</v>
      </c>
      <c r="C2858" s="508" t="s">
        <v>106</v>
      </c>
      <c r="D2858" s="508">
        <v>11.36</v>
      </c>
      <c r="E2858" s="461" t="s">
        <v>174</v>
      </c>
    </row>
    <row r="2859" spans="1:5" ht="40.5" x14ac:dyDescent="0.25">
      <c r="A2859" s="508">
        <v>100778</v>
      </c>
      <c r="B2859" s="509" t="s">
        <v>5628</v>
      </c>
      <c r="C2859" s="508" t="s">
        <v>106</v>
      </c>
      <c r="D2859" s="508">
        <v>12.85</v>
      </c>
      <c r="E2859" s="461" t="s">
        <v>174</v>
      </c>
    </row>
    <row r="2860" spans="1:5" ht="27" x14ac:dyDescent="0.25">
      <c r="A2860" s="508">
        <v>103795</v>
      </c>
      <c r="B2860" s="509" t="s">
        <v>5629</v>
      </c>
      <c r="C2860" s="508" t="s">
        <v>150</v>
      </c>
      <c r="D2860" s="508">
        <v>82.55</v>
      </c>
      <c r="E2860" s="461" t="s">
        <v>174</v>
      </c>
    </row>
    <row r="2861" spans="1:5" ht="27" x14ac:dyDescent="0.25">
      <c r="A2861" s="508">
        <v>103796</v>
      </c>
      <c r="B2861" s="509" t="s">
        <v>5630</v>
      </c>
      <c r="C2861" s="508" t="s">
        <v>150</v>
      </c>
      <c r="D2861" s="508">
        <v>55.25</v>
      </c>
      <c r="E2861" s="461" t="s">
        <v>174</v>
      </c>
    </row>
    <row r="2862" spans="1:5" ht="15" x14ac:dyDescent="0.25">
      <c r="A2862" s="508">
        <v>103797</v>
      </c>
      <c r="B2862" s="509" t="s">
        <v>5631</v>
      </c>
      <c r="C2862" s="508" t="s">
        <v>106</v>
      </c>
      <c r="D2862" s="508">
        <v>16.66</v>
      </c>
      <c r="E2862" s="461" t="s">
        <v>174</v>
      </c>
    </row>
    <row r="2863" spans="1:5" ht="27" x14ac:dyDescent="0.25">
      <c r="A2863" s="508">
        <v>103798</v>
      </c>
      <c r="B2863" s="509" t="s">
        <v>5632</v>
      </c>
      <c r="C2863" s="508" t="s">
        <v>163</v>
      </c>
      <c r="D2863" s="508">
        <v>614.52</v>
      </c>
      <c r="E2863" s="461" t="s">
        <v>174</v>
      </c>
    </row>
    <row r="2864" spans="1:5" ht="40.5" x14ac:dyDescent="0.25">
      <c r="A2864" s="508">
        <v>103799</v>
      </c>
      <c r="B2864" s="509" t="s">
        <v>5633</v>
      </c>
      <c r="C2864" s="508" t="s">
        <v>163</v>
      </c>
      <c r="D2864" s="508">
        <v>535.54999999999995</v>
      </c>
      <c r="E2864" s="461" t="s">
        <v>174</v>
      </c>
    </row>
    <row r="2865" spans="1:5" ht="27" x14ac:dyDescent="0.25">
      <c r="A2865" s="508">
        <v>103800</v>
      </c>
      <c r="B2865" s="509" t="s">
        <v>5634</v>
      </c>
      <c r="C2865" s="508" t="s">
        <v>163</v>
      </c>
      <c r="D2865" s="508">
        <v>612.27</v>
      </c>
      <c r="E2865" s="461" t="s">
        <v>174</v>
      </c>
    </row>
    <row r="2866" spans="1:5" ht="40.5" x14ac:dyDescent="0.25">
      <c r="A2866" s="508">
        <v>103801</v>
      </c>
      <c r="B2866" s="509" t="s">
        <v>5635</v>
      </c>
      <c r="C2866" s="508" t="s">
        <v>163</v>
      </c>
      <c r="D2866" s="508">
        <v>750.78</v>
      </c>
      <c r="E2866" s="461" t="s">
        <v>174</v>
      </c>
    </row>
    <row r="2867" spans="1:5" ht="40.5" x14ac:dyDescent="0.25">
      <c r="A2867" s="508">
        <v>103925</v>
      </c>
      <c r="B2867" s="509" t="s">
        <v>5636</v>
      </c>
      <c r="C2867" s="508" t="s">
        <v>163</v>
      </c>
      <c r="D2867" s="508">
        <v>1648.03</v>
      </c>
      <c r="E2867" s="461" t="s">
        <v>174</v>
      </c>
    </row>
    <row r="2868" spans="1:5" ht="40.5" x14ac:dyDescent="0.25">
      <c r="A2868" s="508">
        <v>103926</v>
      </c>
      <c r="B2868" s="509" t="s">
        <v>5637</v>
      </c>
      <c r="C2868" s="508" t="s">
        <v>163</v>
      </c>
      <c r="D2868" s="508">
        <v>1326.54</v>
      </c>
      <c r="E2868" s="461" t="s">
        <v>174</v>
      </c>
    </row>
    <row r="2869" spans="1:5" ht="27" x14ac:dyDescent="0.25">
      <c r="A2869" s="508">
        <v>103928</v>
      </c>
      <c r="B2869" s="509" t="s">
        <v>5638</v>
      </c>
      <c r="C2869" s="508" t="s">
        <v>163</v>
      </c>
      <c r="D2869" s="508">
        <v>612.27</v>
      </c>
      <c r="E2869" s="461" t="s">
        <v>174</v>
      </c>
    </row>
    <row r="2870" spans="1:5" ht="40.5" x14ac:dyDescent="0.25">
      <c r="A2870" s="508">
        <v>103929</v>
      </c>
      <c r="B2870" s="509" t="s">
        <v>5639</v>
      </c>
      <c r="C2870" s="508" t="s">
        <v>163</v>
      </c>
      <c r="D2870" s="508">
        <v>1303.3399999999999</v>
      </c>
      <c r="E2870" s="461" t="s">
        <v>174</v>
      </c>
    </row>
    <row r="2871" spans="1:5" ht="40.5" x14ac:dyDescent="0.25">
      <c r="A2871" s="508">
        <v>103930</v>
      </c>
      <c r="B2871" s="509" t="s">
        <v>5640</v>
      </c>
      <c r="C2871" s="508" t="s">
        <v>163</v>
      </c>
      <c r="D2871" s="508">
        <v>862.65</v>
      </c>
      <c r="E2871" s="461" t="s">
        <v>174</v>
      </c>
    </row>
    <row r="2872" spans="1:5" ht="40.5" x14ac:dyDescent="0.25">
      <c r="A2872" s="508">
        <v>103931</v>
      </c>
      <c r="B2872" s="509" t="s">
        <v>5641</v>
      </c>
      <c r="C2872" s="508" t="s">
        <v>163</v>
      </c>
      <c r="D2872" s="508">
        <v>673.78</v>
      </c>
      <c r="E2872" s="461" t="s">
        <v>174</v>
      </c>
    </row>
    <row r="2873" spans="1:5" ht="40.5" x14ac:dyDescent="0.25">
      <c r="A2873" s="508">
        <v>103932</v>
      </c>
      <c r="B2873" s="509" t="s">
        <v>5642</v>
      </c>
      <c r="C2873" s="508" t="s">
        <v>163</v>
      </c>
      <c r="D2873" s="508">
        <v>646.11</v>
      </c>
      <c r="E2873" s="461" t="s">
        <v>174</v>
      </c>
    </row>
    <row r="2874" spans="1:5" ht="27" x14ac:dyDescent="0.25">
      <c r="A2874" s="508">
        <v>103933</v>
      </c>
      <c r="B2874" s="509" t="s">
        <v>5643</v>
      </c>
      <c r="C2874" s="508" t="s">
        <v>163</v>
      </c>
      <c r="D2874" s="508">
        <v>1479.33</v>
      </c>
      <c r="E2874" s="461" t="s">
        <v>174</v>
      </c>
    </row>
    <row r="2875" spans="1:5" ht="27" x14ac:dyDescent="0.25">
      <c r="A2875" s="508">
        <v>105041</v>
      </c>
      <c r="B2875" s="509" t="s">
        <v>5644</v>
      </c>
      <c r="C2875" s="508" t="s">
        <v>5</v>
      </c>
      <c r="D2875" s="508">
        <v>53.22</v>
      </c>
      <c r="E2875" s="461" t="s">
        <v>174</v>
      </c>
    </row>
    <row r="2876" spans="1:5" ht="27" x14ac:dyDescent="0.25">
      <c r="A2876" s="508">
        <v>105042</v>
      </c>
      <c r="B2876" s="509" t="s">
        <v>5645</v>
      </c>
      <c r="C2876" s="508" t="s">
        <v>5</v>
      </c>
      <c r="D2876" s="508">
        <v>66.150000000000006</v>
      </c>
      <c r="E2876" s="461" t="s">
        <v>174</v>
      </c>
    </row>
    <row r="2877" spans="1:5" ht="27" x14ac:dyDescent="0.25">
      <c r="A2877" s="508">
        <v>105045</v>
      </c>
      <c r="B2877" s="509" t="s">
        <v>5646</v>
      </c>
      <c r="C2877" s="508" t="s">
        <v>5</v>
      </c>
      <c r="D2877" s="508">
        <v>60.42</v>
      </c>
      <c r="E2877" s="461" t="s">
        <v>174</v>
      </c>
    </row>
    <row r="2878" spans="1:5" ht="27" x14ac:dyDescent="0.25">
      <c r="A2878" s="508">
        <v>105046</v>
      </c>
      <c r="B2878" s="509" t="s">
        <v>5647</v>
      </c>
      <c r="C2878" s="508" t="s">
        <v>5</v>
      </c>
      <c r="D2878" s="508">
        <v>55.17</v>
      </c>
      <c r="E2878" s="461" t="s">
        <v>174</v>
      </c>
    </row>
    <row r="2879" spans="1:5" ht="27" x14ac:dyDescent="0.25">
      <c r="A2879" s="508">
        <v>105050</v>
      </c>
      <c r="B2879" s="509" t="s">
        <v>5648</v>
      </c>
      <c r="C2879" s="508" t="s">
        <v>5</v>
      </c>
      <c r="D2879" s="508">
        <v>201.97</v>
      </c>
      <c r="E2879" s="461" t="s">
        <v>174</v>
      </c>
    </row>
    <row r="2880" spans="1:5" ht="27" x14ac:dyDescent="0.25">
      <c r="A2880" s="508">
        <v>105053</v>
      </c>
      <c r="B2880" s="509" t="s">
        <v>5649</v>
      </c>
      <c r="C2880" s="508" t="s">
        <v>5</v>
      </c>
      <c r="D2880" s="508">
        <v>191.14</v>
      </c>
      <c r="E2880" s="461" t="s">
        <v>174</v>
      </c>
    </row>
    <row r="2881" spans="1:5" ht="27" x14ac:dyDescent="0.25">
      <c r="A2881" s="508">
        <v>105056</v>
      </c>
      <c r="B2881" s="509" t="s">
        <v>5650</v>
      </c>
      <c r="C2881" s="508" t="s">
        <v>5</v>
      </c>
      <c r="D2881" s="508">
        <v>278.48</v>
      </c>
      <c r="E2881" s="461" t="s">
        <v>174</v>
      </c>
    </row>
    <row r="2882" spans="1:5" ht="27" x14ac:dyDescent="0.25">
      <c r="A2882" s="508">
        <v>105058</v>
      </c>
      <c r="B2882" s="509" t="s">
        <v>5651</v>
      </c>
      <c r="C2882" s="508" t="s">
        <v>5</v>
      </c>
      <c r="D2882" s="508">
        <v>268.42</v>
      </c>
      <c r="E2882" s="461" t="s">
        <v>174</v>
      </c>
    </row>
    <row r="2883" spans="1:5" ht="40.5" x14ac:dyDescent="0.25">
      <c r="A2883" s="508">
        <v>105061</v>
      </c>
      <c r="B2883" s="509" t="s">
        <v>5652</v>
      </c>
      <c r="C2883" s="508" t="s">
        <v>5</v>
      </c>
      <c r="D2883" s="508">
        <v>101.14</v>
      </c>
      <c r="E2883" s="461" t="s">
        <v>174</v>
      </c>
    </row>
    <row r="2884" spans="1:5" ht="40.5" x14ac:dyDescent="0.25">
      <c r="A2884" s="508">
        <v>105064</v>
      </c>
      <c r="B2884" s="509" t="s">
        <v>5653</v>
      </c>
      <c r="C2884" s="508" t="s">
        <v>5</v>
      </c>
      <c r="D2884" s="508">
        <v>87.11</v>
      </c>
      <c r="E2884" s="461" t="s">
        <v>174</v>
      </c>
    </row>
    <row r="2885" spans="1:5" ht="40.5" x14ac:dyDescent="0.25">
      <c r="A2885" s="508">
        <v>105068</v>
      </c>
      <c r="B2885" s="509" t="s">
        <v>5654</v>
      </c>
      <c r="C2885" s="508" t="s">
        <v>5</v>
      </c>
      <c r="D2885" s="508">
        <v>168.6</v>
      </c>
      <c r="E2885" s="461" t="s">
        <v>174</v>
      </c>
    </row>
    <row r="2886" spans="1:5" ht="40.5" x14ac:dyDescent="0.25">
      <c r="A2886" s="508">
        <v>105071</v>
      </c>
      <c r="B2886" s="509" t="s">
        <v>5655</v>
      </c>
      <c r="C2886" s="508" t="s">
        <v>5</v>
      </c>
      <c r="D2886" s="508">
        <v>154.57</v>
      </c>
      <c r="E2886" s="461" t="s">
        <v>174</v>
      </c>
    </row>
    <row r="2887" spans="1:5" ht="40.5" x14ac:dyDescent="0.25">
      <c r="A2887" s="508">
        <v>105074</v>
      </c>
      <c r="B2887" s="509" t="s">
        <v>5656</v>
      </c>
      <c r="C2887" s="508" t="s">
        <v>5</v>
      </c>
      <c r="D2887" s="508">
        <v>263.01</v>
      </c>
      <c r="E2887" s="461" t="s">
        <v>174</v>
      </c>
    </row>
    <row r="2888" spans="1:5" ht="40.5" x14ac:dyDescent="0.25">
      <c r="A2888" s="508">
        <v>105077</v>
      </c>
      <c r="B2888" s="509" t="s">
        <v>5657</v>
      </c>
      <c r="C2888" s="508" t="s">
        <v>5</v>
      </c>
      <c r="D2888" s="508">
        <v>249.05</v>
      </c>
      <c r="E2888" s="461" t="s">
        <v>174</v>
      </c>
    </row>
    <row r="2889" spans="1:5" ht="27" x14ac:dyDescent="0.25">
      <c r="A2889" s="508">
        <v>105080</v>
      </c>
      <c r="B2889" s="509" t="s">
        <v>5658</v>
      </c>
      <c r="C2889" s="508" t="s">
        <v>5</v>
      </c>
      <c r="D2889" s="508">
        <v>67.58</v>
      </c>
      <c r="E2889" s="461" t="s">
        <v>174</v>
      </c>
    </row>
    <row r="2890" spans="1:5" ht="27" x14ac:dyDescent="0.25">
      <c r="A2890" s="508">
        <v>105081</v>
      </c>
      <c r="B2890" s="509" t="s">
        <v>5659</v>
      </c>
      <c r="C2890" s="508" t="s">
        <v>5</v>
      </c>
      <c r="D2890" s="508">
        <v>78.260000000000005</v>
      </c>
      <c r="E2890" s="461" t="s">
        <v>174</v>
      </c>
    </row>
    <row r="2891" spans="1:5" ht="27" x14ac:dyDescent="0.25">
      <c r="A2891" s="508">
        <v>105082</v>
      </c>
      <c r="B2891" s="509" t="s">
        <v>5660</v>
      </c>
      <c r="C2891" s="508" t="s">
        <v>5</v>
      </c>
      <c r="D2891" s="508">
        <v>70.459999999999994</v>
      </c>
      <c r="E2891" s="461" t="s">
        <v>174</v>
      </c>
    </row>
    <row r="2892" spans="1:5" ht="27" x14ac:dyDescent="0.25">
      <c r="A2892" s="508">
        <v>105083</v>
      </c>
      <c r="B2892" s="509" t="s">
        <v>5661</v>
      </c>
      <c r="C2892" s="508" t="s">
        <v>5</v>
      </c>
      <c r="D2892" s="508">
        <v>79.569999999999993</v>
      </c>
      <c r="E2892" s="461" t="s">
        <v>174</v>
      </c>
    </row>
    <row r="2893" spans="1:5" ht="27" x14ac:dyDescent="0.25">
      <c r="A2893" s="508">
        <v>105084</v>
      </c>
      <c r="B2893" s="509" t="s">
        <v>5662</v>
      </c>
      <c r="C2893" s="508" t="s">
        <v>5</v>
      </c>
      <c r="D2893" s="508">
        <v>98.91</v>
      </c>
      <c r="E2893" s="461" t="s">
        <v>174</v>
      </c>
    </row>
    <row r="2894" spans="1:5" ht="27" x14ac:dyDescent="0.25">
      <c r="A2894" s="508">
        <v>105085</v>
      </c>
      <c r="B2894" s="509" t="s">
        <v>5663</v>
      </c>
      <c r="C2894" s="508" t="s">
        <v>5</v>
      </c>
      <c r="D2894" s="508">
        <v>103.39</v>
      </c>
      <c r="E2894" s="461" t="s">
        <v>174</v>
      </c>
    </row>
    <row r="2895" spans="1:5" ht="27" x14ac:dyDescent="0.25">
      <c r="A2895" s="508">
        <v>105086</v>
      </c>
      <c r="B2895" s="509" t="s">
        <v>5664</v>
      </c>
      <c r="C2895" s="508" t="s">
        <v>5</v>
      </c>
      <c r="D2895" s="508">
        <v>91.9</v>
      </c>
      <c r="E2895" s="461" t="s">
        <v>174</v>
      </c>
    </row>
    <row r="2896" spans="1:5" ht="27" x14ac:dyDescent="0.25">
      <c r="A2896" s="508">
        <v>105087</v>
      </c>
      <c r="B2896" s="509" t="s">
        <v>5665</v>
      </c>
      <c r="C2896" s="508" t="s">
        <v>5</v>
      </c>
      <c r="D2896" s="508">
        <v>103.25</v>
      </c>
      <c r="E2896" s="461" t="s">
        <v>174</v>
      </c>
    </row>
    <row r="2897" spans="1:5" ht="27" x14ac:dyDescent="0.25">
      <c r="A2897" s="508">
        <v>105088</v>
      </c>
      <c r="B2897" s="509" t="s">
        <v>5666</v>
      </c>
      <c r="C2897" s="508" t="s">
        <v>5</v>
      </c>
      <c r="D2897" s="508">
        <v>187.04</v>
      </c>
      <c r="E2897" s="461" t="s">
        <v>174</v>
      </c>
    </row>
    <row r="2898" spans="1:5" ht="27" x14ac:dyDescent="0.25">
      <c r="A2898" s="508">
        <v>105089</v>
      </c>
      <c r="B2898" s="509" t="s">
        <v>5667</v>
      </c>
      <c r="C2898" s="508" t="s">
        <v>5</v>
      </c>
      <c r="D2898" s="508">
        <v>172.59</v>
      </c>
      <c r="E2898" s="461" t="s">
        <v>174</v>
      </c>
    </row>
    <row r="2899" spans="1:5" ht="15" x14ac:dyDescent="0.25">
      <c r="A2899" s="508">
        <v>105090</v>
      </c>
      <c r="B2899" s="509" t="s">
        <v>5668</v>
      </c>
      <c r="C2899" s="508" t="s">
        <v>150</v>
      </c>
      <c r="D2899" s="508">
        <v>439.1</v>
      </c>
      <c r="E2899" s="461" t="s">
        <v>174</v>
      </c>
    </row>
    <row r="2900" spans="1:5" ht="27" x14ac:dyDescent="0.25">
      <c r="A2900" s="508">
        <v>105091</v>
      </c>
      <c r="B2900" s="509" t="s">
        <v>5669</v>
      </c>
      <c r="C2900" s="508" t="s">
        <v>5</v>
      </c>
      <c r="D2900" s="508">
        <v>136.74</v>
      </c>
      <c r="E2900" s="461" t="s">
        <v>174</v>
      </c>
    </row>
    <row r="2901" spans="1:5" ht="27" x14ac:dyDescent="0.25">
      <c r="A2901" s="508">
        <v>105092</v>
      </c>
      <c r="B2901" s="509" t="s">
        <v>5670</v>
      </c>
      <c r="C2901" s="508" t="s">
        <v>5</v>
      </c>
      <c r="D2901" s="508">
        <v>148.78</v>
      </c>
      <c r="E2901" s="461" t="s">
        <v>174</v>
      </c>
    </row>
    <row r="2902" spans="1:5" ht="27" x14ac:dyDescent="0.25">
      <c r="A2902" s="508">
        <v>105093</v>
      </c>
      <c r="B2902" s="509" t="s">
        <v>5671</v>
      </c>
      <c r="C2902" s="508" t="s">
        <v>5</v>
      </c>
      <c r="D2902" s="508">
        <v>150.91999999999999</v>
      </c>
      <c r="E2902" s="461" t="s">
        <v>174</v>
      </c>
    </row>
    <row r="2903" spans="1:5" ht="27" x14ac:dyDescent="0.25">
      <c r="A2903" s="508">
        <v>105095</v>
      </c>
      <c r="B2903" s="509" t="s">
        <v>5672</v>
      </c>
      <c r="C2903" s="508" t="s">
        <v>5</v>
      </c>
      <c r="D2903" s="508">
        <v>97.95</v>
      </c>
      <c r="E2903" s="461" t="s">
        <v>174</v>
      </c>
    </row>
    <row r="2904" spans="1:5" ht="27" x14ac:dyDescent="0.25">
      <c r="A2904" s="508">
        <v>105098</v>
      </c>
      <c r="B2904" s="509" t="s">
        <v>5673</v>
      </c>
      <c r="C2904" s="508" t="s">
        <v>5</v>
      </c>
      <c r="D2904" s="508">
        <v>86.99</v>
      </c>
      <c r="E2904" s="461" t="s">
        <v>174</v>
      </c>
    </row>
    <row r="2905" spans="1:5" ht="27" x14ac:dyDescent="0.25">
      <c r="A2905" s="508">
        <v>105099</v>
      </c>
      <c r="B2905" s="509" t="s">
        <v>5674</v>
      </c>
      <c r="C2905" s="508" t="s">
        <v>5</v>
      </c>
      <c r="D2905" s="508">
        <v>82.47</v>
      </c>
      <c r="E2905" s="461" t="s">
        <v>174</v>
      </c>
    </row>
    <row r="2906" spans="1:5" ht="27" x14ac:dyDescent="0.25">
      <c r="A2906" s="508">
        <v>105100</v>
      </c>
      <c r="B2906" s="509" t="s">
        <v>5675</v>
      </c>
      <c r="C2906" s="508" t="s">
        <v>5</v>
      </c>
      <c r="D2906" s="508">
        <v>117.23</v>
      </c>
      <c r="E2906" s="461" t="s">
        <v>174</v>
      </c>
    </row>
    <row r="2907" spans="1:5" ht="27" x14ac:dyDescent="0.25">
      <c r="A2907" s="508">
        <v>105101</v>
      </c>
      <c r="B2907" s="509" t="s">
        <v>5676</v>
      </c>
      <c r="C2907" s="508" t="s">
        <v>5</v>
      </c>
      <c r="D2907" s="508">
        <v>227.44</v>
      </c>
      <c r="E2907" s="461" t="s">
        <v>174</v>
      </c>
    </row>
    <row r="2908" spans="1:5" ht="27" x14ac:dyDescent="0.25">
      <c r="A2908" s="508">
        <v>105102</v>
      </c>
      <c r="B2908" s="509" t="s">
        <v>5677</v>
      </c>
      <c r="C2908" s="508" t="s">
        <v>5</v>
      </c>
      <c r="D2908" s="508">
        <v>312.01</v>
      </c>
      <c r="E2908" s="461" t="s">
        <v>174</v>
      </c>
    </row>
    <row r="2909" spans="1:5" ht="27" x14ac:dyDescent="0.25">
      <c r="A2909" s="508">
        <v>98562</v>
      </c>
      <c r="B2909" s="509" t="s">
        <v>5678</v>
      </c>
      <c r="C2909" s="508" t="s">
        <v>150</v>
      </c>
      <c r="D2909" s="508">
        <v>54.26</v>
      </c>
      <c r="E2909" s="461" t="s">
        <v>174</v>
      </c>
    </row>
    <row r="2910" spans="1:5" ht="27" x14ac:dyDescent="0.25">
      <c r="A2910" s="508">
        <v>98555</v>
      </c>
      <c r="B2910" s="509" t="s">
        <v>5679</v>
      </c>
      <c r="C2910" s="508" t="s">
        <v>150</v>
      </c>
      <c r="D2910" s="508">
        <v>34.75</v>
      </c>
      <c r="E2910" s="461" t="s">
        <v>174</v>
      </c>
    </row>
    <row r="2911" spans="1:5" ht="27" x14ac:dyDescent="0.25">
      <c r="A2911" s="508">
        <v>98556</v>
      </c>
      <c r="B2911" s="509" t="s">
        <v>5680</v>
      </c>
      <c r="C2911" s="508" t="s">
        <v>150</v>
      </c>
      <c r="D2911" s="508">
        <v>61.52</v>
      </c>
      <c r="E2911" s="461" t="s">
        <v>174</v>
      </c>
    </row>
    <row r="2912" spans="1:5" ht="27" x14ac:dyDescent="0.25">
      <c r="A2912" s="508">
        <v>98558</v>
      </c>
      <c r="B2912" s="509" t="s">
        <v>5681</v>
      </c>
      <c r="C2912" s="508" t="s">
        <v>107</v>
      </c>
      <c r="D2912" s="508">
        <v>9.92</v>
      </c>
      <c r="E2912" s="461" t="s">
        <v>174</v>
      </c>
    </row>
    <row r="2913" spans="1:5" ht="15" x14ac:dyDescent="0.25">
      <c r="A2913" s="508">
        <v>98559</v>
      </c>
      <c r="B2913" s="509" t="s">
        <v>5682</v>
      </c>
      <c r="C2913" s="508" t="s">
        <v>5</v>
      </c>
      <c r="D2913" s="508">
        <v>4.74</v>
      </c>
      <c r="E2913" s="461" t="s">
        <v>174</v>
      </c>
    </row>
    <row r="2914" spans="1:5" ht="27" x14ac:dyDescent="0.25">
      <c r="A2914" s="508">
        <v>98546</v>
      </c>
      <c r="B2914" s="509" t="s">
        <v>5683</v>
      </c>
      <c r="C2914" s="508" t="s">
        <v>150</v>
      </c>
      <c r="D2914" s="508">
        <v>114.48</v>
      </c>
      <c r="E2914" s="461" t="s">
        <v>174</v>
      </c>
    </row>
    <row r="2915" spans="1:5" ht="27" x14ac:dyDescent="0.25">
      <c r="A2915" s="508">
        <v>98547</v>
      </c>
      <c r="B2915" s="509" t="s">
        <v>5684</v>
      </c>
      <c r="C2915" s="508" t="s">
        <v>150</v>
      </c>
      <c r="D2915" s="508">
        <v>191.11</v>
      </c>
      <c r="E2915" s="461" t="s">
        <v>174</v>
      </c>
    </row>
    <row r="2916" spans="1:5" ht="27" x14ac:dyDescent="0.25">
      <c r="A2916" s="508">
        <v>98553</v>
      </c>
      <c r="B2916" s="509" t="s">
        <v>5685</v>
      </c>
      <c r="C2916" s="508" t="s">
        <v>150</v>
      </c>
      <c r="D2916" s="508">
        <v>190.64</v>
      </c>
      <c r="E2916" s="461" t="s">
        <v>174</v>
      </c>
    </row>
    <row r="2917" spans="1:5" ht="27" x14ac:dyDescent="0.25">
      <c r="A2917" s="508">
        <v>98554</v>
      </c>
      <c r="B2917" s="509" t="s">
        <v>5686</v>
      </c>
      <c r="C2917" s="508" t="s">
        <v>150</v>
      </c>
      <c r="D2917" s="508">
        <v>51.78</v>
      </c>
      <c r="E2917" s="461" t="s">
        <v>174</v>
      </c>
    </row>
    <row r="2918" spans="1:5" ht="15" x14ac:dyDescent="0.25">
      <c r="A2918" s="508">
        <v>98557</v>
      </c>
      <c r="B2918" s="509" t="s">
        <v>5687</v>
      </c>
      <c r="C2918" s="508" t="s">
        <v>150</v>
      </c>
      <c r="D2918" s="508">
        <v>47.43</v>
      </c>
      <c r="E2918" s="461" t="s">
        <v>174</v>
      </c>
    </row>
    <row r="2919" spans="1:5" ht="27" x14ac:dyDescent="0.25">
      <c r="A2919" s="508">
        <v>98563</v>
      </c>
      <c r="B2919" s="509" t="s">
        <v>5688</v>
      </c>
      <c r="C2919" s="508" t="s">
        <v>150</v>
      </c>
      <c r="D2919" s="508">
        <v>40.520000000000003</v>
      </c>
      <c r="E2919" s="461" t="s">
        <v>174</v>
      </c>
    </row>
    <row r="2920" spans="1:5" ht="27" x14ac:dyDescent="0.25">
      <c r="A2920" s="508">
        <v>98564</v>
      </c>
      <c r="B2920" s="509" t="s">
        <v>5689</v>
      </c>
      <c r="C2920" s="508" t="s">
        <v>150</v>
      </c>
      <c r="D2920" s="508">
        <v>54.56</v>
      </c>
      <c r="E2920" s="461" t="s">
        <v>174</v>
      </c>
    </row>
    <row r="2921" spans="1:5" ht="27" x14ac:dyDescent="0.25">
      <c r="A2921" s="508">
        <v>98565</v>
      </c>
      <c r="B2921" s="509" t="s">
        <v>5690</v>
      </c>
      <c r="C2921" s="508" t="s">
        <v>150</v>
      </c>
      <c r="D2921" s="508">
        <v>57.97</v>
      </c>
      <c r="E2921" s="461" t="s">
        <v>174</v>
      </c>
    </row>
    <row r="2922" spans="1:5" ht="27" x14ac:dyDescent="0.25">
      <c r="A2922" s="508">
        <v>98566</v>
      </c>
      <c r="B2922" s="509" t="s">
        <v>5691</v>
      </c>
      <c r="C2922" s="508" t="s">
        <v>150</v>
      </c>
      <c r="D2922" s="508">
        <v>72.03</v>
      </c>
      <c r="E2922" s="461" t="s">
        <v>174</v>
      </c>
    </row>
    <row r="2923" spans="1:5" ht="27" x14ac:dyDescent="0.25">
      <c r="A2923" s="508">
        <v>98567</v>
      </c>
      <c r="B2923" s="509" t="s">
        <v>5692</v>
      </c>
      <c r="C2923" s="508" t="s">
        <v>150</v>
      </c>
      <c r="D2923" s="508">
        <v>74.540000000000006</v>
      </c>
      <c r="E2923" s="461" t="s">
        <v>174</v>
      </c>
    </row>
    <row r="2924" spans="1:5" ht="27" x14ac:dyDescent="0.25">
      <c r="A2924" s="508">
        <v>98568</v>
      </c>
      <c r="B2924" s="509" t="s">
        <v>5693</v>
      </c>
      <c r="C2924" s="508" t="s">
        <v>150</v>
      </c>
      <c r="D2924" s="508">
        <v>88.6</v>
      </c>
      <c r="E2924" s="461" t="s">
        <v>174</v>
      </c>
    </row>
    <row r="2925" spans="1:5" ht="27" x14ac:dyDescent="0.25">
      <c r="A2925" s="508">
        <v>98569</v>
      </c>
      <c r="B2925" s="509" t="s">
        <v>5694</v>
      </c>
      <c r="C2925" s="508" t="s">
        <v>150</v>
      </c>
      <c r="D2925" s="508">
        <v>92</v>
      </c>
      <c r="E2925" s="461" t="s">
        <v>174</v>
      </c>
    </row>
    <row r="2926" spans="1:5" ht="27" x14ac:dyDescent="0.25">
      <c r="A2926" s="508">
        <v>98570</v>
      </c>
      <c r="B2926" s="509" t="s">
        <v>5695</v>
      </c>
      <c r="C2926" s="508" t="s">
        <v>150</v>
      </c>
      <c r="D2926" s="508">
        <v>106.06</v>
      </c>
      <c r="E2926" s="461" t="s">
        <v>174</v>
      </c>
    </row>
    <row r="2927" spans="1:5" ht="15" x14ac:dyDescent="0.25">
      <c r="A2927" s="508">
        <v>98571</v>
      </c>
      <c r="B2927" s="509" t="s">
        <v>5696</v>
      </c>
      <c r="C2927" s="508" t="s">
        <v>150</v>
      </c>
      <c r="D2927" s="508">
        <v>45.46</v>
      </c>
      <c r="E2927" s="461" t="s">
        <v>174</v>
      </c>
    </row>
    <row r="2928" spans="1:5" ht="15" x14ac:dyDescent="0.25">
      <c r="A2928" s="508">
        <v>98572</v>
      </c>
      <c r="B2928" s="509" t="s">
        <v>5697</v>
      </c>
      <c r="C2928" s="508" t="s">
        <v>150</v>
      </c>
      <c r="D2928" s="508">
        <v>55.9</v>
      </c>
      <c r="E2928" s="461" t="s">
        <v>174</v>
      </c>
    </row>
    <row r="2929" spans="1:5" ht="15" x14ac:dyDescent="0.25">
      <c r="A2929" s="508">
        <v>98573</v>
      </c>
      <c r="B2929" s="509" t="s">
        <v>5698</v>
      </c>
      <c r="C2929" s="508" t="s">
        <v>150</v>
      </c>
      <c r="D2929" s="508">
        <v>69.31</v>
      </c>
      <c r="E2929" s="461" t="s">
        <v>174</v>
      </c>
    </row>
    <row r="2930" spans="1:5" ht="27" x14ac:dyDescent="0.25">
      <c r="A2930" s="508">
        <v>91831</v>
      </c>
      <c r="B2930" s="509" t="s">
        <v>13024</v>
      </c>
      <c r="C2930" s="508" t="s">
        <v>5</v>
      </c>
      <c r="D2930" s="508">
        <v>18.41</v>
      </c>
      <c r="E2930" s="461" t="s">
        <v>174</v>
      </c>
    </row>
    <row r="2931" spans="1:5" ht="27" x14ac:dyDescent="0.25">
      <c r="A2931" s="508">
        <v>91833</v>
      </c>
      <c r="B2931" s="509" t="s">
        <v>13025</v>
      </c>
      <c r="C2931" s="508" t="s">
        <v>5</v>
      </c>
      <c r="D2931" s="508">
        <v>19.12</v>
      </c>
      <c r="E2931" s="461" t="s">
        <v>174</v>
      </c>
    </row>
    <row r="2932" spans="1:5" ht="27" x14ac:dyDescent="0.25">
      <c r="A2932" s="508">
        <v>91834</v>
      </c>
      <c r="B2932" s="509" t="s">
        <v>13026</v>
      </c>
      <c r="C2932" s="508" t="s">
        <v>5</v>
      </c>
      <c r="D2932" s="508">
        <v>19.29</v>
      </c>
      <c r="E2932" s="461" t="s">
        <v>174</v>
      </c>
    </row>
    <row r="2933" spans="1:5" ht="27" x14ac:dyDescent="0.25">
      <c r="A2933" s="508">
        <v>91835</v>
      </c>
      <c r="B2933" s="509" t="s">
        <v>13027</v>
      </c>
      <c r="C2933" s="508" t="s">
        <v>5</v>
      </c>
      <c r="D2933" s="508">
        <v>21.12</v>
      </c>
      <c r="E2933" s="461" t="s">
        <v>174</v>
      </c>
    </row>
    <row r="2934" spans="1:5" ht="27" x14ac:dyDescent="0.25">
      <c r="A2934" s="508">
        <v>91836</v>
      </c>
      <c r="B2934" s="509" t="s">
        <v>13028</v>
      </c>
      <c r="C2934" s="508" t="s">
        <v>5</v>
      </c>
      <c r="D2934" s="508">
        <v>22.55</v>
      </c>
      <c r="E2934" s="461" t="s">
        <v>174</v>
      </c>
    </row>
    <row r="2935" spans="1:5" ht="27" x14ac:dyDescent="0.25">
      <c r="A2935" s="508">
        <v>91837</v>
      </c>
      <c r="B2935" s="509" t="s">
        <v>13029</v>
      </c>
      <c r="C2935" s="508" t="s">
        <v>5</v>
      </c>
      <c r="D2935" s="508">
        <v>26.78</v>
      </c>
      <c r="E2935" s="461" t="s">
        <v>174</v>
      </c>
    </row>
    <row r="2936" spans="1:5" ht="27" x14ac:dyDescent="0.25">
      <c r="A2936" s="508">
        <v>91839</v>
      </c>
      <c r="B2936" s="509" t="s">
        <v>13030</v>
      </c>
      <c r="C2936" s="508" t="s">
        <v>5</v>
      </c>
      <c r="D2936" s="508">
        <v>19.309999999999999</v>
      </c>
      <c r="E2936" s="461" t="s">
        <v>174</v>
      </c>
    </row>
    <row r="2937" spans="1:5" ht="27" x14ac:dyDescent="0.25">
      <c r="A2937" s="508">
        <v>91840</v>
      </c>
      <c r="B2937" s="509" t="s">
        <v>13031</v>
      </c>
      <c r="C2937" s="508" t="s">
        <v>5</v>
      </c>
      <c r="D2937" s="508">
        <v>21.73</v>
      </c>
      <c r="E2937" s="461" t="s">
        <v>174</v>
      </c>
    </row>
    <row r="2938" spans="1:5" ht="27" x14ac:dyDescent="0.25">
      <c r="A2938" s="508">
        <v>91841</v>
      </c>
      <c r="B2938" s="509" t="s">
        <v>13032</v>
      </c>
      <c r="C2938" s="508" t="s">
        <v>5</v>
      </c>
      <c r="D2938" s="508">
        <v>21.1</v>
      </c>
      <c r="E2938" s="461" t="s">
        <v>174</v>
      </c>
    </row>
    <row r="2939" spans="1:5" ht="27" x14ac:dyDescent="0.25">
      <c r="A2939" s="508">
        <v>91843</v>
      </c>
      <c r="B2939" s="509" t="s">
        <v>5699</v>
      </c>
      <c r="C2939" s="508" t="s">
        <v>5</v>
      </c>
      <c r="D2939" s="508">
        <v>7.35</v>
      </c>
      <c r="E2939" s="461" t="s">
        <v>174</v>
      </c>
    </row>
    <row r="2940" spans="1:5" ht="27" x14ac:dyDescent="0.25">
      <c r="A2940" s="508">
        <v>91845</v>
      </c>
      <c r="B2940" s="509" t="s">
        <v>5700</v>
      </c>
      <c r="C2940" s="508" t="s">
        <v>5</v>
      </c>
      <c r="D2940" s="508">
        <v>9.2899999999999991</v>
      </c>
      <c r="E2940" s="461" t="s">
        <v>174</v>
      </c>
    </row>
    <row r="2941" spans="1:5" ht="27" x14ac:dyDescent="0.25">
      <c r="A2941" s="508">
        <v>91847</v>
      </c>
      <c r="B2941" s="509" t="s">
        <v>5701</v>
      </c>
      <c r="C2941" s="508" t="s">
        <v>5</v>
      </c>
      <c r="D2941" s="508">
        <v>15.01</v>
      </c>
      <c r="E2941" s="461" t="s">
        <v>174</v>
      </c>
    </row>
    <row r="2942" spans="1:5" ht="27" x14ac:dyDescent="0.25">
      <c r="A2942" s="508">
        <v>91849</v>
      </c>
      <c r="B2942" s="509" t="s">
        <v>5702</v>
      </c>
      <c r="C2942" s="508" t="s">
        <v>5</v>
      </c>
      <c r="D2942" s="508">
        <v>7.54</v>
      </c>
      <c r="E2942" s="461" t="s">
        <v>174</v>
      </c>
    </row>
    <row r="2943" spans="1:5" ht="27" x14ac:dyDescent="0.25">
      <c r="A2943" s="508">
        <v>91850</v>
      </c>
      <c r="B2943" s="509" t="s">
        <v>5703</v>
      </c>
      <c r="C2943" s="508" t="s">
        <v>5</v>
      </c>
      <c r="D2943" s="508">
        <v>9.9</v>
      </c>
      <c r="E2943" s="461" t="s">
        <v>174</v>
      </c>
    </row>
    <row r="2944" spans="1:5" ht="27" x14ac:dyDescent="0.25">
      <c r="A2944" s="508">
        <v>91851</v>
      </c>
      <c r="B2944" s="509" t="s">
        <v>5704</v>
      </c>
      <c r="C2944" s="508" t="s">
        <v>5</v>
      </c>
      <c r="D2944" s="508">
        <v>9.27</v>
      </c>
      <c r="E2944" s="461" t="s">
        <v>174</v>
      </c>
    </row>
    <row r="2945" spans="1:5" ht="27" x14ac:dyDescent="0.25">
      <c r="A2945" s="508">
        <v>91852</v>
      </c>
      <c r="B2945" s="509" t="s">
        <v>5705</v>
      </c>
      <c r="C2945" s="508" t="s">
        <v>5</v>
      </c>
      <c r="D2945" s="508">
        <v>9.9</v>
      </c>
      <c r="E2945" s="461" t="s">
        <v>174</v>
      </c>
    </row>
    <row r="2946" spans="1:5" ht="27" x14ac:dyDescent="0.25">
      <c r="A2946" s="508">
        <v>91853</v>
      </c>
      <c r="B2946" s="509" t="s">
        <v>5706</v>
      </c>
      <c r="C2946" s="508" t="s">
        <v>5</v>
      </c>
      <c r="D2946" s="508">
        <v>10.57</v>
      </c>
      <c r="E2946" s="461" t="s">
        <v>174</v>
      </c>
    </row>
    <row r="2947" spans="1:5" ht="27" x14ac:dyDescent="0.25">
      <c r="A2947" s="508">
        <v>91854</v>
      </c>
      <c r="B2947" s="509" t="s">
        <v>5707</v>
      </c>
      <c r="C2947" s="508" t="s">
        <v>5</v>
      </c>
      <c r="D2947" s="508">
        <v>10.71</v>
      </c>
      <c r="E2947" s="461" t="s">
        <v>174</v>
      </c>
    </row>
    <row r="2948" spans="1:5" ht="27" x14ac:dyDescent="0.25">
      <c r="A2948" s="508">
        <v>91855</v>
      </c>
      <c r="B2948" s="509" t="s">
        <v>5708</v>
      </c>
      <c r="C2948" s="508" t="s">
        <v>5</v>
      </c>
      <c r="D2948" s="508">
        <v>12.4</v>
      </c>
      <c r="E2948" s="461" t="s">
        <v>174</v>
      </c>
    </row>
    <row r="2949" spans="1:5" ht="27" x14ac:dyDescent="0.25">
      <c r="A2949" s="508">
        <v>91856</v>
      </c>
      <c r="B2949" s="509" t="s">
        <v>5709</v>
      </c>
      <c r="C2949" s="508" t="s">
        <v>5</v>
      </c>
      <c r="D2949" s="508">
        <v>13.85</v>
      </c>
      <c r="E2949" s="461" t="s">
        <v>174</v>
      </c>
    </row>
    <row r="2950" spans="1:5" ht="27" x14ac:dyDescent="0.25">
      <c r="A2950" s="508">
        <v>91857</v>
      </c>
      <c r="B2950" s="509" t="s">
        <v>5710</v>
      </c>
      <c r="C2950" s="508" t="s">
        <v>5</v>
      </c>
      <c r="D2950" s="508">
        <v>17.760000000000002</v>
      </c>
      <c r="E2950" s="461" t="s">
        <v>174</v>
      </c>
    </row>
    <row r="2951" spans="1:5" ht="27" x14ac:dyDescent="0.25">
      <c r="A2951" s="508">
        <v>91859</v>
      </c>
      <c r="B2951" s="509" t="s">
        <v>5711</v>
      </c>
      <c r="C2951" s="508" t="s">
        <v>5</v>
      </c>
      <c r="D2951" s="508">
        <v>10.86</v>
      </c>
      <c r="E2951" s="461" t="s">
        <v>174</v>
      </c>
    </row>
    <row r="2952" spans="1:5" ht="27" x14ac:dyDescent="0.25">
      <c r="A2952" s="508">
        <v>91860</v>
      </c>
      <c r="B2952" s="509" t="s">
        <v>5712</v>
      </c>
      <c r="C2952" s="508" t="s">
        <v>5</v>
      </c>
      <c r="D2952" s="508">
        <v>13.1</v>
      </c>
      <c r="E2952" s="461" t="s">
        <v>174</v>
      </c>
    </row>
    <row r="2953" spans="1:5" ht="27" x14ac:dyDescent="0.25">
      <c r="A2953" s="508">
        <v>91861</v>
      </c>
      <c r="B2953" s="509" t="s">
        <v>5713</v>
      </c>
      <c r="C2953" s="508" t="s">
        <v>5</v>
      </c>
      <c r="D2953" s="508">
        <v>12.52</v>
      </c>
      <c r="E2953" s="461" t="s">
        <v>174</v>
      </c>
    </row>
    <row r="2954" spans="1:5" ht="27" x14ac:dyDescent="0.25">
      <c r="A2954" s="508">
        <v>91862</v>
      </c>
      <c r="B2954" s="509" t="s">
        <v>5714</v>
      </c>
      <c r="C2954" s="508" t="s">
        <v>5</v>
      </c>
      <c r="D2954" s="508">
        <v>10.78</v>
      </c>
      <c r="E2954" s="461" t="s">
        <v>174</v>
      </c>
    </row>
    <row r="2955" spans="1:5" ht="27" x14ac:dyDescent="0.25">
      <c r="A2955" s="508">
        <v>91863</v>
      </c>
      <c r="B2955" s="509" t="s">
        <v>5715</v>
      </c>
      <c r="C2955" s="508" t="s">
        <v>5</v>
      </c>
      <c r="D2955" s="508">
        <v>12.77</v>
      </c>
      <c r="E2955" s="461" t="s">
        <v>174</v>
      </c>
    </row>
    <row r="2956" spans="1:5" ht="27" x14ac:dyDescent="0.25">
      <c r="A2956" s="508">
        <v>91864</v>
      </c>
      <c r="B2956" s="509" t="s">
        <v>5716</v>
      </c>
      <c r="C2956" s="508" t="s">
        <v>5</v>
      </c>
      <c r="D2956" s="508">
        <v>17.32</v>
      </c>
      <c r="E2956" s="461" t="s">
        <v>174</v>
      </c>
    </row>
    <row r="2957" spans="1:5" ht="27" x14ac:dyDescent="0.25">
      <c r="A2957" s="508">
        <v>91865</v>
      </c>
      <c r="B2957" s="509" t="s">
        <v>5717</v>
      </c>
      <c r="C2957" s="508" t="s">
        <v>5</v>
      </c>
      <c r="D2957" s="508">
        <v>21.79</v>
      </c>
      <c r="E2957" s="461" t="s">
        <v>174</v>
      </c>
    </row>
    <row r="2958" spans="1:5" ht="27" x14ac:dyDescent="0.25">
      <c r="A2958" s="508">
        <v>91866</v>
      </c>
      <c r="B2958" s="509" t="s">
        <v>5718</v>
      </c>
      <c r="C2958" s="508" t="s">
        <v>5</v>
      </c>
      <c r="D2958" s="510">
        <v>9.4</v>
      </c>
      <c r="E2958" s="461" t="s">
        <v>174</v>
      </c>
    </row>
    <row r="2959" spans="1:5" ht="27" x14ac:dyDescent="0.25">
      <c r="A2959" s="508">
        <v>91867</v>
      </c>
      <c r="B2959" s="509" t="s">
        <v>5719</v>
      </c>
      <c r="C2959" s="508" t="s">
        <v>5</v>
      </c>
      <c r="D2959" s="508">
        <v>11.39</v>
      </c>
      <c r="E2959" s="461" t="s">
        <v>174</v>
      </c>
    </row>
    <row r="2960" spans="1:5" ht="27" x14ac:dyDescent="0.25">
      <c r="A2960" s="508">
        <v>91868</v>
      </c>
      <c r="B2960" s="509" t="s">
        <v>5720</v>
      </c>
      <c r="C2960" s="508" t="s">
        <v>5</v>
      </c>
      <c r="D2960" s="508">
        <v>15.95</v>
      </c>
      <c r="E2960" s="461" t="s">
        <v>174</v>
      </c>
    </row>
    <row r="2961" spans="1:5" ht="27" x14ac:dyDescent="0.25">
      <c r="A2961" s="508">
        <v>91869</v>
      </c>
      <c r="B2961" s="509" t="s">
        <v>5721</v>
      </c>
      <c r="C2961" s="508" t="s">
        <v>5</v>
      </c>
      <c r="D2961" s="508">
        <v>20.36</v>
      </c>
      <c r="E2961" s="461" t="s">
        <v>174</v>
      </c>
    </row>
    <row r="2962" spans="1:5" ht="27" x14ac:dyDescent="0.25">
      <c r="A2962" s="508">
        <v>91870</v>
      </c>
      <c r="B2962" s="509" t="s">
        <v>5722</v>
      </c>
      <c r="C2962" s="508" t="s">
        <v>5</v>
      </c>
      <c r="D2962" s="508">
        <v>14.04</v>
      </c>
      <c r="E2962" s="461" t="s">
        <v>174</v>
      </c>
    </row>
    <row r="2963" spans="1:5" ht="27" x14ac:dyDescent="0.25">
      <c r="A2963" s="508">
        <v>91871</v>
      </c>
      <c r="B2963" s="509" t="s">
        <v>5723</v>
      </c>
      <c r="C2963" s="508" t="s">
        <v>5</v>
      </c>
      <c r="D2963" s="508">
        <v>16.03</v>
      </c>
      <c r="E2963" s="461" t="s">
        <v>174</v>
      </c>
    </row>
    <row r="2964" spans="1:5" ht="27" x14ac:dyDescent="0.25">
      <c r="A2964" s="508">
        <v>91872</v>
      </c>
      <c r="B2964" s="509" t="s">
        <v>5724</v>
      </c>
      <c r="C2964" s="508" t="s">
        <v>5</v>
      </c>
      <c r="D2964" s="508">
        <v>20.58</v>
      </c>
      <c r="E2964" s="461" t="s">
        <v>174</v>
      </c>
    </row>
    <row r="2965" spans="1:5" ht="27" x14ac:dyDescent="0.25">
      <c r="A2965" s="508">
        <v>91873</v>
      </c>
      <c r="B2965" s="509" t="s">
        <v>5725</v>
      </c>
      <c r="C2965" s="508" t="s">
        <v>5</v>
      </c>
      <c r="D2965" s="508">
        <v>24.98</v>
      </c>
      <c r="E2965" s="461" t="s">
        <v>174</v>
      </c>
    </row>
    <row r="2966" spans="1:5" ht="27" x14ac:dyDescent="0.25">
      <c r="A2966" s="508">
        <v>93008</v>
      </c>
      <c r="B2966" s="509" t="s">
        <v>4373</v>
      </c>
      <c r="C2966" s="508" t="s">
        <v>5</v>
      </c>
      <c r="D2966" s="508">
        <v>21.38</v>
      </c>
      <c r="E2966" s="461" t="s">
        <v>174</v>
      </c>
    </row>
    <row r="2967" spans="1:5" ht="27" x14ac:dyDescent="0.25">
      <c r="A2967" s="508">
        <v>93009</v>
      </c>
      <c r="B2967" s="509" t="s">
        <v>4374</v>
      </c>
      <c r="C2967" s="508" t="s">
        <v>5</v>
      </c>
      <c r="D2967" s="508">
        <v>31.9</v>
      </c>
      <c r="E2967" s="461" t="s">
        <v>174</v>
      </c>
    </row>
    <row r="2968" spans="1:5" ht="27" x14ac:dyDescent="0.25">
      <c r="A2968" s="508">
        <v>93010</v>
      </c>
      <c r="B2968" s="509" t="s">
        <v>4375</v>
      </c>
      <c r="C2968" s="508" t="s">
        <v>5</v>
      </c>
      <c r="D2968" s="508">
        <v>44.64</v>
      </c>
      <c r="E2968" s="461" t="s">
        <v>174</v>
      </c>
    </row>
    <row r="2969" spans="1:5" ht="27" x14ac:dyDescent="0.25">
      <c r="A2969" s="508">
        <v>93011</v>
      </c>
      <c r="B2969" s="509" t="s">
        <v>4376</v>
      </c>
      <c r="C2969" s="508" t="s">
        <v>5</v>
      </c>
      <c r="D2969" s="508">
        <v>54.72</v>
      </c>
      <c r="E2969" s="461" t="s">
        <v>174</v>
      </c>
    </row>
    <row r="2970" spans="1:5" ht="27" x14ac:dyDescent="0.25">
      <c r="A2970" s="508">
        <v>93012</v>
      </c>
      <c r="B2970" s="509" t="s">
        <v>4377</v>
      </c>
      <c r="C2970" s="508" t="s">
        <v>5</v>
      </c>
      <c r="D2970" s="508">
        <v>83.07</v>
      </c>
      <c r="E2970" s="461" t="s">
        <v>174</v>
      </c>
    </row>
    <row r="2971" spans="1:5" ht="27" x14ac:dyDescent="0.25">
      <c r="A2971" s="508">
        <v>95726</v>
      </c>
      <c r="B2971" s="509" t="s">
        <v>13033</v>
      </c>
      <c r="C2971" s="508" t="s">
        <v>5</v>
      </c>
      <c r="D2971" s="508">
        <v>17.260000000000002</v>
      </c>
      <c r="E2971" s="461" t="s">
        <v>174</v>
      </c>
    </row>
    <row r="2972" spans="1:5" ht="27" x14ac:dyDescent="0.25">
      <c r="A2972" s="508">
        <v>95727</v>
      </c>
      <c r="B2972" s="509" t="s">
        <v>13034</v>
      </c>
      <c r="C2972" s="508" t="s">
        <v>5</v>
      </c>
      <c r="D2972" s="508">
        <v>21.26</v>
      </c>
      <c r="E2972" s="461" t="s">
        <v>174</v>
      </c>
    </row>
    <row r="2973" spans="1:5" ht="27" x14ac:dyDescent="0.25">
      <c r="A2973" s="508">
        <v>95728</v>
      </c>
      <c r="B2973" s="509" t="s">
        <v>13035</v>
      </c>
      <c r="C2973" s="508" t="s">
        <v>5</v>
      </c>
      <c r="D2973" s="508">
        <v>27.82</v>
      </c>
      <c r="E2973" s="461" t="s">
        <v>174</v>
      </c>
    </row>
    <row r="2974" spans="1:5" ht="27" x14ac:dyDescent="0.25">
      <c r="A2974" s="508">
        <v>97667</v>
      </c>
      <c r="B2974" s="509" t="s">
        <v>4378</v>
      </c>
      <c r="C2974" s="508" t="s">
        <v>5</v>
      </c>
      <c r="D2974" s="508">
        <v>8.4499999999999993</v>
      </c>
      <c r="E2974" s="461" t="s">
        <v>174</v>
      </c>
    </row>
    <row r="2975" spans="1:5" ht="27" x14ac:dyDescent="0.25">
      <c r="A2975" s="508">
        <v>97668</v>
      </c>
      <c r="B2975" s="509" t="s">
        <v>4379</v>
      </c>
      <c r="C2975" s="508" t="s">
        <v>5</v>
      </c>
      <c r="D2975" s="508">
        <v>12.04</v>
      </c>
      <c r="E2975" s="461" t="s">
        <v>174</v>
      </c>
    </row>
    <row r="2976" spans="1:5" ht="27" x14ac:dyDescent="0.25">
      <c r="A2976" s="508">
        <v>97669</v>
      </c>
      <c r="B2976" s="509" t="s">
        <v>4380</v>
      </c>
      <c r="C2976" s="508" t="s">
        <v>5</v>
      </c>
      <c r="D2976" s="508">
        <v>17.93</v>
      </c>
      <c r="E2976" s="461" t="s">
        <v>174</v>
      </c>
    </row>
    <row r="2977" spans="1:5" ht="27" x14ac:dyDescent="0.25">
      <c r="A2977" s="508">
        <v>97670</v>
      </c>
      <c r="B2977" s="509" t="s">
        <v>4381</v>
      </c>
      <c r="C2977" s="508" t="s">
        <v>5</v>
      </c>
      <c r="D2977" s="508">
        <v>22.83</v>
      </c>
      <c r="E2977" s="461" t="s">
        <v>174</v>
      </c>
    </row>
    <row r="2978" spans="1:5" ht="27" x14ac:dyDescent="0.25">
      <c r="A2978" s="508">
        <v>91874</v>
      </c>
      <c r="B2978" s="509" t="s">
        <v>5726</v>
      </c>
      <c r="C2978" s="508" t="s">
        <v>107</v>
      </c>
      <c r="D2978" s="508">
        <v>7.68</v>
      </c>
      <c r="E2978" s="461" t="s">
        <v>174</v>
      </c>
    </row>
    <row r="2979" spans="1:5" ht="27" x14ac:dyDescent="0.25">
      <c r="A2979" s="508">
        <v>91875</v>
      </c>
      <c r="B2979" s="509" t="s">
        <v>5727</v>
      </c>
      <c r="C2979" s="508" t="s">
        <v>107</v>
      </c>
      <c r="D2979" s="508">
        <v>9</v>
      </c>
      <c r="E2979" s="461" t="s">
        <v>174</v>
      </c>
    </row>
    <row r="2980" spans="1:5" ht="27" x14ac:dyDescent="0.25">
      <c r="A2980" s="508">
        <v>91876</v>
      </c>
      <c r="B2980" s="509" t="s">
        <v>5728</v>
      </c>
      <c r="C2980" s="508" t="s">
        <v>107</v>
      </c>
      <c r="D2980" s="508">
        <v>10.81</v>
      </c>
      <c r="E2980" s="461" t="s">
        <v>174</v>
      </c>
    </row>
    <row r="2981" spans="1:5" ht="27" x14ac:dyDescent="0.25">
      <c r="A2981" s="508">
        <v>91877</v>
      </c>
      <c r="B2981" s="509" t="s">
        <v>5729</v>
      </c>
      <c r="C2981" s="508" t="s">
        <v>107</v>
      </c>
      <c r="D2981" s="508">
        <v>13.29</v>
      </c>
      <c r="E2981" s="461" t="s">
        <v>174</v>
      </c>
    </row>
    <row r="2982" spans="1:5" ht="27" x14ac:dyDescent="0.25">
      <c r="A2982" s="508">
        <v>91878</v>
      </c>
      <c r="B2982" s="509" t="s">
        <v>5730</v>
      </c>
      <c r="C2982" s="508" t="s">
        <v>107</v>
      </c>
      <c r="D2982" s="508">
        <v>6.04</v>
      </c>
      <c r="E2982" s="461" t="s">
        <v>174</v>
      </c>
    </row>
    <row r="2983" spans="1:5" ht="27" x14ac:dyDescent="0.25">
      <c r="A2983" s="508">
        <v>91879</v>
      </c>
      <c r="B2983" s="509" t="s">
        <v>5731</v>
      </c>
      <c r="C2983" s="508" t="s">
        <v>107</v>
      </c>
      <c r="D2983" s="508">
        <v>7.38</v>
      </c>
      <c r="E2983" s="461" t="s">
        <v>174</v>
      </c>
    </row>
    <row r="2984" spans="1:5" ht="27" x14ac:dyDescent="0.25">
      <c r="A2984" s="508">
        <v>91880</v>
      </c>
      <c r="B2984" s="509" t="s">
        <v>5732</v>
      </c>
      <c r="C2984" s="508" t="s">
        <v>107</v>
      </c>
      <c r="D2984" s="508">
        <v>9.18</v>
      </c>
      <c r="E2984" s="461" t="s">
        <v>174</v>
      </c>
    </row>
    <row r="2985" spans="1:5" ht="27" x14ac:dyDescent="0.25">
      <c r="A2985" s="508">
        <v>91881</v>
      </c>
      <c r="B2985" s="509" t="s">
        <v>5733</v>
      </c>
      <c r="C2985" s="508" t="s">
        <v>107</v>
      </c>
      <c r="D2985" s="508">
        <v>11.67</v>
      </c>
      <c r="E2985" s="461" t="s">
        <v>174</v>
      </c>
    </row>
    <row r="2986" spans="1:5" ht="27" x14ac:dyDescent="0.25">
      <c r="A2986" s="508">
        <v>91882</v>
      </c>
      <c r="B2986" s="509" t="s">
        <v>5734</v>
      </c>
      <c r="C2986" s="508" t="s">
        <v>107</v>
      </c>
      <c r="D2986" s="508">
        <v>11.04</v>
      </c>
      <c r="E2986" s="461" t="s">
        <v>174</v>
      </c>
    </row>
    <row r="2987" spans="1:5" ht="27" x14ac:dyDescent="0.25">
      <c r="A2987" s="508">
        <v>91884</v>
      </c>
      <c r="B2987" s="509" t="s">
        <v>5735</v>
      </c>
      <c r="C2987" s="508" t="s">
        <v>107</v>
      </c>
      <c r="D2987" s="508">
        <v>12.37</v>
      </c>
      <c r="E2987" s="461" t="s">
        <v>174</v>
      </c>
    </row>
    <row r="2988" spans="1:5" ht="27" x14ac:dyDescent="0.25">
      <c r="A2988" s="508">
        <v>91885</v>
      </c>
      <c r="B2988" s="509" t="s">
        <v>5736</v>
      </c>
      <c r="C2988" s="508" t="s">
        <v>107</v>
      </c>
      <c r="D2988" s="508">
        <v>14.12</v>
      </c>
      <c r="E2988" s="461" t="s">
        <v>174</v>
      </c>
    </row>
    <row r="2989" spans="1:5" ht="27" x14ac:dyDescent="0.25">
      <c r="A2989" s="508">
        <v>91886</v>
      </c>
      <c r="B2989" s="509" t="s">
        <v>5737</v>
      </c>
      <c r="C2989" s="508" t="s">
        <v>107</v>
      </c>
      <c r="D2989" s="508">
        <v>16.55</v>
      </c>
      <c r="E2989" s="461" t="s">
        <v>174</v>
      </c>
    </row>
    <row r="2990" spans="1:5" ht="27" x14ac:dyDescent="0.25">
      <c r="A2990" s="508">
        <v>91887</v>
      </c>
      <c r="B2990" s="509" t="s">
        <v>5738</v>
      </c>
      <c r="C2990" s="508" t="s">
        <v>107</v>
      </c>
      <c r="D2990" s="508">
        <v>13.21</v>
      </c>
      <c r="E2990" s="461" t="s">
        <v>174</v>
      </c>
    </row>
    <row r="2991" spans="1:5" ht="27" x14ac:dyDescent="0.25">
      <c r="A2991" s="508">
        <v>91889</v>
      </c>
      <c r="B2991" s="509" t="s">
        <v>5739</v>
      </c>
      <c r="C2991" s="508" t="s">
        <v>107</v>
      </c>
      <c r="D2991" s="508">
        <v>12.88</v>
      </c>
      <c r="E2991" s="461" t="s">
        <v>174</v>
      </c>
    </row>
    <row r="2992" spans="1:5" ht="27" x14ac:dyDescent="0.25">
      <c r="A2992" s="508">
        <v>91890</v>
      </c>
      <c r="B2992" s="509" t="s">
        <v>5740</v>
      </c>
      <c r="C2992" s="508" t="s">
        <v>107</v>
      </c>
      <c r="D2992" s="508">
        <v>14.59</v>
      </c>
      <c r="E2992" s="461" t="s">
        <v>174</v>
      </c>
    </row>
    <row r="2993" spans="1:5" ht="27" x14ac:dyDescent="0.25">
      <c r="A2993" s="508">
        <v>91892</v>
      </c>
      <c r="B2993" s="509" t="s">
        <v>5741</v>
      </c>
      <c r="C2993" s="508" t="s">
        <v>107</v>
      </c>
      <c r="D2993" s="508">
        <v>16.760000000000002</v>
      </c>
      <c r="E2993" s="461" t="s">
        <v>174</v>
      </c>
    </row>
    <row r="2994" spans="1:5" ht="27" x14ac:dyDescent="0.25">
      <c r="A2994" s="508">
        <v>91893</v>
      </c>
      <c r="B2994" s="509" t="s">
        <v>5742</v>
      </c>
      <c r="C2994" s="508" t="s">
        <v>107</v>
      </c>
      <c r="D2994" s="508">
        <v>18.059999999999999</v>
      </c>
      <c r="E2994" s="461" t="s">
        <v>174</v>
      </c>
    </row>
    <row r="2995" spans="1:5" ht="27" x14ac:dyDescent="0.25">
      <c r="A2995" s="508">
        <v>91895</v>
      </c>
      <c r="B2995" s="509" t="s">
        <v>5743</v>
      </c>
      <c r="C2995" s="508" t="s">
        <v>107</v>
      </c>
      <c r="D2995" s="508">
        <v>20.27</v>
      </c>
      <c r="E2995" s="461" t="s">
        <v>174</v>
      </c>
    </row>
    <row r="2996" spans="1:5" ht="27" x14ac:dyDescent="0.25">
      <c r="A2996" s="508">
        <v>91896</v>
      </c>
      <c r="B2996" s="509" t="s">
        <v>5744</v>
      </c>
      <c r="C2996" s="508" t="s">
        <v>107</v>
      </c>
      <c r="D2996" s="508">
        <v>20.79</v>
      </c>
      <c r="E2996" s="461" t="s">
        <v>174</v>
      </c>
    </row>
    <row r="2997" spans="1:5" ht="27" x14ac:dyDescent="0.25">
      <c r="A2997" s="508">
        <v>91898</v>
      </c>
      <c r="B2997" s="509" t="s">
        <v>5745</v>
      </c>
      <c r="C2997" s="508" t="s">
        <v>107</v>
      </c>
      <c r="D2997" s="508">
        <v>23.16</v>
      </c>
      <c r="E2997" s="461" t="s">
        <v>174</v>
      </c>
    </row>
    <row r="2998" spans="1:5" ht="27" x14ac:dyDescent="0.25">
      <c r="A2998" s="508">
        <v>91899</v>
      </c>
      <c r="B2998" s="509" t="s">
        <v>5746</v>
      </c>
      <c r="C2998" s="508" t="s">
        <v>107</v>
      </c>
      <c r="D2998" s="508">
        <v>10.74</v>
      </c>
      <c r="E2998" s="461" t="s">
        <v>174</v>
      </c>
    </row>
    <row r="2999" spans="1:5" ht="27" x14ac:dyDescent="0.25">
      <c r="A2999" s="508">
        <v>91901</v>
      </c>
      <c r="B2999" s="509" t="s">
        <v>5747</v>
      </c>
      <c r="C2999" s="508" t="s">
        <v>107</v>
      </c>
      <c r="D2999" s="510">
        <v>10.41</v>
      </c>
      <c r="E2999" s="461" t="s">
        <v>174</v>
      </c>
    </row>
    <row r="3000" spans="1:5" ht="27" x14ac:dyDescent="0.25">
      <c r="A3000" s="508">
        <v>91902</v>
      </c>
      <c r="B3000" s="509" t="s">
        <v>5748</v>
      </c>
      <c r="C3000" s="508" t="s">
        <v>107</v>
      </c>
      <c r="D3000" s="510">
        <v>12.13</v>
      </c>
      <c r="E3000" s="461" t="s">
        <v>174</v>
      </c>
    </row>
    <row r="3001" spans="1:5" ht="27" x14ac:dyDescent="0.25">
      <c r="A3001" s="508">
        <v>91904</v>
      </c>
      <c r="B3001" s="509" t="s">
        <v>5749</v>
      </c>
      <c r="C3001" s="508" t="s">
        <v>107</v>
      </c>
      <c r="D3001" s="510">
        <v>14.3</v>
      </c>
      <c r="E3001" s="461" t="s">
        <v>174</v>
      </c>
    </row>
    <row r="3002" spans="1:5" ht="27" x14ac:dyDescent="0.25">
      <c r="A3002" s="508">
        <v>91905</v>
      </c>
      <c r="B3002" s="509" t="s">
        <v>5750</v>
      </c>
      <c r="C3002" s="508" t="s">
        <v>107</v>
      </c>
      <c r="D3002" s="510">
        <v>15.6</v>
      </c>
      <c r="E3002" s="461" t="s">
        <v>174</v>
      </c>
    </row>
    <row r="3003" spans="1:5" ht="27" x14ac:dyDescent="0.25">
      <c r="A3003" s="508">
        <v>91907</v>
      </c>
      <c r="B3003" s="509" t="s">
        <v>5751</v>
      </c>
      <c r="C3003" s="508" t="s">
        <v>107</v>
      </c>
      <c r="D3003" s="508">
        <v>17.809999999999999</v>
      </c>
      <c r="E3003" s="461" t="s">
        <v>174</v>
      </c>
    </row>
    <row r="3004" spans="1:5" ht="27" x14ac:dyDescent="0.25">
      <c r="A3004" s="508">
        <v>91908</v>
      </c>
      <c r="B3004" s="509" t="s">
        <v>5752</v>
      </c>
      <c r="C3004" s="508" t="s">
        <v>107</v>
      </c>
      <c r="D3004" s="508">
        <v>18.38</v>
      </c>
      <c r="E3004" s="461" t="s">
        <v>174</v>
      </c>
    </row>
    <row r="3005" spans="1:5" ht="27" x14ac:dyDescent="0.25">
      <c r="A3005" s="508">
        <v>91910</v>
      </c>
      <c r="B3005" s="509" t="s">
        <v>5753</v>
      </c>
      <c r="C3005" s="508" t="s">
        <v>107</v>
      </c>
      <c r="D3005" s="508">
        <v>20.75</v>
      </c>
      <c r="E3005" s="461" t="s">
        <v>174</v>
      </c>
    </row>
    <row r="3006" spans="1:5" ht="27" x14ac:dyDescent="0.25">
      <c r="A3006" s="508">
        <v>91911</v>
      </c>
      <c r="B3006" s="509" t="s">
        <v>5754</v>
      </c>
      <c r="C3006" s="508" t="s">
        <v>107</v>
      </c>
      <c r="D3006" s="508">
        <v>18.260000000000002</v>
      </c>
      <c r="E3006" s="461" t="s">
        <v>174</v>
      </c>
    </row>
    <row r="3007" spans="1:5" ht="27" x14ac:dyDescent="0.25">
      <c r="A3007" s="508">
        <v>91913</v>
      </c>
      <c r="B3007" s="509" t="s">
        <v>5755</v>
      </c>
      <c r="C3007" s="508" t="s">
        <v>107</v>
      </c>
      <c r="D3007" s="508">
        <v>17.93</v>
      </c>
      <c r="E3007" s="461" t="s">
        <v>174</v>
      </c>
    </row>
    <row r="3008" spans="1:5" ht="27" x14ac:dyDescent="0.25">
      <c r="A3008" s="508">
        <v>91914</v>
      </c>
      <c r="B3008" s="509" t="s">
        <v>5756</v>
      </c>
      <c r="C3008" s="508" t="s">
        <v>107</v>
      </c>
      <c r="D3008" s="508">
        <v>19.59</v>
      </c>
      <c r="E3008" s="461" t="s">
        <v>174</v>
      </c>
    </row>
    <row r="3009" spans="1:5" ht="27" x14ac:dyDescent="0.25">
      <c r="A3009" s="508">
        <v>91916</v>
      </c>
      <c r="B3009" s="509" t="s">
        <v>5757</v>
      </c>
      <c r="C3009" s="508" t="s">
        <v>107</v>
      </c>
      <c r="D3009" s="508">
        <v>21.76</v>
      </c>
      <c r="E3009" s="461" t="s">
        <v>174</v>
      </c>
    </row>
    <row r="3010" spans="1:5" ht="27" x14ac:dyDescent="0.25">
      <c r="A3010" s="508">
        <v>91917</v>
      </c>
      <c r="B3010" s="509" t="s">
        <v>5758</v>
      </c>
      <c r="C3010" s="508" t="s">
        <v>107</v>
      </c>
      <c r="D3010" s="510">
        <v>23</v>
      </c>
      <c r="E3010" s="461" t="s">
        <v>174</v>
      </c>
    </row>
    <row r="3011" spans="1:5" ht="27" x14ac:dyDescent="0.25">
      <c r="A3011" s="508">
        <v>91919</v>
      </c>
      <c r="B3011" s="509" t="s">
        <v>5759</v>
      </c>
      <c r="C3011" s="508" t="s">
        <v>107</v>
      </c>
      <c r="D3011" s="508">
        <v>25.21</v>
      </c>
      <c r="E3011" s="461" t="s">
        <v>174</v>
      </c>
    </row>
    <row r="3012" spans="1:5" ht="27" x14ac:dyDescent="0.25">
      <c r="A3012" s="508">
        <v>91920</v>
      </c>
      <c r="B3012" s="509" t="s">
        <v>5760</v>
      </c>
      <c r="C3012" s="508" t="s">
        <v>107</v>
      </c>
      <c r="D3012" s="508">
        <v>25.67</v>
      </c>
      <c r="E3012" s="461" t="s">
        <v>174</v>
      </c>
    </row>
    <row r="3013" spans="1:5" ht="27" x14ac:dyDescent="0.25">
      <c r="A3013" s="508">
        <v>91922</v>
      </c>
      <c r="B3013" s="509" t="s">
        <v>5761</v>
      </c>
      <c r="C3013" s="508" t="s">
        <v>107</v>
      </c>
      <c r="D3013" s="508">
        <v>28.04</v>
      </c>
      <c r="E3013" s="461" t="s">
        <v>174</v>
      </c>
    </row>
    <row r="3014" spans="1:5" ht="27" x14ac:dyDescent="0.25">
      <c r="A3014" s="508">
        <v>93013</v>
      </c>
      <c r="B3014" s="509" t="s">
        <v>4382</v>
      </c>
      <c r="C3014" s="508" t="s">
        <v>107</v>
      </c>
      <c r="D3014" s="508">
        <v>16.510000000000002</v>
      </c>
      <c r="E3014" s="461" t="s">
        <v>174</v>
      </c>
    </row>
    <row r="3015" spans="1:5" ht="27" x14ac:dyDescent="0.25">
      <c r="A3015" s="508">
        <v>93014</v>
      </c>
      <c r="B3015" s="509" t="s">
        <v>4383</v>
      </c>
      <c r="C3015" s="508" t="s">
        <v>107</v>
      </c>
      <c r="D3015" s="508">
        <v>20.149999999999999</v>
      </c>
      <c r="E3015" s="461" t="s">
        <v>174</v>
      </c>
    </row>
    <row r="3016" spans="1:5" ht="27" x14ac:dyDescent="0.25">
      <c r="A3016" s="508">
        <v>93015</v>
      </c>
      <c r="B3016" s="509" t="s">
        <v>4384</v>
      </c>
      <c r="C3016" s="508" t="s">
        <v>107</v>
      </c>
      <c r="D3016" s="508">
        <v>29.95</v>
      </c>
      <c r="E3016" s="461" t="s">
        <v>174</v>
      </c>
    </row>
    <row r="3017" spans="1:5" ht="27" x14ac:dyDescent="0.25">
      <c r="A3017" s="508">
        <v>93016</v>
      </c>
      <c r="B3017" s="509" t="s">
        <v>4385</v>
      </c>
      <c r="C3017" s="508" t="s">
        <v>107</v>
      </c>
      <c r="D3017" s="508">
        <v>36.159999999999997</v>
      </c>
      <c r="E3017" s="461" t="s">
        <v>174</v>
      </c>
    </row>
    <row r="3018" spans="1:5" ht="27" x14ac:dyDescent="0.25">
      <c r="A3018" s="508">
        <v>93017</v>
      </c>
      <c r="B3018" s="509" t="s">
        <v>4386</v>
      </c>
      <c r="C3018" s="508" t="s">
        <v>107</v>
      </c>
      <c r="D3018" s="508">
        <v>53.73</v>
      </c>
      <c r="E3018" s="461" t="s">
        <v>174</v>
      </c>
    </row>
    <row r="3019" spans="1:5" ht="27" x14ac:dyDescent="0.25">
      <c r="A3019" s="508">
        <v>93018</v>
      </c>
      <c r="B3019" s="509" t="s">
        <v>4387</v>
      </c>
      <c r="C3019" s="508" t="s">
        <v>107</v>
      </c>
      <c r="D3019" s="510">
        <v>25.17</v>
      </c>
      <c r="E3019" s="461" t="s">
        <v>174</v>
      </c>
    </row>
    <row r="3020" spans="1:5" ht="27" x14ac:dyDescent="0.25">
      <c r="A3020" s="508">
        <v>93020</v>
      </c>
      <c r="B3020" s="509" t="s">
        <v>4388</v>
      </c>
      <c r="C3020" s="508" t="s">
        <v>107</v>
      </c>
      <c r="D3020" s="510">
        <v>31.93</v>
      </c>
      <c r="E3020" s="461" t="s">
        <v>174</v>
      </c>
    </row>
    <row r="3021" spans="1:5" ht="27" x14ac:dyDescent="0.25">
      <c r="A3021" s="508">
        <v>93022</v>
      </c>
      <c r="B3021" s="509" t="s">
        <v>4389</v>
      </c>
      <c r="C3021" s="508" t="s">
        <v>107</v>
      </c>
      <c r="D3021" s="510">
        <v>52.04</v>
      </c>
      <c r="E3021" s="461" t="s">
        <v>174</v>
      </c>
    </row>
    <row r="3022" spans="1:5" ht="27" x14ac:dyDescent="0.25">
      <c r="A3022" s="508">
        <v>93024</v>
      </c>
      <c r="B3022" s="509" t="s">
        <v>4390</v>
      </c>
      <c r="C3022" s="508" t="s">
        <v>107</v>
      </c>
      <c r="D3022" s="510">
        <v>54.91</v>
      </c>
      <c r="E3022" s="461" t="s">
        <v>174</v>
      </c>
    </row>
    <row r="3023" spans="1:5" ht="27" x14ac:dyDescent="0.25">
      <c r="A3023" s="508">
        <v>93026</v>
      </c>
      <c r="B3023" s="509" t="s">
        <v>4391</v>
      </c>
      <c r="C3023" s="508" t="s">
        <v>107</v>
      </c>
      <c r="D3023" s="508">
        <v>88.34</v>
      </c>
      <c r="E3023" s="461" t="s">
        <v>174</v>
      </c>
    </row>
    <row r="3024" spans="1:5" ht="27" x14ac:dyDescent="0.25">
      <c r="A3024" s="508">
        <v>97559</v>
      </c>
      <c r="B3024" s="509" t="s">
        <v>5762</v>
      </c>
      <c r="C3024" s="508" t="s">
        <v>107</v>
      </c>
      <c r="D3024" s="508">
        <v>14.34</v>
      </c>
      <c r="E3024" s="461" t="s">
        <v>174</v>
      </c>
    </row>
    <row r="3025" spans="1:5" ht="27" x14ac:dyDescent="0.25">
      <c r="A3025" s="508">
        <v>97562</v>
      </c>
      <c r="B3025" s="509" t="s">
        <v>5763</v>
      </c>
      <c r="C3025" s="508" t="s">
        <v>107</v>
      </c>
      <c r="D3025" s="508">
        <v>11.88</v>
      </c>
      <c r="E3025" s="461" t="s">
        <v>174</v>
      </c>
    </row>
    <row r="3026" spans="1:5" ht="27" x14ac:dyDescent="0.25">
      <c r="A3026" s="508">
        <v>97564</v>
      </c>
      <c r="B3026" s="509" t="s">
        <v>5764</v>
      </c>
      <c r="C3026" s="508" t="s">
        <v>107</v>
      </c>
      <c r="D3026" s="510">
        <v>19.34</v>
      </c>
      <c r="E3026" s="461" t="s">
        <v>174</v>
      </c>
    </row>
    <row r="3027" spans="1:5" ht="27" x14ac:dyDescent="0.25">
      <c r="A3027" s="508">
        <v>104395</v>
      </c>
      <c r="B3027" s="509" t="s">
        <v>5765</v>
      </c>
      <c r="C3027" s="508" t="s">
        <v>107</v>
      </c>
      <c r="D3027" s="508">
        <v>23.35</v>
      </c>
      <c r="E3027" s="461" t="s">
        <v>174</v>
      </c>
    </row>
    <row r="3028" spans="1:5" ht="27" x14ac:dyDescent="0.25">
      <c r="A3028" s="508">
        <v>91924</v>
      </c>
      <c r="B3028" s="509" t="s">
        <v>5766</v>
      </c>
      <c r="C3028" s="508" t="s">
        <v>5</v>
      </c>
      <c r="D3028" s="508">
        <v>3.18</v>
      </c>
      <c r="E3028" s="461" t="s">
        <v>174</v>
      </c>
    </row>
    <row r="3029" spans="1:5" ht="27" x14ac:dyDescent="0.25">
      <c r="A3029" s="508">
        <v>91925</v>
      </c>
      <c r="B3029" s="509" t="s">
        <v>5767</v>
      </c>
      <c r="C3029" s="508" t="s">
        <v>5</v>
      </c>
      <c r="D3029" s="508">
        <v>3.84</v>
      </c>
      <c r="E3029" s="461" t="s">
        <v>174</v>
      </c>
    </row>
    <row r="3030" spans="1:5" ht="27" x14ac:dyDescent="0.25">
      <c r="A3030" s="508">
        <v>91926</v>
      </c>
      <c r="B3030" s="509" t="s">
        <v>5768</v>
      </c>
      <c r="C3030" s="508" t="s">
        <v>5</v>
      </c>
      <c r="D3030" s="508">
        <v>4.62</v>
      </c>
      <c r="E3030" s="461" t="s">
        <v>174</v>
      </c>
    </row>
    <row r="3031" spans="1:5" ht="27" x14ac:dyDescent="0.25">
      <c r="A3031" s="508">
        <v>91927</v>
      </c>
      <c r="B3031" s="509" t="s">
        <v>5769</v>
      </c>
      <c r="C3031" s="508" t="s">
        <v>5</v>
      </c>
      <c r="D3031" s="508">
        <v>5.18</v>
      </c>
      <c r="E3031" s="461" t="s">
        <v>174</v>
      </c>
    </row>
    <row r="3032" spans="1:5" ht="27" x14ac:dyDescent="0.25">
      <c r="A3032" s="508">
        <v>91928</v>
      </c>
      <c r="B3032" s="509" t="s">
        <v>5770</v>
      </c>
      <c r="C3032" s="508" t="s">
        <v>5</v>
      </c>
      <c r="D3032" s="508">
        <v>7.14</v>
      </c>
      <c r="E3032" s="461" t="s">
        <v>174</v>
      </c>
    </row>
    <row r="3033" spans="1:5" ht="27" x14ac:dyDescent="0.25">
      <c r="A3033" s="508">
        <v>91929</v>
      </c>
      <c r="B3033" s="509" t="s">
        <v>5771</v>
      </c>
      <c r="C3033" s="508" t="s">
        <v>5</v>
      </c>
      <c r="D3033" s="508">
        <v>7.63</v>
      </c>
      <c r="E3033" s="461" t="s">
        <v>174</v>
      </c>
    </row>
    <row r="3034" spans="1:5" ht="27" x14ac:dyDescent="0.25">
      <c r="A3034" s="508">
        <v>91930</v>
      </c>
      <c r="B3034" s="509" t="s">
        <v>5772</v>
      </c>
      <c r="C3034" s="508" t="s">
        <v>5</v>
      </c>
      <c r="D3034" s="508">
        <v>9.9700000000000006</v>
      </c>
      <c r="E3034" s="461" t="s">
        <v>174</v>
      </c>
    </row>
    <row r="3035" spans="1:5" ht="27" x14ac:dyDescent="0.25">
      <c r="A3035" s="508">
        <v>91931</v>
      </c>
      <c r="B3035" s="509" t="s">
        <v>5773</v>
      </c>
      <c r="C3035" s="508" t="s">
        <v>5</v>
      </c>
      <c r="D3035" s="508">
        <v>10.76</v>
      </c>
      <c r="E3035" s="461" t="s">
        <v>174</v>
      </c>
    </row>
    <row r="3036" spans="1:5" ht="27" x14ac:dyDescent="0.25">
      <c r="A3036" s="508">
        <v>91932</v>
      </c>
      <c r="B3036" s="509" t="s">
        <v>5774</v>
      </c>
      <c r="C3036" s="508" t="s">
        <v>5</v>
      </c>
      <c r="D3036" s="508">
        <v>17.850000000000001</v>
      </c>
      <c r="E3036" s="461" t="s">
        <v>174</v>
      </c>
    </row>
    <row r="3037" spans="1:5" ht="27" x14ac:dyDescent="0.25">
      <c r="A3037" s="508">
        <v>91933</v>
      </c>
      <c r="B3037" s="509" t="s">
        <v>5775</v>
      </c>
      <c r="C3037" s="508" t="s">
        <v>5</v>
      </c>
      <c r="D3037" s="508">
        <v>17.22</v>
      </c>
      <c r="E3037" s="461" t="s">
        <v>174</v>
      </c>
    </row>
    <row r="3038" spans="1:5" ht="27" x14ac:dyDescent="0.25">
      <c r="A3038" s="508">
        <v>91934</v>
      </c>
      <c r="B3038" s="509" t="s">
        <v>5776</v>
      </c>
      <c r="C3038" s="508" t="s">
        <v>5</v>
      </c>
      <c r="D3038" s="508">
        <v>25.79</v>
      </c>
      <c r="E3038" s="461" t="s">
        <v>174</v>
      </c>
    </row>
    <row r="3039" spans="1:5" ht="27" x14ac:dyDescent="0.25">
      <c r="A3039" s="508">
        <v>91935</v>
      </c>
      <c r="B3039" s="509" t="s">
        <v>5777</v>
      </c>
      <c r="C3039" s="508" t="s">
        <v>5</v>
      </c>
      <c r="D3039" s="508">
        <v>27.01</v>
      </c>
      <c r="E3039" s="461" t="s">
        <v>174</v>
      </c>
    </row>
    <row r="3040" spans="1:5" ht="27" x14ac:dyDescent="0.25">
      <c r="A3040" s="508">
        <v>92979</v>
      </c>
      <c r="B3040" s="509" t="s">
        <v>5778</v>
      </c>
      <c r="C3040" s="508" t="s">
        <v>5</v>
      </c>
      <c r="D3040" s="508">
        <v>11.74</v>
      </c>
      <c r="E3040" s="461" t="s">
        <v>174</v>
      </c>
    </row>
    <row r="3041" spans="1:5" ht="27" x14ac:dyDescent="0.25">
      <c r="A3041" s="508">
        <v>92980</v>
      </c>
      <c r="B3041" s="509" t="s">
        <v>5779</v>
      </c>
      <c r="C3041" s="508" t="s">
        <v>5</v>
      </c>
      <c r="D3041" s="508">
        <v>11.22</v>
      </c>
      <c r="E3041" s="461" t="s">
        <v>174</v>
      </c>
    </row>
    <row r="3042" spans="1:5" ht="27" x14ac:dyDescent="0.25">
      <c r="A3042" s="508">
        <v>92981</v>
      </c>
      <c r="B3042" s="509" t="s">
        <v>5780</v>
      </c>
      <c r="C3042" s="508" t="s">
        <v>5</v>
      </c>
      <c r="D3042" s="508">
        <v>16.760000000000002</v>
      </c>
      <c r="E3042" s="461" t="s">
        <v>174</v>
      </c>
    </row>
    <row r="3043" spans="1:5" ht="27" x14ac:dyDescent="0.25">
      <c r="A3043" s="508">
        <v>92982</v>
      </c>
      <c r="B3043" s="509" t="s">
        <v>5781</v>
      </c>
      <c r="C3043" s="508" t="s">
        <v>5</v>
      </c>
      <c r="D3043" s="508">
        <v>17.760000000000002</v>
      </c>
      <c r="E3043" s="461" t="s">
        <v>174</v>
      </c>
    </row>
    <row r="3044" spans="1:5" ht="27" x14ac:dyDescent="0.25">
      <c r="A3044" s="508">
        <v>92984</v>
      </c>
      <c r="B3044" s="509" t="s">
        <v>4392</v>
      </c>
      <c r="C3044" s="508" t="s">
        <v>5</v>
      </c>
      <c r="D3044" s="508">
        <v>29.49</v>
      </c>
      <c r="E3044" s="461" t="s">
        <v>174</v>
      </c>
    </row>
    <row r="3045" spans="1:5" ht="27" x14ac:dyDescent="0.25">
      <c r="A3045" s="508">
        <v>92986</v>
      </c>
      <c r="B3045" s="509" t="s">
        <v>4393</v>
      </c>
      <c r="C3045" s="508" t="s">
        <v>5</v>
      </c>
      <c r="D3045" s="508">
        <v>40.76</v>
      </c>
      <c r="E3045" s="461" t="s">
        <v>174</v>
      </c>
    </row>
    <row r="3046" spans="1:5" ht="27" x14ac:dyDescent="0.25">
      <c r="A3046" s="508">
        <v>92988</v>
      </c>
      <c r="B3046" s="509" t="s">
        <v>4394</v>
      </c>
      <c r="C3046" s="508" t="s">
        <v>5</v>
      </c>
      <c r="D3046" s="508">
        <v>59.14</v>
      </c>
      <c r="E3046" s="461" t="s">
        <v>174</v>
      </c>
    </row>
    <row r="3047" spans="1:5" ht="27" x14ac:dyDescent="0.25">
      <c r="A3047" s="508">
        <v>92990</v>
      </c>
      <c r="B3047" s="509" t="s">
        <v>4395</v>
      </c>
      <c r="C3047" s="508" t="s">
        <v>5</v>
      </c>
      <c r="D3047" s="508">
        <v>81.86</v>
      </c>
      <c r="E3047" s="461" t="s">
        <v>174</v>
      </c>
    </row>
    <row r="3048" spans="1:5" ht="27" x14ac:dyDescent="0.25">
      <c r="A3048" s="508">
        <v>92992</v>
      </c>
      <c r="B3048" s="509" t="s">
        <v>4396</v>
      </c>
      <c r="C3048" s="508" t="s">
        <v>5</v>
      </c>
      <c r="D3048" s="508">
        <v>105.83</v>
      </c>
      <c r="E3048" s="461" t="s">
        <v>174</v>
      </c>
    </row>
    <row r="3049" spans="1:5" ht="27" x14ac:dyDescent="0.25">
      <c r="A3049" s="508">
        <v>92994</v>
      </c>
      <c r="B3049" s="509" t="s">
        <v>4397</v>
      </c>
      <c r="C3049" s="508" t="s">
        <v>5</v>
      </c>
      <c r="D3049" s="508">
        <v>137.52000000000001</v>
      </c>
      <c r="E3049" s="461" t="s">
        <v>174</v>
      </c>
    </row>
    <row r="3050" spans="1:5" ht="27" x14ac:dyDescent="0.25">
      <c r="A3050" s="508">
        <v>92996</v>
      </c>
      <c r="B3050" s="509" t="s">
        <v>4398</v>
      </c>
      <c r="C3050" s="508" t="s">
        <v>5</v>
      </c>
      <c r="D3050" s="508">
        <v>166.37</v>
      </c>
      <c r="E3050" s="461" t="s">
        <v>174</v>
      </c>
    </row>
    <row r="3051" spans="1:5" ht="27" x14ac:dyDescent="0.25">
      <c r="A3051" s="508">
        <v>92998</v>
      </c>
      <c r="B3051" s="509" t="s">
        <v>4399</v>
      </c>
      <c r="C3051" s="508" t="s">
        <v>5</v>
      </c>
      <c r="D3051" s="508">
        <v>203.89</v>
      </c>
      <c r="E3051" s="461" t="s">
        <v>174</v>
      </c>
    </row>
    <row r="3052" spans="1:5" ht="27" x14ac:dyDescent="0.25">
      <c r="A3052" s="508">
        <v>93000</v>
      </c>
      <c r="B3052" s="509" t="s">
        <v>4400</v>
      </c>
      <c r="C3052" s="508" t="s">
        <v>5</v>
      </c>
      <c r="D3052" s="508">
        <v>269.94</v>
      </c>
      <c r="E3052" s="461" t="s">
        <v>174</v>
      </c>
    </row>
    <row r="3053" spans="1:5" ht="27" x14ac:dyDescent="0.25">
      <c r="A3053" s="508">
        <v>93002</v>
      </c>
      <c r="B3053" s="509" t="s">
        <v>4401</v>
      </c>
      <c r="C3053" s="508" t="s">
        <v>5</v>
      </c>
      <c r="D3053" s="508">
        <v>349.02</v>
      </c>
      <c r="E3053" s="461" t="s">
        <v>174</v>
      </c>
    </row>
    <row r="3054" spans="1:5" ht="27" x14ac:dyDescent="0.25">
      <c r="A3054" s="508">
        <v>101884</v>
      </c>
      <c r="B3054" s="509" t="s">
        <v>2552</v>
      </c>
      <c r="C3054" s="508" t="s">
        <v>5</v>
      </c>
      <c r="D3054" s="508">
        <v>11.44</v>
      </c>
      <c r="E3054" s="461" t="s">
        <v>174</v>
      </c>
    </row>
    <row r="3055" spans="1:5" ht="27" x14ac:dyDescent="0.25">
      <c r="A3055" s="508">
        <v>101885</v>
      </c>
      <c r="B3055" s="509" t="s">
        <v>2553</v>
      </c>
      <c r="C3055" s="508" t="s">
        <v>5</v>
      </c>
      <c r="D3055" s="508">
        <v>10.92</v>
      </c>
      <c r="E3055" s="461" t="s">
        <v>174</v>
      </c>
    </row>
    <row r="3056" spans="1:5" ht="27" x14ac:dyDescent="0.25">
      <c r="A3056" s="508">
        <v>101886</v>
      </c>
      <c r="B3056" s="509" t="s">
        <v>2554</v>
      </c>
      <c r="C3056" s="508" t="s">
        <v>5</v>
      </c>
      <c r="D3056" s="508">
        <v>16.43</v>
      </c>
      <c r="E3056" s="461" t="s">
        <v>174</v>
      </c>
    </row>
    <row r="3057" spans="1:5" ht="27" x14ac:dyDescent="0.25">
      <c r="A3057" s="508">
        <v>101887</v>
      </c>
      <c r="B3057" s="509" t="s">
        <v>2555</v>
      </c>
      <c r="C3057" s="508" t="s">
        <v>5</v>
      </c>
      <c r="D3057" s="508">
        <v>17.43</v>
      </c>
      <c r="E3057" s="461" t="s">
        <v>174</v>
      </c>
    </row>
    <row r="3058" spans="1:5" ht="27" x14ac:dyDescent="0.25">
      <c r="A3058" s="508">
        <v>101888</v>
      </c>
      <c r="B3058" s="509" t="s">
        <v>2556</v>
      </c>
      <c r="C3058" s="508" t="s">
        <v>5</v>
      </c>
      <c r="D3058" s="508">
        <v>25.75</v>
      </c>
      <c r="E3058" s="461" t="s">
        <v>174</v>
      </c>
    </row>
    <row r="3059" spans="1:5" ht="27" x14ac:dyDescent="0.25">
      <c r="A3059" s="508">
        <v>101889</v>
      </c>
      <c r="B3059" s="509" t="s">
        <v>2557</v>
      </c>
      <c r="C3059" s="508" t="s">
        <v>5</v>
      </c>
      <c r="D3059" s="508">
        <v>27.07</v>
      </c>
      <c r="E3059" s="461" t="s">
        <v>174</v>
      </c>
    </row>
    <row r="3060" spans="1:5" ht="27" x14ac:dyDescent="0.25">
      <c r="A3060" s="508">
        <v>91936</v>
      </c>
      <c r="B3060" s="509" t="s">
        <v>5782</v>
      </c>
      <c r="C3060" s="508" t="s">
        <v>107</v>
      </c>
      <c r="D3060" s="508">
        <v>19.239999999999998</v>
      </c>
      <c r="E3060" s="461" t="s">
        <v>174</v>
      </c>
    </row>
    <row r="3061" spans="1:5" ht="27" x14ac:dyDescent="0.25">
      <c r="A3061" s="508">
        <v>91937</v>
      </c>
      <c r="B3061" s="509" t="s">
        <v>5783</v>
      </c>
      <c r="C3061" s="508" t="s">
        <v>107</v>
      </c>
      <c r="D3061" s="508">
        <v>17.149999999999999</v>
      </c>
      <c r="E3061" s="461" t="s">
        <v>174</v>
      </c>
    </row>
    <row r="3062" spans="1:5" ht="27" x14ac:dyDescent="0.25">
      <c r="A3062" s="508">
        <v>91939</v>
      </c>
      <c r="B3062" s="509" t="s">
        <v>5784</v>
      </c>
      <c r="C3062" s="508" t="s">
        <v>107</v>
      </c>
      <c r="D3062" s="508">
        <v>34.130000000000003</v>
      </c>
      <c r="E3062" s="461" t="s">
        <v>174</v>
      </c>
    </row>
    <row r="3063" spans="1:5" ht="27" x14ac:dyDescent="0.25">
      <c r="A3063" s="508">
        <v>91940</v>
      </c>
      <c r="B3063" s="509" t="s">
        <v>5785</v>
      </c>
      <c r="C3063" s="508" t="s">
        <v>107</v>
      </c>
      <c r="D3063" s="508">
        <v>19.600000000000001</v>
      </c>
      <c r="E3063" s="461" t="s">
        <v>174</v>
      </c>
    </row>
    <row r="3064" spans="1:5" ht="27" x14ac:dyDescent="0.25">
      <c r="A3064" s="508">
        <v>91941</v>
      </c>
      <c r="B3064" s="509" t="s">
        <v>5786</v>
      </c>
      <c r="C3064" s="508" t="s">
        <v>107</v>
      </c>
      <c r="D3064" s="508">
        <v>12.47</v>
      </c>
      <c r="E3064" s="461" t="s">
        <v>174</v>
      </c>
    </row>
    <row r="3065" spans="1:5" ht="27" x14ac:dyDescent="0.25">
      <c r="A3065" s="508">
        <v>91942</v>
      </c>
      <c r="B3065" s="509" t="s">
        <v>5787</v>
      </c>
      <c r="C3065" s="508" t="s">
        <v>107</v>
      </c>
      <c r="D3065" s="508">
        <v>38</v>
      </c>
      <c r="E3065" s="461" t="s">
        <v>174</v>
      </c>
    </row>
    <row r="3066" spans="1:5" ht="27" x14ac:dyDescent="0.25">
      <c r="A3066" s="508">
        <v>91943</v>
      </c>
      <c r="B3066" s="509" t="s">
        <v>5788</v>
      </c>
      <c r="C3066" s="508" t="s">
        <v>107</v>
      </c>
      <c r="D3066" s="508">
        <v>22.95</v>
      </c>
      <c r="E3066" s="461" t="s">
        <v>174</v>
      </c>
    </row>
    <row r="3067" spans="1:5" ht="27" x14ac:dyDescent="0.25">
      <c r="A3067" s="508">
        <v>91944</v>
      </c>
      <c r="B3067" s="509" t="s">
        <v>5789</v>
      </c>
      <c r="C3067" s="508" t="s">
        <v>107</v>
      </c>
      <c r="D3067" s="508">
        <v>15.55</v>
      </c>
      <c r="E3067" s="461" t="s">
        <v>174</v>
      </c>
    </row>
    <row r="3068" spans="1:5" ht="27" x14ac:dyDescent="0.25">
      <c r="A3068" s="508">
        <v>92865</v>
      </c>
      <c r="B3068" s="509" t="s">
        <v>5790</v>
      </c>
      <c r="C3068" s="508" t="s">
        <v>107</v>
      </c>
      <c r="D3068" s="508">
        <v>15.13</v>
      </c>
      <c r="E3068" s="461" t="s">
        <v>174</v>
      </c>
    </row>
    <row r="3069" spans="1:5" ht="27" x14ac:dyDescent="0.25">
      <c r="A3069" s="508">
        <v>92866</v>
      </c>
      <c r="B3069" s="509" t="s">
        <v>5791</v>
      </c>
      <c r="C3069" s="508" t="s">
        <v>107</v>
      </c>
      <c r="D3069" s="508">
        <v>13.68</v>
      </c>
      <c r="E3069" s="461" t="s">
        <v>174</v>
      </c>
    </row>
    <row r="3070" spans="1:5" ht="27" x14ac:dyDescent="0.25">
      <c r="A3070" s="508">
        <v>92867</v>
      </c>
      <c r="B3070" s="509" t="s">
        <v>5792</v>
      </c>
      <c r="C3070" s="508" t="s">
        <v>107</v>
      </c>
      <c r="D3070" s="508">
        <v>32.770000000000003</v>
      </c>
      <c r="E3070" s="461" t="s">
        <v>174</v>
      </c>
    </row>
    <row r="3071" spans="1:5" ht="27" x14ac:dyDescent="0.25">
      <c r="A3071" s="508">
        <v>92868</v>
      </c>
      <c r="B3071" s="509" t="s">
        <v>5793</v>
      </c>
      <c r="C3071" s="508" t="s">
        <v>107</v>
      </c>
      <c r="D3071" s="508">
        <v>18.239999999999998</v>
      </c>
      <c r="E3071" s="461" t="s">
        <v>174</v>
      </c>
    </row>
    <row r="3072" spans="1:5" ht="27" x14ac:dyDescent="0.25">
      <c r="A3072" s="508">
        <v>92869</v>
      </c>
      <c r="B3072" s="509" t="s">
        <v>5794</v>
      </c>
      <c r="C3072" s="508" t="s">
        <v>107</v>
      </c>
      <c r="D3072" s="508">
        <v>11.11</v>
      </c>
      <c r="E3072" s="461" t="s">
        <v>174</v>
      </c>
    </row>
    <row r="3073" spans="1:5" ht="27" x14ac:dyDescent="0.25">
      <c r="A3073" s="508">
        <v>92870</v>
      </c>
      <c r="B3073" s="509" t="s">
        <v>5795</v>
      </c>
      <c r="C3073" s="508" t="s">
        <v>107</v>
      </c>
      <c r="D3073" s="508">
        <v>35.46</v>
      </c>
      <c r="E3073" s="461" t="s">
        <v>174</v>
      </c>
    </row>
    <row r="3074" spans="1:5" ht="27" x14ac:dyDescent="0.25">
      <c r="A3074" s="508">
        <v>92871</v>
      </c>
      <c r="B3074" s="509" t="s">
        <v>5796</v>
      </c>
      <c r="C3074" s="508" t="s">
        <v>107</v>
      </c>
      <c r="D3074" s="508">
        <v>20.41</v>
      </c>
      <c r="E3074" s="461" t="s">
        <v>174</v>
      </c>
    </row>
    <row r="3075" spans="1:5" ht="27" x14ac:dyDescent="0.25">
      <c r="A3075" s="508">
        <v>92872</v>
      </c>
      <c r="B3075" s="509" t="s">
        <v>5797</v>
      </c>
      <c r="C3075" s="508" t="s">
        <v>107</v>
      </c>
      <c r="D3075" s="508">
        <v>13.01</v>
      </c>
      <c r="E3075" s="461" t="s">
        <v>174</v>
      </c>
    </row>
    <row r="3076" spans="1:5" ht="27" x14ac:dyDescent="0.25">
      <c r="A3076" s="508">
        <v>95777</v>
      </c>
      <c r="B3076" s="509" t="s">
        <v>5798</v>
      </c>
      <c r="C3076" s="508" t="s">
        <v>107</v>
      </c>
      <c r="D3076" s="508">
        <v>25.16</v>
      </c>
      <c r="E3076" s="461" t="s">
        <v>174</v>
      </c>
    </row>
    <row r="3077" spans="1:5" ht="27" x14ac:dyDescent="0.25">
      <c r="A3077" s="508">
        <v>95778</v>
      </c>
      <c r="B3077" s="509" t="s">
        <v>5799</v>
      </c>
      <c r="C3077" s="508" t="s">
        <v>107</v>
      </c>
      <c r="D3077" s="508">
        <v>28.24</v>
      </c>
      <c r="E3077" s="461" t="s">
        <v>174</v>
      </c>
    </row>
    <row r="3078" spans="1:5" ht="27" x14ac:dyDescent="0.25">
      <c r="A3078" s="508">
        <v>95779</v>
      </c>
      <c r="B3078" s="509" t="s">
        <v>5800</v>
      </c>
      <c r="C3078" s="508" t="s">
        <v>107</v>
      </c>
      <c r="D3078" s="508">
        <v>23.54</v>
      </c>
      <c r="E3078" s="461" t="s">
        <v>174</v>
      </c>
    </row>
    <row r="3079" spans="1:5" ht="27" x14ac:dyDescent="0.25">
      <c r="A3079" s="508">
        <v>95780</v>
      </c>
      <c r="B3079" s="509" t="s">
        <v>5801</v>
      </c>
      <c r="C3079" s="508" t="s">
        <v>107</v>
      </c>
      <c r="D3079" s="508">
        <v>29.77</v>
      </c>
      <c r="E3079" s="461" t="s">
        <v>174</v>
      </c>
    </row>
    <row r="3080" spans="1:5" ht="27" x14ac:dyDescent="0.25">
      <c r="A3080" s="508">
        <v>95781</v>
      </c>
      <c r="B3080" s="509" t="s">
        <v>5802</v>
      </c>
      <c r="C3080" s="508" t="s">
        <v>107</v>
      </c>
      <c r="D3080" s="508">
        <v>34.08</v>
      </c>
      <c r="E3080" s="461" t="s">
        <v>174</v>
      </c>
    </row>
    <row r="3081" spans="1:5" ht="27" x14ac:dyDescent="0.25">
      <c r="A3081" s="508">
        <v>95782</v>
      </c>
      <c r="B3081" s="509" t="s">
        <v>5803</v>
      </c>
      <c r="C3081" s="508" t="s">
        <v>107</v>
      </c>
      <c r="D3081" s="508">
        <v>31.62</v>
      </c>
      <c r="E3081" s="461" t="s">
        <v>174</v>
      </c>
    </row>
    <row r="3082" spans="1:5" ht="27" x14ac:dyDescent="0.25">
      <c r="A3082" s="508">
        <v>95785</v>
      </c>
      <c r="B3082" s="509" t="s">
        <v>5804</v>
      </c>
      <c r="C3082" s="508" t="s">
        <v>107</v>
      </c>
      <c r="D3082" s="508">
        <v>37.32</v>
      </c>
      <c r="E3082" s="461" t="s">
        <v>174</v>
      </c>
    </row>
    <row r="3083" spans="1:5" ht="27" x14ac:dyDescent="0.25">
      <c r="A3083" s="508">
        <v>95787</v>
      </c>
      <c r="B3083" s="509" t="s">
        <v>5805</v>
      </c>
      <c r="C3083" s="508" t="s">
        <v>107</v>
      </c>
      <c r="D3083" s="508">
        <v>28.65</v>
      </c>
      <c r="E3083" s="461" t="s">
        <v>174</v>
      </c>
    </row>
    <row r="3084" spans="1:5" ht="27" x14ac:dyDescent="0.25">
      <c r="A3084" s="508">
        <v>95789</v>
      </c>
      <c r="B3084" s="509" t="s">
        <v>5806</v>
      </c>
      <c r="C3084" s="508" t="s">
        <v>107</v>
      </c>
      <c r="D3084" s="508">
        <v>38.67</v>
      </c>
      <c r="E3084" s="461" t="s">
        <v>174</v>
      </c>
    </row>
    <row r="3085" spans="1:5" ht="27" x14ac:dyDescent="0.25">
      <c r="A3085" s="508">
        <v>95791</v>
      </c>
      <c r="B3085" s="509" t="s">
        <v>5807</v>
      </c>
      <c r="C3085" s="508" t="s">
        <v>107</v>
      </c>
      <c r="D3085" s="508">
        <v>53.32</v>
      </c>
      <c r="E3085" s="461" t="s">
        <v>174</v>
      </c>
    </row>
    <row r="3086" spans="1:5" ht="27" x14ac:dyDescent="0.25">
      <c r="A3086" s="508">
        <v>95795</v>
      </c>
      <c r="B3086" s="509" t="s">
        <v>5808</v>
      </c>
      <c r="C3086" s="508" t="s">
        <v>107</v>
      </c>
      <c r="D3086" s="508">
        <v>32.61</v>
      </c>
      <c r="E3086" s="461" t="s">
        <v>174</v>
      </c>
    </row>
    <row r="3087" spans="1:5" ht="27" x14ac:dyDescent="0.25">
      <c r="A3087" s="508">
        <v>95796</v>
      </c>
      <c r="B3087" s="509" t="s">
        <v>5809</v>
      </c>
      <c r="C3087" s="508" t="s">
        <v>107</v>
      </c>
      <c r="D3087" s="508">
        <v>45.37</v>
      </c>
      <c r="E3087" s="461" t="s">
        <v>174</v>
      </c>
    </row>
    <row r="3088" spans="1:5" ht="27" x14ac:dyDescent="0.25">
      <c r="A3088" s="508">
        <v>95797</v>
      </c>
      <c r="B3088" s="509" t="s">
        <v>5810</v>
      </c>
      <c r="C3088" s="508" t="s">
        <v>107</v>
      </c>
      <c r="D3088" s="508">
        <v>62.38</v>
      </c>
      <c r="E3088" s="461" t="s">
        <v>174</v>
      </c>
    </row>
    <row r="3089" spans="1:5" ht="27" x14ac:dyDescent="0.25">
      <c r="A3089" s="508">
        <v>95801</v>
      </c>
      <c r="B3089" s="509" t="s">
        <v>5811</v>
      </c>
      <c r="C3089" s="508" t="s">
        <v>107</v>
      </c>
      <c r="D3089" s="508">
        <v>38.76</v>
      </c>
      <c r="E3089" s="461" t="s">
        <v>174</v>
      </c>
    </row>
    <row r="3090" spans="1:5" ht="27" x14ac:dyDescent="0.25">
      <c r="A3090" s="508">
        <v>95802</v>
      </c>
      <c r="B3090" s="509" t="s">
        <v>5812</v>
      </c>
      <c r="C3090" s="508" t="s">
        <v>107</v>
      </c>
      <c r="D3090" s="508">
        <v>48.36</v>
      </c>
      <c r="E3090" s="461" t="s">
        <v>174</v>
      </c>
    </row>
    <row r="3091" spans="1:5" ht="27" x14ac:dyDescent="0.25">
      <c r="A3091" s="508">
        <v>95803</v>
      </c>
      <c r="B3091" s="509" t="s">
        <v>5813</v>
      </c>
      <c r="C3091" s="508" t="s">
        <v>107</v>
      </c>
      <c r="D3091" s="508">
        <v>69.75</v>
      </c>
      <c r="E3091" s="461" t="s">
        <v>174</v>
      </c>
    </row>
    <row r="3092" spans="1:5" ht="27" x14ac:dyDescent="0.25">
      <c r="A3092" s="508">
        <v>95804</v>
      </c>
      <c r="B3092" s="509" t="s">
        <v>5814</v>
      </c>
      <c r="C3092" s="508" t="s">
        <v>107</v>
      </c>
      <c r="D3092" s="508">
        <v>23.85</v>
      </c>
      <c r="E3092" s="461" t="s">
        <v>174</v>
      </c>
    </row>
    <row r="3093" spans="1:5" ht="27" x14ac:dyDescent="0.25">
      <c r="A3093" s="508">
        <v>95805</v>
      </c>
      <c r="B3093" s="509" t="s">
        <v>5815</v>
      </c>
      <c r="C3093" s="508" t="s">
        <v>107</v>
      </c>
      <c r="D3093" s="508">
        <v>25.24</v>
      </c>
      <c r="E3093" s="461" t="s">
        <v>174</v>
      </c>
    </row>
    <row r="3094" spans="1:5" ht="27" x14ac:dyDescent="0.25">
      <c r="A3094" s="508">
        <v>95806</v>
      </c>
      <c r="B3094" s="509" t="s">
        <v>5816</v>
      </c>
      <c r="C3094" s="508" t="s">
        <v>107</v>
      </c>
      <c r="D3094" s="508">
        <v>27.71</v>
      </c>
      <c r="E3094" s="461" t="s">
        <v>174</v>
      </c>
    </row>
    <row r="3095" spans="1:5" ht="27" x14ac:dyDescent="0.25">
      <c r="A3095" s="508">
        <v>95807</v>
      </c>
      <c r="B3095" s="509" t="s">
        <v>5817</v>
      </c>
      <c r="C3095" s="508" t="s">
        <v>107</v>
      </c>
      <c r="D3095" s="508">
        <v>28.04</v>
      </c>
      <c r="E3095" s="461" t="s">
        <v>174</v>
      </c>
    </row>
    <row r="3096" spans="1:5" ht="27" x14ac:dyDescent="0.25">
      <c r="A3096" s="508">
        <v>95808</v>
      </c>
      <c r="B3096" s="509" t="s">
        <v>5818</v>
      </c>
      <c r="C3096" s="508" t="s">
        <v>107</v>
      </c>
      <c r="D3096" s="508">
        <v>32.24</v>
      </c>
      <c r="E3096" s="461" t="s">
        <v>174</v>
      </c>
    </row>
    <row r="3097" spans="1:5" ht="27" x14ac:dyDescent="0.25">
      <c r="A3097" s="508">
        <v>95809</v>
      </c>
      <c r="B3097" s="509" t="s">
        <v>5819</v>
      </c>
      <c r="C3097" s="508" t="s">
        <v>107</v>
      </c>
      <c r="D3097" s="508">
        <v>40.1</v>
      </c>
      <c r="E3097" s="461" t="s">
        <v>174</v>
      </c>
    </row>
    <row r="3098" spans="1:5" ht="27" x14ac:dyDescent="0.25">
      <c r="A3098" s="508">
        <v>95810</v>
      </c>
      <c r="B3098" s="509" t="s">
        <v>5820</v>
      </c>
      <c r="C3098" s="508" t="s">
        <v>107</v>
      </c>
      <c r="D3098" s="508">
        <v>16.739999999999998</v>
      </c>
      <c r="E3098" s="461" t="s">
        <v>174</v>
      </c>
    </row>
    <row r="3099" spans="1:5" ht="27" x14ac:dyDescent="0.25">
      <c r="A3099" s="508">
        <v>95811</v>
      </c>
      <c r="B3099" s="509" t="s">
        <v>5821</v>
      </c>
      <c r="C3099" s="508" t="s">
        <v>107</v>
      </c>
      <c r="D3099" s="508">
        <v>20.95</v>
      </c>
      <c r="E3099" s="461" t="s">
        <v>174</v>
      </c>
    </row>
    <row r="3100" spans="1:5" ht="27" x14ac:dyDescent="0.25">
      <c r="A3100" s="508">
        <v>95812</v>
      </c>
      <c r="B3100" s="509" t="s">
        <v>5822</v>
      </c>
      <c r="C3100" s="508" t="s">
        <v>107</v>
      </c>
      <c r="D3100" s="508">
        <v>28.8</v>
      </c>
      <c r="E3100" s="461" t="s">
        <v>174</v>
      </c>
    </row>
    <row r="3101" spans="1:5" ht="27" x14ac:dyDescent="0.25">
      <c r="A3101" s="508">
        <v>95813</v>
      </c>
      <c r="B3101" s="509" t="s">
        <v>5823</v>
      </c>
      <c r="C3101" s="508" t="s">
        <v>107</v>
      </c>
      <c r="D3101" s="508">
        <v>19.55</v>
      </c>
      <c r="E3101" s="461" t="s">
        <v>174</v>
      </c>
    </row>
    <row r="3102" spans="1:5" ht="27" x14ac:dyDescent="0.25">
      <c r="A3102" s="508">
        <v>95814</v>
      </c>
      <c r="B3102" s="509" t="s">
        <v>5824</v>
      </c>
      <c r="C3102" s="508" t="s">
        <v>107</v>
      </c>
      <c r="D3102" s="508">
        <v>25.14</v>
      </c>
      <c r="E3102" s="461" t="s">
        <v>174</v>
      </c>
    </row>
    <row r="3103" spans="1:5" ht="27" x14ac:dyDescent="0.25">
      <c r="A3103" s="508">
        <v>95815</v>
      </c>
      <c r="B3103" s="509" t="s">
        <v>5825</v>
      </c>
      <c r="C3103" s="508" t="s">
        <v>107</v>
      </c>
      <c r="D3103" s="508">
        <v>37.229999999999997</v>
      </c>
      <c r="E3103" s="461" t="s">
        <v>174</v>
      </c>
    </row>
    <row r="3104" spans="1:5" ht="27" x14ac:dyDescent="0.25">
      <c r="A3104" s="508">
        <v>95816</v>
      </c>
      <c r="B3104" s="509" t="s">
        <v>5826</v>
      </c>
      <c r="C3104" s="508" t="s">
        <v>107</v>
      </c>
      <c r="D3104" s="508">
        <v>33.9</v>
      </c>
      <c r="E3104" s="461" t="s">
        <v>174</v>
      </c>
    </row>
    <row r="3105" spans="1:5" ht="27" x14ac:dyDescent="0.25">
      <c r="A3105" s="508">
        <v>95817</v>
      </c>
      <c r="B3105" s="509" t="s">
        <v>5827</v>
      </c>
      <c r="C3105" s="508" t="s">
        <v>107</v>
      </c>
      <c r="D3105" s="508">
        <v>40.39</v>
      </c>
      <c r="E3105" s="461" t="s">
        <v>174</v>
      </c>
    </row>
    <row r="3106" spans="1:5" ht="27" x14ac:dyDescent="0.25">
      <c r="A3106" s="508">
        <v>95818</v>
      </c>
      <c r="B3106" s="509" t="s">
        <v>5828</v>
      </c>
      <c r="C3106" s="508" t="s">
        <v>107</v>
      </c>
      <c r="D3106" s="508">
        <v>55.96</v>
      </c>
      <c r="E3106" s="461" t="s">
        <v>174</v>
      </c>
    </row>
    <row r="3107" spans="1:5" ht="27" x14ac:dyDescent="0.25">
      <c r="A3107" s="508">
        <v>97881</v>
      </c>
      <c r="B3107" s="509" t="s">
        <v>2558</v>
      </c>
      <c r="C3107" s="508" t="s">
        <v>107</v>
      </c>
      <c r="D3107" s="508">
        <v>142.74</v>
      </c>
      <c r="E3107" s="461" t="s">
        <v>174</v>
      </c>
    </row>
    <row r="3108" spans="1:5" ht="27" x14ac:dyDescent="0.25">
      <c r="A3108" s="508">
        <v>97882</v>
      </c>
      <c r="B3108" s="509" t="s">
        <v>2559</v>
      </c>
      <c r="C3108" s="508" t="s">
        <v>107</v>
      </c>
      <c r="D3108" s="508">
        <v>224.89</v>
      </c>
      <c r="E3108" s="461" t="s">
        <v>174</v>
      </c>
    </row>
    <row r="3109" spans="1:5" ht="27" x14ac:dyDescent="0.25">
      <c r="A3109" s="508">
        <v>97883</v>
      </c>
      <c r="B3109" s="509" t="s">
        <v>2560</v>
      </c>
      <c r="C3109" s="508" t="s">
        <v>107</v>
      </c>
      <c r="D3109" s="508">
        <v>432.18</v>
      </c>
      <c r="E3109" s="461" t="s">
        <v>174</v>
      </c>
    </row>
    <row r="3110" spans="1:5" ht="27" x14ac:dyDescent="0.25">
      <c r="A3110" s="508">
        <v>97884</v>
      </c>
      <c r="B3110" s="509" t="s">
        <v>2561</v>
      </c>
      <c r="C3110" s="508" t="s">
        <v>107</v>
      </c>
      <c r="D3110" s="508">
        <v>844.03</v>
      </c>
      <c r="E3110" s="461" t="s">
        <v>174</v>
      </c>
    </row>
    <row r="3111" spans="1:5" ht="27" x14ac:dyDescent="0.25">
      <c r="A3111" s="508">
        <v>97885</v>
      </c>
      <c r="B3111" s="509" t="s">
        <v>2562</v>
      </c>
      <c r="C3111" s="508" t="s">
        <v>107</v>
      </c>
      <c r="D3111" s="508">
        <v>1296.26</v>
      </c>
      <c r="E3111" s="461" t="s">
        <v>174</v>
      </c>
    </row>
    <row r="3112" spans="1:5" ht="27" x14ac:dyDescent="0.25">
      <c r="A3112" s="508">
        <v>97886</v>
      </c>
      <c r="B3112" s="509" t="s">
        <v>2563</v>
      </c>
      <c r="C3112" s="508" t="s">
        <v>107</v>
      </c>
      <c r="D3112" s="508">
        <v>182.67</v>
      </c>
      <c r="E3112" s="461" t="s">
        <v>174</v>
      </c>
    </row>
    <row r="3113" spans="1:5" ht="27" x14ac:dyDescent="0.25">
      <c r="A3113" s="508">
        <v>97887</v>
      </c>
      <c r="B3113" s="509" t="s">
        <v>2564</v>
      </c>
      <c r="C3113" s="508" t="s">
        <v>107</v>
      </c>
      <c r="D3113" s="508">
        <v>287.22000000000003</v>
      </c>
      <c r="E3113" s="461" t="s">
        <v>174</v>
      </c>
    </row>
    <row r="3114" spans="1:5" ht="27" x14ac:dyDescent="0.25">
      <c r="A3114" s="508">
        <v>97888</v>
      </c>
      <c r="B3114" s="509" t="s">
        <v>2565</v>
      </c>
      <c r="C3114" s="508" t="s">
        <v>107</v>
      </c>
      <c r="D3114" s="508">
        <v>552.89</v>
      </c>
      <c r="E3114" s="461" t="s">
        <v>174</v>
      </c>
    </row>
    <row r="3115" spans="1:5" ht="27" x14ac:dyDescent="0.25">
      <c r="A3115" s="508">
        <v>97889</v>
      </c>
      <c r="B3115" s="509" t="s">
        <v>2566</v>
      </c>
      <c r="C3115" s="508" t="s">
        <v>107</v>
      </c>
      <c r="D3115" s="508">
        <v>750.27</v>
      </c>
      <c r="E3115" s="461" t="s">
        <v>174</v>
      </c>
    </row>
    <row r="3116" spans="1:5" ht="27" x14ac:dyDescent="0.25">
      <c r="A3116" s="508">
        <v>97890</v>
      </c>
      <c r="B3116" s="509" t="s">
        <v>2567</v>
      </c>
      <c r="C3116" s="508" t="s">
        <v>107</v>
      </c>
      <c r="D3116" s="508">
        <v>853.23</v>
      </c>
      <c r="E3116" s="461" t="s">
        <v>174</v>
      </c>
    </row>
    <row r="3117" spans="1:5" ht="27" x14ac:dyDescent="0.25">
      <c r="A3117" s="508">
        <v>97891</v>
      </c>
      <c r="B3117" s="509" t="s">
        <v>2568</v>
      </c>
      <c r="C3117" s="508" t="s">
        <v>107</v>
      </c>
      <c r="D3117" s="508">
        <v>224.26</v>
      </c>
      <c r="E3117" s="461" t="s">
        <v>174</v>
      </c>
    </row>
    <row r="3118" spans="1:5" ht="27" x14ac:dyDescent="0.25">
      <c r="A3118" s="508">
        <v>97892</v>
      </c>
      <c r="B3118" s="509" t="s">
        <v>2569</v>
      </c>
      <c r="C3118" s="508" t="s">
        <v>107</v>
      </c>
      <c r="D3118" s="508">
        <v>419.78</v>
      </c>
      <c r="E3118" s="461" t="s">
        <v>174</v>
      </c>
    </row>
    <row r="3119" spans="1:5" ht="27" x14ac:dyDescent="0.25">
      <c r="A3119" s="508">
        <v>97893</v>
      </c>
      <c r="B3119" s="509" t="s">
        <v>2570</v>
      </c>
      <c r="C3119" s="508" t="s">
        <v>107</v>
      </c>
      <c r="D3119" s="508">
        <v>580.5</v>
      </c>
      <c r="E3119" s="461" t="s">
        <v>174</v>
      </c>
    </row>
    <row r="3120" spans="1:5" ht="27" x14ac:dyDescent="0.25">
      <c r="A3120" s="508">
        <v>97894</v>
      </c>
      <c r="B3120" s="509" t="s">
        <v>2571</v>
      </c>
      <c r="C3120" s="508" t="s">
        <v>107</v>
      </c>
      <c r="D3120" s="508">
        <v>647.51</v>
      </c>
      <c r="E3120" s="461" t="s">
        <v>174</v>
      </c>
    </row>
    <row r="3121" spans="1:5" ht="27" x14ac:dyDescent="0.25">
      <c r="A3121" s="508">
        <v>104396</v>
      </c>
      <c r="B3121" s="509" t="s">
        <v>5829</v>
      </c>
      <c r="C3121" s="508" t="s">
        <v>107</v>
      </c>
      <c r="D3121" s="508">
        <v>23.89</v>
      </c>
      <c r="E3121" s="461" t="s">
        <v>174</v>
      </c>
    </row>
    <row r="3122" spans="1:5" ht="27" x14ac:dyDescent="0.25">
      <c r="A3122" s="508">
        <v>104397</v>
      </c>
      <c r="B3122" s="509" t="s">
        <v>5830</v>
      </c>
      <c r="C3122" s="508" t="s">
        <v>107</v>
      </c>
      <c r="D3122" s="508">
        <v>28.35</v>
      </c>
      <c r="E3122" s="461" t="s">
        <v>174</v>
      </c>
    </row>
    <row r="3123" spans="1:5" ht="27" x14ac:dyDescent="0.25">
      <c r="A3123" s="508">
        <v>104398</v>
      </c>
      <c r="B3123" s="509" t="s">
        <v>5831</v>
      </c>
      <c r="C3123" s="508" t="s">
        <v>107</v>
      </c>
      <c r="D3123" s="508">
        <v>28.03</v>
      </c>
      <c r="E3123" s="461" t="s">
        <v>174</v>
      </c>
    </row>
    <row r="3124" spans="1:5" ht="27" x14ac:dyDescent="0.25">
      <c r="A3124" s="508">
        <v>104399</v>
      </c>
      <c r="B3124" s="509" t="s">
        <v>5832</v>
      </c>
      <c r="C3124" s="508" t="s">
        <v>107</v>
      </c>
      <c r="D3124" s="508">
        <v>30.89</v>
      </c>
      <c r="E3124" s="461" t="s">
        <v>174</v>
      </c>
    </row>
    <row r="3125" spans="1:5" ht="27" x14ac:dyDescent="0.25">
      <c r="A3125" s="508">
        <v>104400</v>
      </c>
      <c r="B3125" s="509" t="s">
        <v>5833</v>
      </c>
      <c r="C3125" s="508" t="s">
        <v>107</v>
      </c>
      <c r="D3125" s="508">
        <v>39.520000000000003</v>
      </c>
      <c r="E3125" s="461" t="s">
        <v>174</v>
      </c>
    </row>
    <row r="3126" spans="1:5" ht="27" x14ac:dyDescent="0.25">
      <c r="A3126" s="508">
        <v>104401</v>
      </c>
      <c r="B3126" s="509" t="s">
        <v>5834</v>
      </c>
      <c r="C3126" s="508" t="s">
        <v>107</v>
      </c>
      <c r="D3126" s="508">
        <v>26.5</v>
      </c>
      <c r="E3126" s="461" t="s">
        <v>174</v>
      </c>
    </row>
    <row r="3127" spans="1:5" ht="27" x14ac:dyDescent="0.25">
      <c r="A3127" s="508">
        <v>104402</v>
      </c>
      <c r="B3127" s="509" t="s">
        <v>5835</v>
      </c>
      <c r="C3127" s="508" t="s">
        <v>107</v>
      </c>
      <c r="D3127" s="508">
        <v>27.95</v>
      </c>
      <c r="E3127" s="461" t="s">
        <v>174</v>
      </c>
    </row>
    <row r="3128" spans="1:5" ht="27" x14ac:dyDescent="0.25">
      <c r="A3128" s="508">
        <v>104403</v>
      </c>
      <c r="B3128" s="509" t="s">
        <v>5836</v>
      </c>
      <c r="C3128" s="508" t="s">
        <v>107</v>
      </c>
      <c r="D3128" s="508">
        <v>34.630000000000003</v>
      </c>
      <c r="E3128" s="461" t="s">
        <v>174</v>
      </c>
    </row>
    <row r="3129" spans="1:5" ht="27" x14ac:dyDescent="0.25">
      <c r="A3129" s="508">
        <v>104404</v>
      </c>
      <c r="B3129" s="509" t="s">
        <v>5837</v>
      </c>
      <c r="C3129" s="508" t="s">
        <v>107</v>
      </c>
      <c r="D3129" s="508">
        <v>36.01</v>
      </c>
      <c r="E3129" s="461" t="s">
        <v>174</v>
      </c>
    </row>
    <row r="3130" spans="1:5" ht="27" x14ac:dyDescent="0.25">
      <c r="A3130" s="508">
        <v>104405</v>
      </c>
      <c r="B3130" s="509" t="s">
        <v>5838</v>
      </c>
      <c r="C3130" s="508" t="s">
        <v>107</v>
      </c>
      <c r="D3130" s="510">
        <v>48.53</v>
      </c>
      <c r="E3130" s="461" t="s">
        <v>174</v>
      </c>
    </row>
    <row r="3131" spans="1:5" ht="27" x14ac:dyDescent="0.25">
      <c r="A3131" s="508">
        <v>93653</v>
      </c>
      <c r="B3131" s="509" t="s">
        <v>2572</v>
      </c>
      <c r="C3131" s="508" t="s">
        <v>107</v>
      </c>
      <c r="D3131" s="510">
        <v>15.34</v>
      </c>
      <c r="E3131" s="461" t="s">
        <v>174</v>
      </c>
    </row>
    <row r="3132" spans="1:5" ht="27" x14ac:dyDescent="0.25">
      <c r="A3132" s="508">
        <v>93654</v>
      </c>
      <c r="B3132" s="509" t="s">
        <v>2573</v>
      </c>
      <c r="C3132" s="508" t="s">
        <v>107</v>
      </c>
      <c r="D3132" s="510">
        <v>16.04</v>
      </c>
      <c r="E3132" s="461" t="s">
        <v>174</v>
      </c>
    </row>
    <row r="3133" spans="1:5" ht="27" x14ac:dyDescent="0.25">
      <c r="A3133" s="508">
        <v>93655</v>
      </c>
      <c r="B3133" s="509" t="s">
        <v>2574</v>
      </c>
      <c r="C3133" s="508" t="s">
        <v>107</v>
      </c>
      <c r="D3133" s="510">
        <v>17.399999999999999</v>
      </c>
      <c r="E3133" s="461" t="s">
        <v>174</v>
      </c>
    </row>
    <row r="3134" spans="1:5" ht="27" x14ac:dyDescent="0.25">
      <c r="A3134" s="508">
        <v>93656</v>
      </c>
      <c r="B3134" s="509" t="s">
        <v>2575</v>
      </c>
      <c r="C3134" s="508" t="s">
        <v>107</v>
      </c>
      <c r="D3134" s="510">
        <v>17.399999999999999</v>
      </c>
      <c r="E3134" s="461" t="s">
        <v>174</v>
      </c>
    </row>
    <row r="3135" spans="1:5" ht="27" x14ac:dyDescent="0.25">
      <c r="A3135" s="508">
        <v>93657</v>
      </c>
      <c r="B3135" s="509" t="s">
        <v>2576</v>
      </c>
      <c r="C3135" s="508" t="s">
        <v>107</v>
      </c>
      <c r="D3135" s="510">
        <v>19.05</v>
      </c>
      <c r="E3135" s="461" t="s">
        <v>174</v>
      </c>
    </row>
    <row r="3136" spans="1:5" ht="27" x14ac:dyDescent="0.25">
      <c r="A3136" s="508">
        <v>93658</v>
      </c>
      <c r="B3136" s="509" t="s">
        <v>2577</v>
      </c>
      <c r="C3136" s="508" t="s">
        <v>107</v>
      </c>
      <c r="D3136" s="510">
        <v>27.63</v>
      </c>
      <c r="E3136" s="461" t="s">
        <v>174</v>
      </c>
    </row>
    <row r="3137" spans="1:5" ht="27" x14ac:dyDescent="0.25">
      <c r="A3137" s="508">
        <v>93659</v>
      </c>
      <c r="B3137" s="509" t="s">
        <v>2578</v>
      </c>
      <c r="C3137" s="508" t="s">
        <v>107</v>
      </c>
      <c r="D3137" s="510">
        <v>30.99</v>
      </c>
      <c r="E3137" s="461" t="s">
        <v>174</v>
      </c>
    </row>
    <row r="3138" spans="1:5" ht="27" x14ac:dyDescent="0.25">
      <c r="A3138" s="508">
        <v>93660</v>
      </c>
      <c r="B3138" s="509" t="s">
        <v>2579</v>
      </c>
      <c r="C3138" s="508" t="s">
        <v>107</v>
      </c>
      <c r="D3138" s="510">
        <v>76.81</v>
      </c>
      <c r="E3138" s="461" t="s">
        <v>174</v>
      </c>
    </row>
    <row r="3139" spans="1:5" ht="27" x14ac:dyDescent="0.25">
      <c r="A3139" s="508">
        <v>93661</v>
      </c>
      <c r="B3139" s="509" t="s">
        <v>2580</v>
      </c>
      <c r="C3139" s="508" t="s">
        <v>107</v>
      </c>
      <c r="D3139" s="510">
        <v>78.2</v>
      </c>
      <c r="E3139" s="461" t="s">
        <v>174</v>
      </c>
    </row>
    <row r="3140" spans="1:5" ht="27" x14ac:dyDescent="0.25">
      <c r="A3140" s="508">
        <v>93662</v>
      </c>
      <c r="B3140" s="509" t="s">
        <v>2581</v>
      </c>
      <c r="C3140" s="508" t="s">
        <v>107</v>
      </c>
      <c r="D3140" s="510">
        <v>80.92</v>
      </c>
      <c r="E3140" s="461" t="s">
        <v>174</v>
      </c>
    </row>
    <row r="3141" spans="1:5" ht="27" x14ac:dyDescent="0.25">
      <c r="A3141" s="508">
        <v>93663</v>
      </c>
      <c r="B3141" s="509" t="s">
        <v>2582</v>
      </c>
      <c r="C3141" s="508" t="s">
        <v>107</v>
      </c>
      <c r="D3141" s="510">
        <v>80.92</v>
      </c>
      <c r="E3141" s="461" t="s">
        <v>174</v>
      </c>
    </row>
    <row r="3142" spans="1:5" ht="27" x14ac:dyDescent="0.25">
      <c r="A3142" s="508">
        <v>93664</v>
      </c>
      <c r="B3142" s="509" t="s">
        <v>2583</v>
      </c>
      <c r="C3142" s="508" t="s">
        <v>107</v>
      </c>
      <c r="D3142" s="510">
        <v>84.24</v>
      </c>
      <c r="E3142" s="461" t="s">
        <v>174</v>
      </c>
    </row>
    <row r="3143" spans="1:5" ht="27" x14ac:dyDescent="0.25">
      <c r="A3143" s="508">
        <v>93665</v>
      </c>
      <c r="B3143" s="509" t="s">
        <v>2584</v>
      </c>
      <c r="C3143" s="508" t="s">
        <v>107</v>
      </c>
      <c r="D3143" s="510">
        <v>88.36</v>
      </c>
      <c r="E3143" s="461" t="s">
        <v>174</v>
      </c>
    </row>
    <row r="3144" spans="1:5" ht="27" x14ac:dyDescent="0.25">
      <c r="A3144" s="508">
        <v>93666</v>
      </c>
      <c r="B3144" s="509" t="s">
        <v>2585</v>
      </c>
      <c r="C3144" s="508" t="s">
        <v>107</v>
      </c>
      <c r="D3144" s="510">
        <v>95.08</v>
      </c>
      <c r="E3144" s="461" t="s">
        <v>174</v>
      </c>
    </row>
    <row r="3145" spans="1:5" ht="27" x14ac:dyDescent="0.25">
      <c r="A3145" s="508">
        <v>93667</v>
      </c>
      <c r="B3145" s="509" t="s">
        <v>2586</v>
      </c>
      <c r="C3145" s="508" t="s">
        <v>107</v>
      </c>
      <c r="D3145" s="510">
        <v>95.77</v>
      </c>
      <c r="E3145" s="461" t="s">
        <v>174</v>
      </c>
    </row>
    <row r="3146" spans="1:5" ht="27" x14ac:dyDescent="0.25">
      <c r="A3146" s="508">
        <v>93668</v>
      </c>
      <c r="B3146" s="509" t="s">
        <v>2587</v>
      </c>
      <c r="C3146" s="508" t="s">
        <v>107</v>
      </c>
      <c r="D3146" s="510">
        <v>97.86</v>
      </c>
      <c r="E3146" s="461" t="s">
        <v>174</v>
      </c>
    </row>
    <row r="3147" spans="1:5" ht="27" x14ac:dyDescent="0.25">
      <c r="A3147" s="508">
        <v>93669</v>
      </c>
      <c r="B3147" s="509" t="s">
        <v>2588</v>
      </c>
      <c r="C3147" s="508" t="s">
        <v>107</v>
      </c>
      <c r="D3147" s="510">
        <v>101.94</v>
      </c>
      <c r="E3147" s="461" t="s">
        <v>174</v>
      </c>
    </row>
    <row r="3148" spans="1:5" ht="27" x14ac:dyDescent="0.25">
      <c r="A3148" s="508">
        <v>93670</v>
      </c>
      <c r="B3148" s="509" t="s">
        <v>2589</v>
      </c>
      <c r="C3148" s="508" t="s">
        <v>107</v>
      </c>
      <c r="D3148" s="510">
        <v>101.94</v>
      </c>
      <c r="E3148" s="461" t="s">
        <v>174</v>
      </c>
    </row>
    <row r="3149" spans="1:5" ht="27" x14ac:dyDescent="0.25">
      <c r="A3149" s="508">
        <v>93671</v>
      </c>
      <c r="B3149" s="509" t="s">
        <v>2590</v>
      </c>
      <c r="C3149" s="508" t="s">
        <v>107</v>
      </c>
      <c r="D3149" s="510">
        <v>106.89</v>
      </c>
      <c r="E3149" s="461" t="s">
        <v>174</v>
      </c>
    </row>
    <row r="3150" spans="1:5" ht="27" x14ac:dyDescent="0.25">
      <c r="A3150" s="508">
        <v>93672</v>
      </c>
      <c r="B3150" s="509" t="s">
        <v>2591</v>
      </c>
      <c r="C3150" s="508" t="s">
        <v>107</v>
      </c>
      <c r="D3150" s="510">
        <v>114.72</v>
      </c>
      <c r="E3150" s="461" t="s">
        <v>174</v>
      </c>
    </row>
    <row r="3151" spans="1:5" ht="27" x14ac:dyDescent="0.25">
      <c r="A3151" s="508">
        <v>93673</v>
      </c>
      <c r="B3151" s="509" t="s">
        <v>2592</v>
      </c>
      <c r="C3151" s="508" t="s">
        <v>107</v>
      </c>
      <c r="D3151" s="510">
        <v>124.8</v>
      </c>
      <c r="E3151" s="461" t="s">
        <v>174</v>
      </c>
    </row>
    <row r="3152" spans="1:5" ht="27" x14ac:dyDescent="0.25">
      <c r="A3152" s="508">
        <v>97359</v>
      </c>
      <c r="B3152" s="509" t="s">
        <v>2593</v>
      </c>
      <c r="C3152" s="508" t="s">
        <v>107</v>
      </c>
      <c r="D3152" s="510">
        <v>4782.46</v>
      </c>
      <c r="E3152" s="461" t="s">
        <v>174</v>
      </c>
    </row>
    <row r="3153" spans="1:5" ht="27" x14ac:dyDescent="0.25">
      <c r="A3153" s="508">
        <v>97360</v>
      </c>
      <c r="B3153" s="509" t="s">
        <v>2594</v>
      </c>
      <c r="C3153" s="508" t="s">
        <v>107</v>
      </c>
      <c r="D3153" s="510">
        <v>9233.35</v>
      </c>
      <c r="E3153" s="461" t="s">
        <v>174</v>
      </c>
    </row>
    <row r="3154" spans="1:5" ht="27" x14ac:dyDescent="0.25">
      <c r="A3154" s="508">
        <v>97361</v>
      </c>
      <c r="B3154" s="509" t="s">
        <v>2595</v>
      </c>
      <c r="C3154" s="508" t="s">
        <v>107</v>
      </c>
      <c r="D3154" s="508">
        <v>12311.15</v>
      </c>
      <c r="E3154" s="461" t="s">
        <v>174</v>
      </c>
    </row>
    <row r="3155" spans="1:5" ht="27" x14ac:dyDescent="0.25">
      <c r="A3155" s="508">
        <v>97362</v>
      </c>
      <c r="B3155" s="509" t="s">
        <v>2596</v>
      </c>
      <c r="C3155" s="508" t="s">
        <v>107</v>
      </c>
      <c r="D3155" s="508">
        <v>1461.5</v>
      </c>
      <c r="E3155" s="461" t="s">
        <v>174</v>
      </c>
    </row>
    <row r="3156" spans="1:5" ht="40.5" x14ac:dyDescent="0.25">
      <c r="A3156" s="508">
        <v>101875</v>
      </c>
      <c r="B3156" s="509" t="s">
        <v>2597</v>
      </c>
      <c r="C3156" s="508" t="s">
        <v>107</v>
      </c>
      <c r="D3156" s="510">
        <v>323.24</v>
      </c>
      <c r="E3156" s="461" t="s">
        <v>174</v>
      </c>
    </row>
    <row r="3157" spans="1:5" ht="27" x14ac:dyDescent="0.25">
      <c r="A3157" s="508">
        <v>101876</v>
      </c>
      <c r="B3157" s="509" t="s">
        <v>2598</v>
      </c>
      <c r="C3157" s="508" t="s">
        <v>107</v>
      </c>
      <c r="D3157" s="510">
        <v>104.78</v>
      </c>
      <c r="E3157" s="461" t="s">
        <v>174</v>
      </c>
    </row>
    <row r="3158" spans="1:5" ht="27" x14ac:dyDescent="0.25">
      <c r="A3158" s="508">
        <v>101877</v>
      </c>
      <c r="B3158" s="509" t="s">
        <v>2599</v>
      </c>
      <c r="C3158" s="508" t="s">
        <v>107</v>
      </c>
      <c r="D3158" s="508">
        <v>71.61</v>
      </c>
      <c r="E3158" s="461" t="s">
        <v>174</v>
      </c>
    </row>
    <row r="3159" spans="1:5" ht="40.5" x14ac:dyDescent="0.25">
      <c r="A3159" s="508">
        <v>101878</v>
      </c>
      <c r="B3159" s="509" t="s">
        <v>2600</v>
      </c>
      <c r="C3159" s="508" t="s">
        <v>107</v>
      </c>
      <c r="D3159" s="508">
        <v>457.04</v>
      </c>
      <c r="E3159" s="461" t="s">
        <v>174</v>
      </c>
    </row>
    <row r="3160" spans="1:5" ht="40.5" x14ac:dyDescent="0.25">
      <c r="A3160" s="508">
        <v>101879</v>
      </c>
      <c r="B3160" s="509" t="s">
        <v>2601</v>
      </c>
      <c r="C3160" s="508" t="s">
        <v>107</v>
      </c>
      <c r="D3160" s="508">
        <v>463.92</v>
      </c>
      <c r="E3160" s="461" t="s">
        <v>174</v>
      </c>
    </row>
    <row r="3161" spans="1:5" ht="40.5" x14ac:dyDescent="0.25">
      <c r="A3161" s="508">
        <v>101880</v>
      </c>
      <c r="B3161" s="509" t="s">
        <v>2602</v>
      </c>
      <c r="C3161" s="508" t="s">
        <v>107</v>
      </c>
      <c r="D3161" s="510">
        <v>535.44000000000005</v>
      </c>
      <c r="E3161" s="461" t="s">
        <v>174</v>
      </c>
    </row>
    <row r="3162" spans="1:5" ht="40.5" x14ac:dyDescent="0.25">
      <c r="A3162" s="508">
        <v>101881</v>
      </c>
      <c r="B3162" s="509" t="s">
        <v>2603</v>
      </c>
      <c r="C3162" s="508" t="s">
        <v>107</v>
      </c>
      <c r="D3162" s="510">
        <v>761.55</v>
      </c>
      <c r="E3162" s="461" t="s">
        <v>174</v>
      </c>
    </row>
    <row r="3163" spans="1:5" ht="40.5" x14ac:dyDescent="0.25">
      <c r="A3163" s="508">
        <v>101882</v>
      </c>
      <c r="B3163" s="509" t="s">
        <v>2604</v>
      </c>
      <c r="C3163" s="508" t="s">
        <v>107</v>
      </c>
      <c r="D3163" s="510">
        <v>1073.31</v>
      </c>
      <c r="E3163" s="461" t="s">
        <v>174</v>
      </c>
    </row>
    <row r="3164" spans="1:5" ht="40.5" x14ac:dyDescent="0.25">
      <c r="A3164" s="508">
        <v>101883</v>
      </c>
      <c r="B3164" s="509" t="s">
        <v>2605</v>
      </c>
      <c r="C3164" s="508" t="s">
        <v>107</v>
      </c>
      <c r="D3164" s="510">
        <v>442.59</v>
      </c>
      <c r="E3164" s="461" t="s">
        <v>174</v>
      </c>
    </row>
    <row r="3165" spans="1:5" ht="27" x14ac:dyDescent="0.25">
      <c r="A3165" s="508">
        <v>101890</v>
      </c>
      <c r="B3165" s="509" t="s">
        <v>2606</v>
      </c>
      <c r="C3165" s="508" t="s">
        <v>107</v>
      </c>
      <c r="D3165" s="510">
        <v>21.05</v>
      </c>
      <c r="E3165" s="461" t="s">
        <v>174</v>
      </c>
    </row>
    <row r="3166" spans="1:5" ht="27" x14ac:dyDescent="0.25">
      <c r="A3166" s="508">
        <v>101891</v>
      </c>
      <c r="B3166" s="509" t="s">
        <v>2607</v>
      </c>
      <c r="C3166" s="508" t="s">
        <v>107</v>
      </c>
      <c r="D3166" s="510">
        <v>36.15</v>
      </c>
      <c r="E3166" s="461" t="s">
        <v>174</v>
      </c>
    </row>
    <row r="3167" spans="1:5" ht="27" x14ac:dyDescent="0.25">
      <c r="A3167" s="508">
        <v>101892</v>
      </c>
      <c r="B3167" s="509" t="s">
        <v>2608</v>
      </c>
      <c r="C3167" s="508" t="s">
        <v>107</v>
      </c>
      <c r="D3167" s="510">
        <v>96.22</v>
      </c>
      <c r="E3167" s="461" t="s">
        <v>174</v>
      </c>
    </row>
    <row r="3168" spans="1:5" ht="27" x14ac:dyDescent="0.25">
      <c r="A3168" s="508">
        <v>101893</v>
      </c>
      <c r="B3168" s="509" t="s">
        <v>2609</v>
      </c>
      <c r="C3168" s="508" t="s">
        <v>107</v>
      </c>
      <c r="D3168" s="510">
        <v>122.58</v>
      </c>
      <c r="E3168" s="461" t="s">
        <v>174</v>
      </c>
    </row>
    <row r="3169" spans="1:5" ht="27" x14ac:dyDescent="0.25">
      <c r="A3169" s="508">
        <v>101894</v>
      </c>
      <c r="B3169" s="509" t="s">
        <v>2610</v>
      </c>
      <c r="C3169" s="508" t="s">
        <v>107</v>
      </c>
      <c r="D3169" s="510">
        <v>203.82</v>
      </c>
      <c r="E3169" s="461" t="s">
        <v>174</v>
      </c>
    </row>
    <row r="3170" spans="1:5" ht="27" x14ac:dyDescent="0.25">
      <c r="A3170" s="508">
        <v>101895</v>
      </c>
      <c r="B3170" s="509" t="s">
        <v>2611</v>
      </c>
      <c r="C3170" s="508" t="s">
        <v>107</v>
      </c>
      <c r="D3170" s="510">
        <v>564.25</v>
      </c>
      <c r="E3170" s="461" t="s">
        <v>174</v>
      </c>
    </row>
    <row r="3171" spans="1:5" ht="27" x14ac:dyDescent="0.25">
      <c r="A3171" s="508">
        <v>101896</v>
      </c>
      <c r="B3171" s="509" t="s">
        <v>2612</v>
      </c>
      <c r="C3171" s="508" t="s">
        <v>107</v>
      </c>
      <c r="D3171" s="510">
        <v>853.4</v>
      </c>
      <c r="E3171" s="461" t="s">
        <v>174</v>
      </c>
    </row>
    <row r="3172" spans="1:5" ht="27" x14ac:dyDescent="0.25">
      <c r="A3172" s="508">
        <v>101897</v>
      </c>
      <c r="B3172" s="509" t="s">
        <v>2613</v>
      </c>
      <c r="C3172" s="508" t="s">
        <v>107</v>
      </c>
      <c r="D3172" s="510">
        <v>1372.15</v>
      </c>
      <c r="E3172" s="461" t="s">
        <v>174</v>
      </c>
    </row>
    <row r="3173" spans="1:5" ht="27" x14ac:dyDescent="0.25">
      <c r="A3173" s="508">
        <v>101898</v>
      </c>
      <c r="B3173" s="509" t="s">
        <v>2614</v>
      </c>
      <c r="C3173" s="508" t="s">
        <v>107</v>
      </c>
      <c r="D3173" s="510">
        <v>1843.58</v>
      </c>
      <c r="E3173" s="461" t="s">
        <v>174</v>
      </c>
    </row>
    <row r="3174" spans="1:5" ht="27" x14ac:dyDescent="0.25">
      <c r="A3174" s="508">
        <v>101899</v>
      </c>
      <c r="B3174" s="509" t="s">
        <v>2615</v>
      </c>
      <c r="C3174" s="508" t="s">
        <v>107</v>
      </c>
      <c r="D3174" s="510">
        <v>2964.95</v>
      </c>
      <c r="E3174" s="461" t="s">
        <v>174</v>
      </c>
    </row>
    <row r="3175" spans="1:5" ht="27" x14ac:dyDescent="0.25">
      <c r="A3175" s="508">
        <v>101900</v>
      </c>
      <c r="B3175" s="509" t="s">
        <v>2616</v>
      </c>
      <c r="C3175" s="508" t="s">
        <v>107</v>
      </c>
      <c r="D3175" s="510">
        <v>6212.91</v>
      </c>
      <c r="E3175" s="461" t="s">
        <v>174</v>
      </c>
    </row>
    <row r="3176" spans="1:5" ht="15" x14ac:dyDescent="0.25">
      <c r="A3176" s="508">
        <v>101901</v>
      </c>
      <c r="B3176" s="509" t="s">
        <v>2617</v>
      </c>
      <c r="C3176" s="508" t="s">
        <v>107</v>
      </c>
      <c r="D3176" s="510">
        <v>170.38</v>
      </c>
      <c r="E3176" s="461" t="s">
        <v>174</v>
      </c>
    </row>
    <row r="3177" spans="1:5" ht="15" x14ac:dyDescent="0.25">
      <c r="A3177" s="508">
        <v>101902</v>
      </c>
      <c r="B3177" s="509" t="s">
        <v>2618</v>
      </c>
      <c r="C3177" s="508" t="s">
        <v>107</v>
      </c>
      <c r="D3177" s="510">
        <v>210.49</v>
      </c>
      <c r="E3177" s="461" t="s">
        <v>174</v>
      </c>
    </row>
    <row r="3178" spans="1:5" ht="15" x14ac:dyDescent="0.25">
      <c r="A3178" s="508">
        <v>101903</v>
      </c>
      <c r="B3178" s="509" t="s">
        <v>2619</v>
      </c>
      <c r="C3178" s="508" t="s">
        <v>107</v>
      </c>
      <c r="D3178" s="508">
        <v>439.38</v>
      </c>
      <c r="E3178" s="461" t="s">
        <v>174</v>
      </c>
    </row>
    <row r="3179" spans="1:5" ht="15" x14ac:dyDescent="0.25">
      <c r="A3179" s="508">
        <v>101904</v>
      </c>
      <c r="B3179" s="509" t="s">
        <v>2620</v>
      </c>
      <c r="C3179" s="508" t="s">
        <v>107</v>
      </c>
      <c r="D3179" s="508">
        <v>1617.48</v>
      </c>
      <c r="E3179" s="461" t="s">
        <v>174</v>
      </c>
    </row>
    <row r="3180" spans="1:5" ht="27" x14ac:dyDescent="0.25">
      <c r="A3180" s="508">
        <v>101938</v>
      </c>
      <c r="B3180" s="509" t="s">
        <v>2621</v>
      </c>
      <c r="C3180" s="508" t="s">
        <v>107</v>
      </c>
      <c r="D3180" s="508">
        <v>140.88999999999999</v>
      </c>
      <c r="E3180" s="461" t="s">
        <v>174</v>
      </c>
    </row>
    <row r="3181" spans="1:5" ht="27" x14ac:dyDescent="0.25">
      <c r="A3181" s="508">
        <v>101946</v>
      </c>
      <c r="B3181" s="509" t="s">
        <v>2622</v>
      </c>
      <c r="C3181" s="508" t="s">
        <v>107</v>
      </c>
      <c r="D3181" s="508">
        <v>198.62</v>
      </c>
      <c r="E3181" s="461" t="s">
        <v>174</v>
      </c>
    </row>
    <row r="3182" spans="1:5" ht="27" x14ac:dyDescent="0.25">
      <c r="A3182" s="508">
        <v>91945</v>
      </c>
      <c r="B3182" s="509" t="s">
        <v>5839</v>
      </c>
      <c r="C3182" s="508" t="s">
        <v>107</v>
      </c>
      <c r="D3182" s="508">
        <v>16.21</v>
      </c>
      <c r="E3182" s="461" t="s">
        <v>174</v>
      </c>
    </row>
    <row r="3183" spans="1:5" ht="27" x14ac:dyDescent="0.25">
      <c r="A3183" s="508">
        <v>91946</v>
      </c>
      <c r="B3183" s="509" t="s">
        <v>5840</v>
      </c>
      <c r="C3183" s="508" t="s">
        <v>107</v>
      </c>
      <c r="D3183" s="508">
        <v>12.91</v>
      </c>
      <c r="E3183" s="461" t="s">
        <v>174</v>
      </c>
    </row>
    <row r="3184" spans="1:5" ht="27" x14ac:dyDescent="0.25">
      <c r="A3184" s="508">
        <v>91947</v>
      </c>
      <c r="B3184" s="509" t="s">
        <v>5841</v>
      </c>
      <c r="C3184" s="508" t="s">
        <v>107</v>
      </c>
      <c r="D3184" s="508">
        <v>10.83</v>
      </c>
      <c r="E3184" s="461" t="s">
        <v>174</v>
      </c>
    </row>
    <row r="3185" spans="1:5" ht="27" x14ac:dyDescent="0.25">
      <c r="A3185" s="508">
        <v>91949</v>
      </c>
      <c r="B3185" s="509" t="s">
        <v>5842</v>
      </c>
      <c r="C3185" s="508" t="s">
        <v>107</v>
      </c>
      <c r="D3185" s="508">
        <v>23.32</v>
      </c>
      <c r="E3185" s="461" t="s">
        <v>174</v>
      </c>
    </row>
    <row r="3186" spans="1:5" ht="27" x14ac:dyDescent="0.25">
      <c r="A3186" s="508">
        <v>91950</v>
      </c>
      <c r="B3186" s="509" t="s">
        <v>5843</v>
      </c>
      <c r="C3186" s="508" t="s">
        <v>107</v>
      </c>
      <c r="D3186" s="508">
        <v>19.27</v>
      </c>
      <c r="E3186" s="461" t="s">
        <v>174</v>
      </c>
    </row>
    <row r="3187" spans="1:5" ht="27" x14ac:dyDescent="0.25">
      <c r="A3187" s="508">
        <v>91951</v>
      </c>
      <c r="B3187" s="509" t="s">
        <v>5844</v>
      </c>
      <c r="C3187" s="508" t="s">
        <v>107</v>
      </c>
      <c r="D3187" s="508">
        <v>16.850000000000001</v>
      </c>
      <c r="E3187" s="461" t="s">
        <v>174</v>
      </c>
    </row>
    <row r="3188" spans="1:5" ht="27" x14ac:dyDescent="0.25">
      <c r="A3188" s="508">
        <v>91952</v>
      </c>
      <c r="B3188" s="509" t="s">
        <v>5845</v>
      </c>
      <c r="C3188" s="508" t="s">
        <v>107</v>
      </c>
      <c r="D3188" s="508">
        <v>21.91</v>
      </c>
      <c r="E3188" s="461" t="s">
        <v>174</v>
      </c>
    </row>
    <row r="3189" spans="1:5" ht="27" x14ac:dyDescent="0.25">
      <c r="A3189" s="508">
        <v>91953</v>
      </c>
      <c r="B3189" s="509" t="s">
        <v>5846</v>
      </c>
      <c r="C3189" s="508" t="s">
        <v>107</v>
      </c>
      <c r="D3189" s="508">
        <v>34.82</v>
      </c>
      <c r="E3189" s="461" t="s">
        <v>174</v>
      </c>
    </row>
    <row r="3190" spans="1:5" ht="27" x14ac:dyDescent="0.25">
      <c r="A3190" s="508">
        <v>91954</v>
      </c>
      <c r="B3190" s="509" t="s">
        <v>5847</v>
      </c>
      <c r="C3190" s="508" t="s">
        <v>107</v>
      </c>
      <c r="D3190" s="508">
        <v>29.38</v>
      </c>
      <c r="E3190" s="461" t="s">
        <v>174</v>
      </c>
    </row>
    <row r="3191" spans="1:5" ht="27" x14ac:dyDescent="0.25">
      <c r="A3191" s="508">
        <v>91955</v>
      </c>
      <c r="B3191" s="509" t="s">
        <v>5848</v>
      </c>
      <c r="C3191" s="508" t="s">
        <v>107</v>
      </c>
      <c r="D3191" s="508">
        <v>42.29</v>
      </c>
      <c r="E3191" s="461" t="s">
        <v>174</v>
      </c>
    </row>
    <row r="3192" spans="1:5" ht="27" x14ac:dyDescent="0.25">
      <c r="A3192" s="508">
        <v>91956</v>
      </c>
      <c r="B3192" s="509" t="s">
        <v>5849</v>
      </c>
      <c r="C3192" s="508" t="s">
        <v>107</v>
      </c>
      <c r="D3192" s="508">
        <v>47.76</v>
      </c>
      <c r="E3192" s="461" t="s">
        <v>174</v>
      </c>
    </row>
    <row r="3193" spans="1:5" ht="27" x14ac:dyDescent="0.25">
      <c r="A3193" s="508">
        <v>91957</v>
      </c>
      <c r="B3193" s="509" t="s">
        <v>5850</v>
      </c>
      <c r="C3193" s="508" t="s">
        <v>107</v>
      </c>
      <c r="D3193" s="508">
        <v>60.67</v>
      </c>
      <c r="E3193" s="461" t="s">
        <v>174</v>
      </c>
    </row>
    <row r="3194" spans="1:5" ht="27" x14ac:dyDescent="0.25">
      <c r="A3194" s="508">
        <v>91958</v>
      </c>
      <c r="B3194" s="509" t="s">
        <v>5851</v>
      </c>
      <c r="C3194" s="508" t="s">
        <v>107</v>
      </c>
      <c r="D3194" s="508">
        <v>40.35</v>
      </c>
      <c r="E3194" s="461" t="s">
        <v>174</v>
      </c>
    </row>
    <row r="3195" spans="1:5" ht="27" x14ac:dyDescent="0.25">
      <c r="A3195" s="508">
        <v>91959</v>
      </c>
      <c r="B3195" s="509" t="s">
        <v>5852</v>
      </c>
      <c r="C3195" s="508" t="s">
        <v>107</v>
      </c>
      <c r="D3195" s="508">
        <v>53.26</v>
      </c>
      <c r="E3195" s="461" t="s">
        <v>174</v>
      </c>
    </row>
    <row r="3196" spans="1:5" ht="27" x14ac:dyDescent="0.25">
      <c r="A3196" s="508">
        <v>91960</v>
      </c>
      <c r="B3196" s="509" t="s">
        <v>5853</v>
      </c>
      <c r="C3196" s="508" t="s">
        <v>107</v>
      </c>
      <c r="D3196" s="508">
        <v>55.28</v>
      </c>
      <c r="E3196" s="461" t="s">
        <v>174</v>
      </c>
    </row>
    <row r="3197" spans="1:5" ht="27" x14ac:dyDescent="0.25">
      <c r="A3197" s="508">
        <v>91961</v>
      </c>
      <c r="B3197" s="509" t="s">
        <v>5854</v>
      </c>
      <c r="C3197" s="508" t="s">
        <v>107</v>
      </c>
      <c r="D3197" s="508">
        <v>68.19</v>
      </c>
      <c r="E3197" s="461" t="s">
        <v>174</v>
      </c>
    </row>
    <row r="3198" spans="1:5" ht="27" x14ac:dyDescent="0.25">
      <c r="A3198" s="508">
        <v>91962</v>
      </c>
      <c r="B3198" s="509" t="s">
        <v>5855</v>
      </c>
      <c r="C3198" s="508" t="s">
        <v>107</v>
      </c>
      <c r="D3198" s="508">
        <v>73.67</v>
      </c>
      <c r="E3198" s="461" t="s">
        <v>174</v>
      </c>
    </row>
    <row r="3199" spans="1:5" ht="27" x14ac:dyDescent="0.25">
      <c r="A3199" s="508">
        <v>91963</v>
      </c>
      <c r="B3199" s="509" t="s">
        <v>5856</v>
      </c>
      <c r="C3199" s="508" t="s">
        <v>107</v>
      </c>
      <c r="D3199" s="508">
        <v>86.58</v>
      </c>
      <c r="E3199" s="461" t="s">
        <v>174</v>
      </c>
    </row>
    <row r="3200" spans="1:5" ht="27" x14ac:dyDescent="0.25">
      <c r="A3200" s="508">
        <v>91964</v>
      </c>
      <c r="B3200" s="509" t="s">
        <v>5857</v>
      </c>
      <c r="C3200" s="508" t="s">
        <v>107</v>
      </c>
      <c r="D3200" s="508">
        <v>66.209999999999994</v>
      </c>
      <c r="E3200" s="461" t="s">
        <v>174</v>
      </c>
    </row>
    <row r="3201" spans="1:5" ht="27" x14ac:dyDescent="0.25">
      <c r="A3201" s="508">
        <v>91965</v>
      </c>
      <c r="B3201" s="509" t="s">
        <v>5858</v>
      </c>
      <c r="C3201" s="508" t="s">
        <v>107</v>
      </c>
      <c r="D3201" s="508">
        <v>79.12</v>
      </c>
      <c r="E3201" s="461" t="s">
        <v>174</v>
      </c>
    </row>
    <row r="3202" spans="1:5" ht="27" x14ac:dyDescent="0.25">
      <c r="A3202" s="508">
        <v>91966</v>
      </c>
      <c r="B3202" s="509" t="s">
        <v>5859</v>
      </c>
      <c r="C3202" s="508" t="s">
        <v>107</v>
      </c>
      <c r="D3202" s="508">
        <v>58.8</v>
      </c>
      <c r="E3202" s="461" t="s">
        <v>174</v>
      </c>
    </row>
    <row r="3203" spans="1:5" ht="27" x14ac:dyDescent="0.25">
      <c r="A3203" s="508">
        <v>91967</v>
      </c>
      <c r="B3203" s="509" t="s">
        <v>5860</v>
      </c>
      <c r="C3203" s="508" t="s">
        <v>107</v>
      </c>
      <c r="D3203" s="508">
        <v>71.709999999999994</v>
      </c>
      <c r="E3203" s="461" t="s">
        <v>174</v>
      </c>
    </row>
    <row r="3204" spans="1:5" ht="27" x14ac:dyDescent="0.25">
      <c r="A3204" s="508">
        <v>91968</v>
      </c>
      <c r="B3204" s="509" t="s">
        <v>5861</v>
      </c>
      <c r="C3204" s="508" t="s">
        <v>107</v>
      </c>
      <c r="D3204" s="508">
        <v>81.14</v>
      </c>
      <c r="E3204" s="461" t="s">
        <v>174</v>
      </c>
    </row>
    <row r="3205" spans="1:5" ht="27" x14ac:dyDescent="0.25">
      <c r="A3205" s="508">
        <v>91969</v>
      </c>
      <c r="B3205" s="509" t="s">
        <v>5862</v>
      </c>
      <c r="C3205" s="508" t="s">
        <v>107</v>
      </c>
      <c r="D3205" s="508">
        <v>94.05</v>
      </c>
      <c r="E3205" s="461" t="s">
        <v>174</v>
      </c>
    </row>
    <row r="3206" spans="1:5" ht="27" x14ac:dyDescent="0.25">
      <c r="A3206" s="508">
        <v>91970</v>
      </c>
      <c r="B3206" s="509" t="s">
        <v>5863</v>
      </c>
      <c r="C3206" s="508" t="s">
        <v>107</v>
      </c>
      <c r="D3206" s="508">
        <v>85.05</v>
      </c>
      <c r="E3206" s="461" t="s">
        <v>174</v>
      </c>
    </row>
    <row r="3207" spans="1:5" ht="27" x14ac:dyDescent="0.25">
      <c r="A3207" s="508">
        <v>91971</v>
      </c>
      <c r="B3207" s="509" t="s">
        <v>5864</v>
      </c>
      <c r="C3207" s="508" t="s">
        <v>107</v>
      </c>
      <c r="D3207" s="508">
        <v>104.32</v>
      </c>
      <c r="E3207" s="461" t="s">
        <v>174</v>
      </c>
    </row>
    <row r="3208" spans="1:5" ht="27" x14ac:dyDescent="0.25">
      <c r="A3208" s="508">
        <v>91972</v>
      </c>
      <c r="B3208" s="509" t="s">
        <v>5865</v>
      </c>
      <c r="C3208" s="508" t="s">
        <v>107</v>
      </c>
      <c r="D3208" s="508">
        <v>92.56</v>
      </c>
      <c r="E3208" s="461" t="s">
        <v>174</v>
      </c>
    </row>
    <row r="3209" spans="1:5" ht="27" x14ac:dyDescent="0.25">
      <c r="A3209" s="508">
        <v>91973</v>
      </c>
      <c r="B3209" s="509" t="s">
        <v>5866</v>
      </c>
      <c r="C3209" s="508" t="s">
        <v>107</v>
      </c>
      <c r="D3209" s="508">
        <v>111.83</v>
      </c>
      <c r="E3209" s="461" t="s">
        <v>174</v>
      </c>
    </row>
    <row r="3210" spans="1:5" ht="27" x14ac:dyDescent="0.25">
      <c r="A3210" s="508">
        <v>91974</v>
      </c>
      <c r="B3210" s="509" t="s">
        <v>5867</v>
      </c>
      <c r="C3210" s="508" t="s">
        <v>107</v>
      </c>
      <c r="D3210" s="508">
        <v>77.58</v>
      </c>
      <c r="E3210" s="461" t="s">
        <v>174</v>
      </c>
    </row>
    <row r="3211" spans="1:5" ht="27" x14ac:dyDescent="0.25">
      <c r="A3211" s="508">
        <v>91975</v>
      </c>
      <c r="B3211" s="509" t="s">
        <v>5868</v>
      </c>
      <c r="C3211" s="508" t="s">
        <v>107</v>
      </c>
      <c r="D3211" s="508">
        <v>96.85</v>
      </c>
      <c r="E3211" s="461" t="s">
        <v>174</v>
      </c>
    </row>
    <row r="3212" spans="1:5" ht="27" x14ac:dyDescent="0.25">
      <c r="A3212" s="508">
        <v>91976</v>
      </c>
      <c r="B3212" s="509" t="s">
        <v>5869</v>
      </c>
      <c r="C3212" s="508" t="s">
        <v>107</v>
      </c>
      <c r="D3212" s="508">
        <v>114.53</v>
      </c>
      <c r="E3212" s="461" t="s">
        <v>174</v>
      </c>
    </row>
    <row r="3213" spans="1:5" ht="27" x14ac:dyDescent="0.25">
      <c r="A3213" s="508">
        <v>91977</v>
      </c>
      <c r="B3213" s="509" t="s">
        <v>5870</v>
      </c>
      <c r="C3213" s="508" t="s">
        <v>107</v>
      </c>
      <c r="D3213" s="508">
        <v>133.80000000000001</v>
      </c>
      <c r="E3213" s="461" t="s">
        <v>174</v>
      </c>
    </row>
    <row r="3214" spans="1:5" ht="27" x14ac:dyDescent="0.25">
      <c r="A3214" s="508">
        <v>91978</v>
      </c>
      <c r="B3214" s="509" t="s">
        <v>5871</v>
      </c>
      <c r="C3214" s="508" t="s">
        <v>107</v>
      </c>
      <c r="D3214" s="508">
        <v>47.17</v>
      </c>
      <c r="E3214" s="461" t="s">
        <v>174</v>
      </c>
    </row>
    <row r="3215" spans="1:5" ht="27" x14ac:dyDescent="0.25">
      <c r="A3215" s="508">
        <v>91979</v>
      </c>
      <c r="B3215" s="509" t="s">
        <v>5872</v>
      </c>
      <c r="C3215" s="508" t="s">
        <v>107</v>
      </c>
      <c r="D3215" s="508">
        <v>60.08</v>
      </c>
      <c r="E3215" s="461" t="s">
        <v>174</v>
      </c>
    </row>
    <row r="3216" spans="1:5" ht="27" x14ac:dyDescent="0.25">
      <c r="A3216" s="508">
        <v>91980</v>
      </c>
      <c r="B3216" s="509" t="s">
        <v>5873</v>
      </c>
      <c r="C3216" s="508" t="s">
        <v>107</v>
      </c>
      <c r="D3216" s="510">
        <v>45.61</v>
      </c>
      <c r="E3216" s="461" t="s">
        <v>174</v>
      </c>
    </row>
    <row r="3217" spans="1:5" ht="27" x14ac:dyDescent="0.25">
      <c r="A3217" s="508">
        <v>91981</v>
      </c>
      <c r="B3217" s="509" t="s">
        <v>5874</v>
      </c>
      <c r="C3217" s="508" t="s">
        <v>107</v>
      </c>
      <c r="D3217" s="508">
        <v>58.52</v>
      </c>
      <c r="E3217" s="461" t="s">
        <v>174</v>
      </c>
    </row>
    <row r="3218" spans="1:5" ht="27" x14ac:dyDescent="0.25">
      <c r="A3218" s="508">
        <v>91982</v>
      </c>
      <c r="B3218" s="509" t="s">
        <v>5875</v>
      </c>
      <c r="C3218" s="508" t="s">
        <v>107</v>
      </c>
      <c r="D3218" s="508">
        <v>112.06</v>
      </c>
      <c r="E3218" s="461" t="s">
        <v>174</v>
      </c>
    </row>
    <row r="3219" spans="1:5" ht="27" x14ac:dyDescent="0.25">
      <c r="A3219" s="508">
        <v>91983</v>
      </c>
      <c r="B3219" s="509" t="s">
        <v>5876</v>
      </c>
      <c r="C3219" s="508" t="s">
        <v>107</v>
      </c>
      <c r="D3219" s="508">
        <v>124.97</v>
      </c>
      <c r="E3219" s="461" t="s">
        <v>174</v>
      </c>
    </row>
    <row r="3220" spans="1:5" ht="27" x14ac:dyDescent="0.25">
      <c r="A3220" s="508">
        <v>91984</v>
      </c>
      <c r="B3220" s="509" t="s">
        <v>5877</v>
      </c>
      <c r="C3220" s="508" t="s">
        <v>107</v>
      </c>
      <c r="D3220" s="508">
        <v>20.47</v>
      </c>
      <c r="E3220" s="461" t="s">
        <v>174</v>
      </c>
    </row>
    <row r="3221" spans="1:5" ht="27" x14ac:dyDescent="0.25">
      <c r="A3221" s="508">
        <v>91985</v>
      </c>
      <c r="B3221" s="509" t="s">
        <v>5878</v>
      </c>
      <c r="C3221" s="508" t="s">
        <v>107</v>
      </c>
      <c r="D3221" s="508">
        <v>33.380000000000003</v>
      </c>
      <c r="E3221" s="461" t="s">
        <v>174</v>
      </c>
    </row>
    <row r="3222" spans="1:5" ht="27" x14ac:dyDescent="0.25">
      <c r="A3222" s="508">
        <v>91986</v>
      </c>
      <c r="B3222" s="509" t="s">
        <v>5879</v>
      </c>
      <c r="C3222" s="508" t="s">
        <v>107</v>
      </c>
      <c r="D3222" s="508">
        <v>44.1</v>
      </c>
      <c r="E3222" s="461" t="s">
        <v>174</v>
      </c>
    </row>
    <row r="3223" spans="1:5" ht="27" x14ac:dyDescent="0.25">
      <c r="A3223" s="508">
        <v>91987</v>
      </c>
      <c r="B3223" s="509" t="s">
        <v>5880</v>
      </c>
      <c r="C3223" s="508" t="s">
        <v>107</v>
      </c>
      <c r="D3223" s="508">
        <v>57.01</v>
      </c>
      <c r="E3223" s="461" t="s">
        <v>174</v>
      </c>
    </row>
    <row r="3224" spans="1:5" ht="27" x14ac:dyDescent="0.25">
      <c r="A3224" s="508">
        <v>91988</v>
      </c>
      <c r="B3224" s="509" t="s">
        <v>5881</v>
      </c>
      <c r="C3224" s="508" t="s">
        <v>107</v>
      </c>
      <c r="D3224" s="508">
        <v>25.71</v>
      </c>
      <c r="E3224" s="461" t="s">
        <v>174</v>
      </c>
    </row>
    <row r="3225" spans="1:5" ht="27" x14ac:dyDescent="0.25">
      <c r="A3225" s="508">
        <v>91989</v>
      </c>
      <c r="B3225" s="509" t="s">
        <v>5882</v>
      </c>
      <c r="C3225" s="508" t="s">
        <v>107</v>
      </c>
      <c r="D3225" s="508">
        <v>38.619999999999997</v>
      </c>
      <c r="E3225" s="461" t="s">
        <v>174</v>
      </c>
    </row>
    <row r="3226" spans="1:5" ht="27" x14ac:dyDescent="0.25">
      <c r="A3226" s="508">
        <v>91990</v>
      </c>
      <c r="B3226" s="509" t="s">
        <v>5883</v>
      </c>
      <c r="C3226" s="508" t="s">
        <v>107</v>
      </c>
      <c r="D3226" s="508">
        <v>38.81</v>
      </c>
      <c r="E3226" s="461" t="s">
        <v>174</v>
      </c>
    </row>
    <row r="3227" spans="1:5" ht="27" x14ac:dyDescent="0.25">
      <c r="A3227" s="508">
        <v>91991</v>
      </c>
      <c r="B3227" s="509" t="s">
        <v>5884</v>
      </c>
      <c r="C3227" s="508" t="s">
        <v>107</v>
      </c>
      <c r="D3227" s="508">
        <v>41.63</v>
      </c>
      <c r="E3227" s="461" t="s">
        <v>174</v>
      </c>
    </row>
    <row r="3228" spans="1:5" ht="27" x14ac:dyDescent="0.25">
      <c r="A3228" s="508">
        <v>91992</v>
      </c>
      <c r="B3228" s="509" t="s">
        <v>5885</v>
      </c>
      <c r="C3228" s="508" t="s">
        <v>107</v>
      </c>
      <c r="D3228" s="508">
        <v>51.72</v>
      </c>
      <c r="E3228" s="461" t="s">
        <v>174</v>
      </c>
    </row>
    <row r="3229" spans="1:5" ht="27" x14ac:dyDescent="0.25">
      <c r="A3229" s="508">
        <v>91993</v>
      </c>
      <c r="B3229" s="509" t="s">
        <v>5886</v>
      </c>
      <c r="C3229" s="508" t="s">
        <v>107</v>
      </c>
      <c r="D3229" s="508">
        <v>54.54</v>
      </c>
      <c r="E3229" s="461" t="s">
        <v>174</v>
      </c>
    </row>
    <row r="3230" spans="1:5" ht="27" x14ac:dyDescent="0.25">
      <c r="A3230" s="508">
        <v>91994</v>
      </c>
      <c r="B3230" s="509" t="s">
        <v>5887</v>
      </c>
      <c r="C3230" s="508" t="s">
        <v>107</v>
      </c>
      <c r="D3230" s="508">
        <v>27.92</v>
      </c>
      <c r="E3230" s="461" t="s">
        <v>174</v>
      </c>
    </row>
    <row r="3231" spans="1:5" ht="27" x14ac:dyDescent="0.25">
      <c r="A3231" s="508">
        <v>91995</v>
      </c>
      <c r="B3231" s="509" t="s">
        <v>5888</v>
      </c>
      <c r="C3231" s="508" t="s">
        <v>107</v>
      </c>
      <c r="D3231" s="508">
        <v>30.74</v>
      </c>
      <c r="E3231" s="461" t="s">
        <v>174</v>
      </c>
    </row>
    <row r="3232" spans="1:5" ht="27" x14ac:dyDescent="0.25">
      <c r="A3232" s="508">
        <v>91996</v>
      </c>
      <c r="B3232" s="509" t="s">
        <v>5889</v>
      </c>
      <c r="C3232" s="508" t="s">
        <v>107</v>
      </c>
      <c r="D3232" s="508">
        <v>40.83</v>
      </c>
      <c r="E3232" s="461" t="s">
        <v>174</v>
      </c>
    </row>
    <row r="3233" spans="1:5" ht="27" x14ac:dyDescent="0.25">
      <c r="A3233" s="508">
        <v>91997</v>
      </c>
      <c r="B3233" s="509" t="s">
        <v>5890</v>
      </c>
      <c r="C3233" s="508" t="s">
        <v>107</v>
      </c>
      <c r="D3233" s="508">
        <v>43.65</v>
      </c>
      <c r="E3233" s="461" t="s">
        <v>174</v>
      </c>
    </row>
    <row r="3234" spans="1:5" ht="27" x14ac:dyDescent="0.25">
      <c r="A3234" s="508">
        <v>91998</v>
      </c>
      <c r="B3234" s="509" t="s">
        <v>5891</v>
      </c>
      <c r="C3234" s="508" t="s">
        <v>107</v>
      </c>
      <c r="D3234" s="508">
        <v>23.71</v>
      </c>
      <c r="E3234" s="461" t="s">
        <v>174</v>
      </c>
    </row>
    <row r="3235" spans="1:5" ht="27" x14ac:dyDescent="0.25">
      <c r="A3235" s="508">
        <v>91999</v>
      </c>
      <c r="B3235" s="509" t="s">
        <v>5892</v>
      </c>
      <c r="C3235" s="508" t="s">
        <v>107</v>
      </c>
      <c r="D3235" s="508">
        <v>26.53</v>
      </c>
      <c r="E3235" s="461" t="s">
        <v>174</v>
      </c>
    </row>
    <row r="3236" spans="1:5" ht="27" x14ac:dyDescent="0.25">
      <c r="A3236" s="508">
        <v>92000</v>
      </c>
      <c r="B3236" s="509" t="s">
        <v>5893</v>
      </c>
      <c r="C3236" s="508" t="s">
        <v>107</v>
      </c>
      <c r="D3236" s="508">
        <v>36.619999999999997</v>
      </c>
      <c r="E3236" s="461" t="s">
        <v>174</v>
      </c>
    </row>
    <row r="3237" spans="1:5" ht="27" x14ac:dyDescent="0.25">
      <c r="A3237" s="508">
        <v>92001</v>
      </c>
      <c r="B3237" s="509" t="s">
        <v>5894</v>
      </c>
      <c r="C3237" s="508" t="s">
        <v>107</v>
      </c>
      <c r="D3237" s="508">
        <v>39.44</v>
      </c>
      <c r="E3237" s="461" t="s">
        <v>174</v>
      </c>
    </row>
    <row r="3238" spans="1:5" ht="27" x14ac:dyDescent="0.25">
      <c r="A3238" s="508">
        <v>92002</v>
      </c>
      <c r="B3238" s="509" t="s">
        <v>5895</v>
      </c>
      <c r="C3238" s="508" t="s">
        <v>107</v>
      </c>
      <c r="D3238" s="508">
        <v>52.36</v>
      </c>
      <c r="E3238" s="461" t="s">
        <v>174</v>
      </c>
    </row>
    <row r="3239" spans="1:5" ht="27" x14ac:dyDescent="0.25">
      <c r="A3239" s="508">
        <v>92003</v>
      </c>
      <c r="B3239" s="509" t="s">
        <v>5896</v>
      </c>
      <c r="C3239" s="508" t="s">
        <v>107</v>
      </c>
      <c r="D3239" s="510">
        <v>58</v>
      </c>
      <c r="E3239" s="461" t="s">
        <v>174</v>
      </c>
    </row>
    <row r="3240" spans="1:5" ht="27" x14ac:dyDescent="0.25">
      <c r="A3240" s="508">
        <v>92004</v>
      </c>
      <c r="B3240" s="509" t="s">
        <v>5897</v>
      </c>
      <c r="C3240" s="508" t="s">
        <v>107</v>
      </c>
      <c r="D3240" s="510">
        <v>65.27</v>
      </c>
      <c r="E3240" s="461" t="s">
        <v>174</v>
      </c>
    </row>
    <row r="3241" spans="1:5" ht="27" x14ac:dyDescent="0.25">
      <c r="A3241" s="508">
        <v>92005</v>
      </c>
      <c r="B3241" s="509" t="s">
        <v>5898</v>
      </c>
      <c r="C3241" s="508" t="s">
        <v>107</v>
      </c>
      <c r="D3241" s="510">
        <v>70.91</v>
      </c>
      <c r="E3241" s="461" t="s">
        <v>174</v>
      </c>
    </row>
    <row r="3242" spans="1:5" ht="27" x14ac:dyDescent="0.25">
      <c r="A3242" s="508">
        <v>92006</v>
      </c>
      <c r="B3242" s="509" t="s">
        <v>5899</v>
      </c>
      <c r="C3242" s="508" t="s">
        <v>107</v>
      </c>
      <c r="D3242" s="510">
        <v>43.88</v>
      </c>
      <c r="E3242" s="461" t="s">
        <v>174</v>
      </c>
    </row>
    <row r="3243" spans="1:5" ht="27" x14ac:dyDescent="0.25">
      <c r="A3243" s="508">
        <v>92007</v>
      </c>
      <c r="B3243" s="509" t="s">
        <v>5900</v>
      </c>
      <c r="C3243" s="508" t="s">
        <v>107</v>
      </c>
      <c r="D3243" s="508">
        <v>49.52</v>
      </c>
      <c r="E3243" s="461" t="s">
        <v>174</v>
      </c>
    </row>
    <row r="3244" spans="1:5" ht="27" x14ac:dyDescent="0.25">
      <c r="A3244" s="508">
        <v>92008</v>
      </c>
      <c r="B3244" s="509" t="s">
        <v>5901</v>
      </c>
      <c r="C3244" s="508" t="s">
        <v>107</v>
      </c>
      <c r="D3244" s="508">
        <v>56.79</v>
      </c>
      <c r="E3244" s="461" t="s">
        <v>174</v>
      </c>
    </row>
    <row r="3245" spans="1:5" ht="27" x14ac:dyDescent="0.25">
      <c r="A3245" s="508">
        <v>92009</v>
      </c>
      <c r="B3245" s="509" t="s">
        <v>5902</v>
      </c>
      <c r="C3245" s="508" t="s">
        <v>107</v>
      </c>
      <c r="D3245" s="508">
        <v>62.43</v>
      </c>
      <c r="E3245" s="461" t="s">
        <v>174</v>
      </c>
    </row>
    <row r="3246" spans="1:5" ht="27" x14ac:dyDescent="0.25">
      <c r="A3246" s="508">
        <v>92010</v>
      </c>
      <c r="B3246" s="509" t="s">
        <v>5903</v>
      </c>
      <c r="C3246" s="508" t="s">
        <v>107</v>
      </c>
      <c r="D3246" s="510">
        <v>76.760000000000005</v>
      </c>
      <c r="E3246" s="461" t="s">
        <v>174</v>
      </c>
    </row>
    <row r="3247" spans="1:5" ht="27" x14ac:dyDescent="0.25">
      <c r="A3247" s="508">
        <v>92011</v>
      </c>
      <c r="B3247" s="509" t="s">
        <v>5904</v>
      </c>
      <c r="C3247" s="508" t="s">
        <v>107</v>
      </c>
      <c r="D3247" s="510">
        <v>85.22</v>
      </c>
      <c r="E3247" s="461" t="s">
        <v>174</v>
      </c>
    </row>
    <row r="3248" spans="1:5" ht="27" x14ac:dyDescent="0.25">
      <c r="A3248" s="508">
        <v>92012</v>
      </c>
      <c r="B3248" s="509" t="s">
        <v>5905</v>
      </c>
      <c r="C3248" s="508" t="s">
        <v>107</v>
      </c>
      <c r="D3248" s="508">
        <v>89.67</v>
      </c>
      <c r="E3248" s="461" t="s">
        <v>174</v>
      </c>
    </row>
    <row r="3249" spans="1:5" ht="27" x14ac:dyDescent="0.25">
      <c r="A3249" s="508">
        <v>92013</v>
      </c>
      <c r="B3249" s="509" t="s">
        <v>5906</v>
      </c>
      <c r="C3249" s="508" t="s">
        <v>107</v>
      </c>
      <c r="D3249" s="510">
        <v>98.13</v>
      </c>
      <c r="E3249" s="461" t="s">
        <v>174</v>
      </c>
    </row>
    <row r="3250" spans="1:5" ht="27" x14ac:dyDescent="0.25">
      <c r="A3250" s="508">
        <v>92014</v>
      </c>
      <c r="B3250" s="509" t="s">
        <v>5907</v>
      </c>
      <c r="C3250" s="508" t="s">
        <v>107</v>
      </c>
      <c r="D3250" s="510">
        <v>64.069999999999993</v>
      </c>
      <c r="E3250" s="461" t="s">
        <v>174</v>
      </c>
    </row>
    <row r="3251" spans="1:5" ht="27" x14ac:dyDescent="0.25">
      <c r="A3251" s="508">
        <v>92015</v>
      </c>
      <c r="B3251" s="509" t="s">
        <v>5908</v>
      </c>
      <c r="C3251" s="508" t="s">
        <v>107</v>
      </c>
      <c r="D3251" s="508">
        <v>72.53</v>
      </c>
      <c r="E3251" s="461" t="s">
        <v>174</v>
      </c>
    </row>
    <row r="3252" spans="1:5" ht="27" x14ac:dyDescent="0.25">
      <c r="A3252" s="508">
        <v>92016</v>
      </c>
      <c r="B3252" s="509" t="s">
        <v>5909</v>
      </c>
      <c r="C3252" s="508" t="s">
        <v>107</v>
      </c>
      <c r="D3252" s="510">
        <v>76.98</v>
      </c>
      <c r="E3252" s="461" t="s">
        <v>174</v>
      </c>
    </row>
    <row r="3253" spans="1:5" ht="27" x14ac:dyDescent="0.25">
      <c r="A3253" s="508">
        <v>92017</v>
      </c>
      <c r="B3253" s="509" t="s">
        <v>5910</v>
      </c>
      <c r="C3253" s="508" t="s">
        <v>107</v>
      </c>
      <c r="D3253" s="510">
        <v>85.44</v>
      </c>
      <c r="E3253" s="461" t="s">
        <v>174</v>
      </c>
    </row>
    <row r="3254" spans="1:5" ht="27" x14ac:dyDescent="0.25">
      <c r="A3254" s="508">
        <v>92018</v>
      </c>
      <c r="B3254" s="509" t="s">
        <v>5911</v>
      </c>
      <c r="C3254" s="508" t="s">
        <v>107</v>
      </c>
      <c r="D3254" s="508">
        <v>84.86</v>
      </c>
      <c r="E3254" s="461" t="s">
        <v>174</v>
      </c>
    </row>
    <row r="3255" spans="1:5" ht="27" x14ac:dyDescent="0.25">
      <c r="A3255" s="508">
        <v>92019</v>
      </c>
      <c r="B3255" s="509" t="s">
        <v>5912</v>
      </c>
      <c r="C3255" s="508" t="s">
        <v>107</v>
      </c>
      <c r="D3255" s="508">
        <v>104.13</v>
      </c>
      <c r="E3255" s="461" t="s">
        <v>174</v>
      </c>
    </row>
    <row r="3256" spans="1:5" ht="27" x14ac:dyDescent="0.25">
      <c r="A3256" s="508">
        <v>92020</v>
      </c>
      <c r="B3256" s="509" t="s">
        <v>5913</v>
      </c>
      <c r="C3256" s="508" t="s">
        <v>107</v>
      </c>
      <c r="D3256" s="510">
        <v>125.5</v>
      </c>
      <c r="E3256" s="461" t="s">
        <v>174</v>
      </c>
    </row>
    <row r="3257" spans="1:5" ht="27" x14ac:dyDescent="0.25">
      <c r="A3257" s="508">
        <v>92021</v>
      </c>
      <c r="B3257" s="509" t="s">
        <v>5914</v>
      </c>
      <c r="C3257" s="508" t="s">
        <v>107</v>
      </c>
      <c r="D3257" s="510">
        <v>144.77000000000001</v>
      </c>
      <c r="E3257" s="461" t="s">
        <v>174</v>
      </c>
    </row>
    <row r="3258" spans="1:5" ht="27" x14ac:dyDescent="0.25">
      <c r="A3258" s="508">
        <v>92022</v>
      </c>
      <c r="B3258" s="509" t="s">
        <v>5915</v>
      </c>
      <c r="C3258" s="508" t="s">
        <v>107</v>
      </c>
      <c r="D3258" s="508">
        <v>46.3</v>
      </c>
      <c r="E3258" s="461" t="s">
        <v>174</v>
      </c>
    </row>
    <row r="3259" spans="1:5" ht="27" x14ac:dyDescent="0.25">
      <c r="A3259" s="508">
        <v>92023</v>
      </c>
      <c r="B3259" s="509" t="s">
        <v>5916</v>
      </c>
      <c r="C3259" s="508" t="s">
        <v>107</v>
      </c>
      <c r="D3259" s="510">
        <v>59.21</v>
      </c>
      <c r="E3259" s="461" t="s">
        <v>174</v>
      </c>
    </row>
    <row r="3260" spans="1:5" ht="27" x14ac:dyDescent="0.25">
      <c r="A3260" s="508">
        <v>92024</v>
      </c>
      <c r="B3260" s="509" t="s">
        <v>5917</v>
      </c>
      <c r="C3260" s="508" t="s">
        <v>107</v>
      </c>
      <c r="D3260" s="510">
        <v>70.75</v>
      </c>
      <c r="E3260" s="461" t="s">
        <v>174</v>
      </c>
    </row>
    <row r="3261" spans="1:5" ht="27" x14ac:dyDescent="0.25">
      <c r="A3261" s="508">
        <v>92025</v>
      </c>
      <c r="B3261" s="509" t="s">
        <v>5918</v>
      </c>
      <c r="C3261" s="508" t="s">
        <v>107</v>
      </c>
      <c r="D3261" s="510">
        <v>83.66</v>
      </c>
      <c r="E3261" s="461" t="s">
        <v>174</v>
      </c>
    </row>
    <row r="3262" spans="1:5" ht="27" x14ac:dyDescent="0.25">
      <c r="A3262" s="508">
        <v>92026</v>
      </c>
      <c r="B3262" s="509" t="s">
        <v>5919</v>
      </c>
      <c r="C3262" s="508" t="s">
        <v>107</v>
      </c>
      <c r="D3262" s="510">
        <v>64.75</v>
      </c>
      <c r="E3262" s="461" t="s">
        <v>174</v>
      </c>
    </row>
    <row r="3263" spans="1:5" ht="27" x14ac:dyDescent="0.25">
      <c r="A3263" s="508">
        <v>92027</v>
      </c>
      <c r="B3263" s="509" t="s">
        <v>5920</v>
      </c>
      <c r="C3263" s="508" t="s">
        <v>107</v>
      </c>
      <c r="D3263" s="508">
        <v>77.66</v>
      </c>
      <c r="E3263" s="461" t="s">
        <v>174</v>
      </c>
    </row>
    <row r="3264" spans="1:5" ht="27" x14ac:dyDescent="0.25">
      <c r="A3264" s="508">
        <v>92028</v>
      </c>
      <c r="B3264" s="509" t="s">
        <v>5921</v>
      </c>
      <c r="C3264" s="508" t="s">
        <v>107</v>
      </c>
      <c r="D3264" s="510">
        <v>53.82</v>
      </c>
      <c r="E3264" s="461" t="s">
        <v>174</v>
      </c>
    </row>
    <row r="3265" spans="1:5" ht="27" x14ac:dyDescent="0.25">
      <c r="A3265" s="508">
        <v>92029</v>
      </c>
      <c r="B3265" s="509" t="s">
        <v>5922</v>
      </c>
      <c r="C3265" s="508" t="s">
        <v>107</v>
      </c>
      <c r="D3265" s="510">
        <v>66.73</v>
      </c>
      <c r="E3265" s="461" t="s">
        <v>174</v>
      </c>
    </row>
    <row r="3266" spans="1:5" ht="27" x14ac:dyDescent="0.25">
      <c r="A3266" s="508">
        <v>92030</v>
      </c>
      <c r="B3266" s="509" t="s">
        <v>5923</v>
      </c>
      <c r="C3266" s="508" t="s">
        <v>107</v>
      </c>
      <c r="D3266" s="510">
        <v>78.22</v>
      </c>
      <c r="E3266" s="461" t="s">
        <v>174</v>
      </c>
    </row>
    <row r="3267" spans="1:5" ht="27" x14ac:dyDescent="0.25">
      <c r="A3267" s="508">
        <v>92031</v>
      </c>
      <c r="B3267" s="509" t="s">
        <v>5924</v>
      </c>
      <c r="C3267" s="508" t="s">
        <v>107</v>
      </c>
      <c r="D3267" s="510">
        <v>91.13</v>
      </c>
      <c r="E3267" s="461" t="s">
        <v>174</v>
      </c>
    </row>
    <row r="3268" spans="1:5" ht="27" x14ac:dyDescent="0.25">
      <c r="A3268" s="508">
        <v>92032</v>
      </c>
      <c r="B3268" s="509" t="s">
        <v>5925</v>
      </c>
      <c r="C3268" s="508" t="s">
        <v>107</v>
      </c>
      <c r="D3268" s="508">
        <v>79.680000000000007</v>
      </c>
      <c r="E3268" s="461" t="s">
        <v>174</v>
      </c>
    </row>
    <row r="3269" spans="1:5" ht="27" x14ac:dyDescent="0.25">
      <c r="A3269" s="508">
        <v>92033</v>
      </c>
      <c r="B3269" s="509" t="s">
        <v>5926</v>
      </c>
      <c r="C3269" s="508" t="s">
        <v>107</v>
      </c>
      <c r="D3269" s="508">
        <v>92.59</v>
      </c>
      <c r="E3269" s="461" t="s">
        <v>174</v>
      </c>
    </row>
    <row r="3270" spans="1:5" ht="27" x14ac:dyDescent="0.25">
      <c r="A3270" s="508">
        <v>92034</v>
      </c>
      <c r="B3270" s="509" t="s">
        <v>5927</v>
      </c>
      <c r="C3270" s="508" t="s">
        <v>107</v>
      </c>
      <c r="D3270" s="510">
        <v>72.209999999999994</v>
      </c>
      <c r="E3270" s="461" t="s">
        <v>174</v>
      </c>
    </row>
    <row r="3271" spans="1:5" ht="27" x14ac:dyDescent="0.25">
      <c r="A3271" s="508">
        <v>92035</v>
      </c>
      <c r="B3271" s="509" t="s">
        <v>5928</v>
      </c>
      <c r="C3271" s="508" t="s">
        <v>107</v>
      </c>
      <c r="D3271" s="510">
        <v>85.12</v>
      </c>
      <c r="E3271" s="461" t="s">
        <v>174</v>
      </c>
    </row>
    <row r="3272" spans="1:5" ht="27" x14ac:dyDescent="0.25">
      <c r="A3272" s="508">
        <v>97584</v>
      </c>
      <c r="B3272" s="509" t="s">
        <v>1991</v>
      </c>
      <c r="C3272" s="508" t="s">
        <v>107</v>
      </c>
      <c r="D3272" s="510">
        <v>77.14</v>
      </c>
      <c r="E3272" s="461" t="s">
        <v>174</v>
      </c>
    </row>
    <row r="3273" spans="1:5" ht="27" x14ac:dyDescent="0.25">
      <c r="A3273" s="508">
        <v>97595</v>
      </c>
      <c r="B3273" s="509" t="s">
        <v>1992</v>
      </c>
      <c r="C3273" s="508" t="s">
        <v>107</v>
      </c>
      <c r="D3273" s="510">
        <v>70.7</v>
      </c>
      <c r="E3273" s="461" t="s">
        <v>174</v>
      </c>
    </row>
    <row r="3274" spans="1:5" ht="27" x14ac:dyDescent="0.25">
      <c r="A3274" s="508">
        <v>97596</v>
      </c>
      <c r="B3274" s="509" t="s">
        <v>1993</v>
      </c>
      <c r="C3274" s="508" t="s">
        <v>107</v>
      </c>
      <c r="D3274" s="510">
        <v>52.71</v>
      </c>
      <c r="E3274" s="461" t="s">
        <v>174</v>
      </c>
    </row>
    <row r="3275" spans="1:5" ht="27" x14ac:dyDescent="0.25">
      <c r="A3275" s="508">
        <v>97597</v>
      </c>
      <c r="B3275" s="509" t="s">
        <v>1994</v>
      </c>
      <c r="C3275" s="508" t="s">
        <v>107</v>
      </c>
      <c r="D3275" s="510">
        <v>48.5</v>
      </c>
      <c r="E3275" s="461" t="s">
        <v>174</v>
      </c>
    </row>
    <row r="3276" spans="1:5" ht="27" x14ac:dyDescent="0.25">
      <c r="A3276" s="508">
        <v>97598</v>
      </c>
      <c r="B3276" s="509" t="s">
        <v>1995</v>
      </c>
      <c r="C3276" s="508" t="s">
        <v>107</v>
      </c>
      <c r="D3276" s="510">
        <v>46.2</v>
      </c>
      <c r="E3276" s="461" t="s">
        <v>174</v>
      </c>
    </row>
    <row r="3277" spans="1:5" ht="27" x14ac:dyDescent="0.25">
      <c r="A3277" s="508">
        <v>97599</v>
      </c>
      <c r="B3277" s="509" t="s">
        <v>1996</v>
      </c>
      <c r="C3277" s="508" t="s">
        <v>107</v>
      </c>
      <c r="D3277" s="508">
        <v>21.56</v>
      </c>
      <c r="E3277" s="461" t="s">
        <v>174</v>
      </c>
    </row>
    <row r="3278" spans="1:5" ht="15" x14ac:dyDescent="0.25">
      <c r="A3278" s="508">
        <v>97609</v>
      </c>
      <c r="B3278" s="509" t="s">
        <v>1997</v>
      </c>
      <c r="C3278" s="508" t="s">
        <v>107</v>
      </c>
      <c r="D3278" s="508">
        <v>14.4</v>
      </c>
      <c r="E3278" s="461" t="s">
        <v>174</v>
      </c>
    </row>
    <row r="3279" spans="1:5" ht="15" x14ac:dyDescent="0.25">
      <c r="A3279" s="508">
        <v>97610</v>
      </c>
      <c r="B3279" s="509" t="s">
        <v>1998</v>
      </c>
      <c r="C3279" s="508" t="s">
        <v>107</v>
      </c>
      <c r="D3279" s="510">
        <v>15.14</v>
      </c>
      <c r="E3279" s="461" t="s">
        <v>174</v>
      </c>
    </row>
    <row r="3280" spans="1:5" ht="15" x14ac:dyDescent="0.25">
      <c r="A3280" s="508">
        <v>100902</v>
      </c>
      <c r="B3280" s="509" t="s">
        <v>5929</v>
      </c>
      <c r="C3280" s="508" t="s">
        <v>107</v>
      </c>
      <c r="D3280" s="510">
        <v>23.08</v>
      </c>
      <c r="E3280" s="461" t="s">
        <v>174</v>
      </c>
    </row>
    <row r="3281" spans="1:5" ht="15" x14ac:dyDescent="0.25">
      <c r="A3281" s="508">
        <v>100903</v>
      </c>
      <c r="B3281" s="509" t="s">
        <v>5930</v>
      </c>
      <c r="C3281" s="508" t="s">
        <v>107</v>
      </c>
      <c r="D3281" s="510">
        <v>26.33</v>
      </c>
      <c r="E3281" s="461" t="s">
        <v>174</v>
      </c>
    </row>
    <row r="3282" spans="1:5" ht="27" x14ac:dyDescent="0.25">
      <c r="A3282" s="508">
        <v>103782</v>
      </c>
      <c r="B3282" s="509" t="s">
        <v>5931</v>
      </c>
      <c r="C3282" s="508" t="s">
        <v>107</v>
      </c>
      <c r="D3282" s="508">
        <v>33.630000000000003</v>
      </c>
      <c r="E3282" s="461" t="s">
        <v>174</v>
      </c>
    </row>
    <row r="3283" spans="1:5" ht="27" x14ac:dyDescent="0.25">
      <c r="A3283" s="508">
        <v>101489</v>
      </c>
      <c r="B3283" s="509" t="s">
        <v>5932</v>
      </c>
      <c r="C3283" s="508" t="s">
        <v>107</v>
      </c>
      <c r="D3283" s="508">
        <v>1573.07</v>
      </c>
      <c r="E3283" s="461" t="s">
        <v>174</v>
      </c>
    </row>
    <row r="3284" spans="1:5" ht="27" x14ac:dyDescent="0.25">
      <c r="A3284" s="508">
        <v>101490</v>
      </c>
      <c r="B3284" s="509" t="s">
        <v>5933</v>
      </c>
      <c r="C3284" s="508" t="s">
        <v>107</v>
      </c>
      <c r="D3284" s="508">
        <v>1680.76</v>
      </c>
      <c r="E3284" s="461" t="s">
        <v>174</v>
      </c>
    </row>
    <row r="3285" spans="1:5" ht="27" x14ac:dyDescent="0.25">
      <c r="A3285" s="508">
        <v>101491</v>
      </c>
      <c r="B3285" s="509" t="s">
        <v>5934</v>
      </c>
      <c r="C3285" s="508" t="s">
        <v>107</v>
      </c>
      <c r="D3285" s="508">
        <v>1708.04</v>
      </c>
      <c r="E3285" s="461" t="s">
        <v>174</v>
      </c>
    </row>
    <row r="3286" spans="1:5" ht="27" x14ac:dyDescent="0.25">
      <c r="A3286" s="508">
        <v>101492</v>
      </c>
      <c r="B3286" s="509" t="s">
        <v>5935</v>
      </c>
      <c r="C3286" s="508" t="s">
        <v>107</v>
      </c>
      <c r="D3286" s="508">
        <v>1866.56</v>
      </c>
      <c r="E3286" s="461" t="s">
        <v>174</v>
      </c>
    </row>
    <row r="3287" spans="1:5" ht="27" x14ac:dyDescent="0.25">
      <c r="A3287" s="508">
        <v>101493</v>
      </c>
      <c r="B3287" s="509" t="s">
        <v>5936</v>
      </c>
      <c r="C3287" s="508" t="s">
        <v>107</v>
      </c>
      <c r="D3287" s="508">
        <v>1555.55</v>
      </c>
      <c r="E3287" s="461" t="s">
        <v>174</v>
      </c>
    </row>
    <row r="3288" spans="1:5" ht="27" x14ac:dyDescent="0.25">
      <c r="A3288" s="508">
        <v>101494</v>
      </c>
      <c r="B3288" s="509" t="s">
        <v>5937</v>
      </c>
      <c r="C3288" s="508" t="s">
        <v>107</v>
      </c>
      <c r="D3288" s="508">
        <v>1663.24</v>
      </c>
      <c r="E3288" s="461" t="s">
        <v>174</v>
      </c>
    </row>
    <row r="3289" spans="1:5" ht="27" x14ac:dyDescent="0.25">
      <c r="A3289" s="508">
        <v>101495</v>
      </c>
      <c r="B3289" s="509" t="s">
        <v>5938</v>
      </c>
      <c r="C3289" s="508" t="s">
        <v>107</v>
      </c>
      <c r="D3289" s="508">
        <v>1690.52</v>
      </c>
      <c r="E3289" s="461" t="s">
        <v>174</v>
      </c>
    </row>
    <row r="3290" spans="1:5" ht="27" x14ac:dyDescent="0.25">
      <c r="A3290" s="508">
        <v>101496</v>
      </c>
      <c r="B3290" s="509" t="s">
        <v>5939</v>
      </c>
      <c r="C3290" s="508" t="s">
        <v>107</v>
      </c>
      <c r="D3290" s="508">
        <v>1849.04</v>
      </c>
      <c r="E3290" s="461" t="s">
        <v>174</v>
      </c>
    </row>
    <row r="3291" spans="1:5" ht="27" x14ac:dyDescent="0.25">
      <c r="A3291" s="508">
        <v>101497</v>
      </c>
      <c r="B3291" s="509" t="s">
        <v>5940</v>
      </c>
      <c r="C3291" s="508" t="s">
        <v>107</v>
      </c>
      <c r="D3291" s="508">
        <v>1887.49</v>
      </c>
      <c r="E3291" s="461" t="s">
        <v>174</v>
      </c>
    </row>
    <row r="3292" spans="1:5" ht="27" x14ac:dyDescent="0.25">
      <c r="A3292" s="508">
        <v>101498</v>
      </c>
      <c r="B3292" s="509" t="s">
        <v>5941</v>
      </c>
      <c r="C3292" s="508" t="s">
        <v>107</v>
      </c>
      <c r="D3292" s="508">
        <v>2050.4899999999998</v>
      </c>
      <c r="E3292" s="461" t="s">
        <v>174</v>
      </c>
    </row>
    <row r="3293" spans="1:5" ht="27" x14ac:dyDescent="0.25">
      <c r="A3293" s="508">
        <v>101499</v>
      </c>
      <c r="B3293" s="509" t="s">
        <v>5942</v>
      </c>
      <c r="C3293" s="508" t="s">
        <v>107</v>
      </c>
      <c r="D3293" s="508">
        <v>2091.7800000000002</v>
      </c>
      <c r="E3293" s="461" t="s">
        <v>174</v>
      </c>
    </row>
    <row r="3294" spans="1:5" ht="27" x14ac:dyDescent="0.25">
      <c r="A3294" s="508">
        <v>101500</v>
      </c>
      <c r="B3294" s="509" t="s">
        <v>5943</v>
      </c>
      <c r="C3294" s="508" t="s">
        <v>107</v>
      </c>
      <c r="D3294" s="508">
        <v>2313.98</v>
      </c>
      <c r="E3294" s="461" t="s">
        <v>174</v>
      </c>
    </row>
    <row r="3295" spans="1:5" ht="27" x14ac:dyDescent="0.25">
      <c r="A3295" s="508">
        <v>101501</v>
      </c>
      <c r="B3295" s="509" t="s">
        <v>5944</v>
      </c>
      <c r="C3295" s="508" t="s">
        <v>107</v>
      </c>
      <c r="D3295" s="508">
        <v>1879.36</v>
      </c>
      <c r="E3295" s="461" t="s">
        <v>174</v>
      </c>
    </row>
    <row r="3296" spans="1:5" ht="27" x14ac:dyDescent="0.25">
      <c r="A3296" s="508">
        <v>101502</v>
      </c>
      <c r="B3296" s="509" t="s">
        <v>5945</v>
      </c>
      <c r="C3296" s="508" t="s">
        <v>107</v>
      </c>
      <c r="D3296" s="508">
        <v>2042.36</v>
      </c>
      <c r="E3296" s="461" t="s">
        <v>174</v>
      </c>
    </row>
    <row r="3297" spans="1:5" ht="27" x14ac:dyDescent="0.25">
      <c r="A3297" s="508">
        <v>101503</v>
      </c>
      <c r="B3297" s="509" t="s">
        <v>5946</v>
      </c>
      <c r="C3297" s="508" t="s">
        <v>107</v>
      </c>
      <c r="D3297" s="508">
        <v>2083.65</v>
      </c>
      <c r="E3297" s="461" t="s">
        <v>174</v>
      </c>
    </row>
    <row r="3298" spans="1:5" ht="27" x14ac:dyDescent="0.25">
      <c r="A3298" s="508">
        <v>101504</v>
      </c>
      <c r="B3298" s="509" t="s">
        <v>5947</v>
      </c>
      <c r="C3298" s="508" t="s">
        <v>107</v>
      </c>
      <c r="D3298" s="508">
        <v>2305.85</v>
      </c>
      <c r="E3298" s="461" t="s">
        <v>174</v>
      </c>
    </row>
    <row r="3299" spans="1:5" ht="27" x14ac:dyDescent="0.25">
      <c r="A3299" s="508">
        <v>101505</v>
      </c>
      <c r="B3299" s="509" t="s">
        <v>5948</v>
      </c>
      <c r="C3299" s="508" t="s">
        <v>107</v>
      </c>
      <c r="D3299" s="508">
        <v>2012.78</v>
      </c>
      <c r="E3299" s="461" t="s">
        <v>174</v>
      </c>
    </row>
    <row r="3300" spans="1:5" ht="27" x14ac:dyDescent="0.25">
      <c r="A3300" s="508">
        <v>101506</v>
      </c>
      <c r="B3300" s="509" t="s">
        <v>5949</v>
      </c>
      <c r="C3300" s="508" t="s">
        <v>107</v>
      </c>
      <c r="D3300" s="508">
        <v>2230.12</v>
      </c>
      <c r="E3300" s="461" t="s">
        <v>174</v>
      </c>
    </row>
    <row r="3301" spans="1:5" ht="27" x14ac:dyDescent="0.25">
      <c r="A3301" s="508">
        <v>101507</v>
      </c>
      <c r="B3301" s="509" t="s">
        <v>5950</v>
      </c>
      <c r="C3301" s="508" t="s">
        <v>107</v>
      </c>
      <c r="D3301" s="508">
        <v>2285.17</v>
      </c>
      <c r="E3301" s="461" t="s">
        <v>174</v>
      </c>
    </row>
    <row r="3302" spans="1:5" ht="27" x14ac:dyDescent="0.25">
      <c r="A3302" s="508">
        <v>101508</v>
      </c>
      <c r="B3302" s="509" t="s">
        <v>5951</v>
      </c>
      <c r="C3302" s="508" t="s">
        <v>107</v>
      </c>
      <c r="D3302" s="508">
        <v>2569.92</v>
      </c>
      <c r="E3302" s="461" t="s">
        <v>174</v>
      </c>
    </row>
    <row r="3303" spans="1:5" ht="27" x14ac:dyDescent="0.25">
      <c r="A3303" s="508">
        <v>101509</v>
      </c>
      <c r="B3303" s="509" t="s">
        <v>5952</v>
      </c>
      <c r="C3303" s="508" t="s">
        <v>107</v>
      </c>
      <c r="D3303" s="508">
        <v>1956.74</v>
      </c>
      <c r="E3303" s="461" t="s">
        <v>174</v>
      </c>
    </row>
    <row r="3304" spans="1:5" ht="27" x14ac:dyDescent="0.25">
      <c r="A3304" s="508">
        <v>101510</v>
      </c>
      <c r="B3304" s="509" t="s">
        <v>5953</v>
      </c>
      <c r="C3304" s="508" t="s">
        <v>107</v>
      </c>
      <c r="D3304" s="510">
        <v>2174.08</v>
      </c>
      <c r="E3304" s="461" t="s">
        <v>174</v>
      </c>
    </row>
    <row r="3305" spans="1:5" ht="27" x14ac:dyDescent="0.25">
      <c r="A3305" s="508">
        <v>101511</v>
      </c>
      <c r="B3305" s="509" t="s">
        <v>5954</v>
      </c>
      <c r="C3305" s="508" t="s">
        <v>107</v>
      </c>
      <c r="D3305" s="508">
        <v>2229.13</v>
      </c>
      <c r="E3305" s="461" t="s">
        <v>174</v>
      </c>
    </row>
    <row r="3306" spans="1:5" ht="27" x14ac:dyDescent="0.25">
      <c r="A3306" s="508">
        <v>101512</v>
      </c>
      <c r="B3306" s="509" t="s">
        <v>5955</v>
      </c>
      <c r="C3306" s="508" t="s">
        <v>107</v>
      </c>
      <c r="D3306" s="508">
        <v>2513.88</v>
      </c>
      <c r="E3306" s="461" t="s">
        <v>174</v>
      </c>
    </row>
    <row r="3307" spans="1:5" ht="27" x14ac:dyDescent="0.25">
      <c r="A3307" s="508">
        <v>101513</v>
      </c>
      <c r="B3307" s="509" t="s">
        <v>5956</v>
      </c>
      <c r="C3307" s="508" t="s">
        <v>107</v>
      </c>
      <c r="D3307" s="508">
        <v>866.88</v>
      </c>
      <c r="E3307" s="461" t="s">
        <v>174</v>
      </c>
    </row>
    <row r="3308" spans="1:5" ht="27" x14ac:dyDescent="0.25">
      <c r="A3308" s="508">
        <v>101514</v>
      </c>
      <c r="B3308" s="509" t="s">
        <v>5957</v>
      </c>
      <c r="C3308" s="508" t="s">
        <v>107</v>
      </c>
      <c r="D3308" s="508">
        <v>996.11</v>
      </c>
      <c r="E3308" s="461" t="s">
        <v>174</v>
      </c>
    </row>
    <row r="3309" spans="1:5" ht="27" x14ac:dyDescent="0.25">
      <c r="A3309" s="508">
        <v>101515</v>
      </c>
      <c r="B3309" s="509" t="s">
        <v>5958</v>
      </c>
      <c r="C3309" s="508" t="s">
        <v>107</v>
      </c>
      <c r="D3309" s="508">
        <v>1028.8399999999999</v>
      </c>
      <c r="E3309" s="461" t="s">
        <v>174</v>
      </c>
    </row>
    <row r="3310" spans="1:5" ht="27" x14ac:dyDescent="0.25">
      <c r="A3310" s="508">
        <v>101516</v>
      </c>
      <c r="B3310" s="509" t="s">
        <v>5959</v>
      </c>
      <c r="C3310" s="508" t="s">
        <v>107</v>
      </c>
      <c r="D3310" s="508">
        <v>1177.6099999999999</v>
      </c>
      <c r="E3310" s="461" t="s">
        <v>174</v>
      </c>
    </row>
    <row r="3311" spans="1:5" ht="27" x14ac:dyDescent="0.25">
      <c r="A3311" s="508">
        <v>101517</v>
      </c>
      <c r="B3311" s="509" t="s">
        <v>5960</v>
      </c>
      <c r="C3311" s="508" t="s">
        <v>107</v>
      </c>
      <c r="D3311" s="508">
        <v>849.37</v>
      </c>
      <c r="E3311" s="461" t="s">
        <v>174</v>
      </c>
    </row>
    <row r="3312" spans="1:5" ht="27" x14ac:dyDescent="0.25">
      <c r="A3312" s="508">
        <v>101518</v>
      </c>
      <c r="B3312" s="509" t="s">
        <v>5961</v>
      </c>
      <c r="C3312" s="508" t="s">
        <v>107</v>
      </c>
      <c r="D3312" s="508">
        <v>978.6</v>
      </c>
      <c r="E3312" s="461" t="s">
        <v>174</v>
      </c>
    </row>
    <row r="3313" spans="1:5" ht="27" x14ac:dyDescent="0.25">
      <c r="A3313" s="508">
        <v>101519</v>
      </c>
      <c r="B3313" s="509" t="s">
        <v>5962</v>
      </c>
      <c r="C3313" s="508" t="s">
        <v>107</v>
      </c>
      <c r="D3313" s="508">
        <v>1011.33</v>
      </c>
      <c r="E3313" s="461" t="s">
        <v>174</v>
      </c>
    </row>
    <row r="3314" spans="1:5" ht="27" x14ac:dyDescent="0.25">
      <c r="A3314" s="508">
        <v>101520</v>
      </c>
      <c r="B3314" s="509" t="s">
        <v>5963</v>
      </c>
      <c r="C3314" s="508" t="s">
        <v>107</v>
      </c>
      <c r="D3314" s="508">
        <v>1160.0999999999999</v>
      </c>
      <c r="E3314" s="461" t="s">
        <v>174</v>
      </c>
    </row>
    <row r="3315" spans="1:5" ht="27" x14ac:dyDescent="0.25">
      <c r="A3315" s="508">
        <v>101521</v>
      </c>
      <c r="B3315" s="509" t="s">
        <v>5964</v>
      </c>
      <c r="C3315" s="508" t="s">
        <v>107</v>
      </c>
      <c r="D3315" s="508">
        <v>1197.6600000000001</v>
      </c>
      <c r="E3315" s="461" t="s">
        <v>174</v>
      </c>
    </row>
    <row r="3316" spans="1:5" ht="27" x14ac:dyDescent="0.25">
      <c r="A3316" s="508">
        <v>101522</v>
      </c>
      <c r="B3316" s="509" t="s">
        <v>5965</v>
      </c>
      <c r="C3316" s="508" t="s">
        <v>107</v>
      </c>
      <c r="D3316" s="508">
        <v>1391.5</v>
      </c>
      <c r="E3316" s="461" t="s">
        <v>174</v>
      </c>
    </row>
    <row r="3317" spans="1:5" ht="27" x14ac:dyDescent="0.25">
      <c r="A3317" s="508">
        <v>101523</v>
      </c>
      <c r="B3317" s="509" t="s">
        <v>5966</v>
      </c>
      <c r="C3317" s="508" t="s">
        <v>107</v>
      </c>
      <c r="D3317" s="508">
        <v>1440.61</v>
      </c>
      <c r="E3317" s="461" t="s">
        <v>174</v>
      </c>
    </row>
    <row r="3318" spans="1:5" ht="27" x14ac:dyDescent="0.25">
      <c r="A3318" s="508">
        <v>101524</v>
      </c>
      <c r="B3318" s="509" t="s">
        <v>5967</v>
      </c>
      <c r="C3318" s="508" t="s">
        <v>107</v>
      </c>
      <c r="D3318" s="508">
        <v>1663.75</v>
      </c>
      <c r="E3318" s="461" t="s">
        <v>174</v>
      </c>
    </row>
    <row r="3319" spans="1:5" ht="27" x14ac:dyDescent="0.25">
      <c r="A3319" s="508">
        <v>101525</v>
      </c>
      <c r="B3319" s="509" t="s">
        <v>5968</v>
      </c>
      <c r="C3319" s="508" t="s">
        <v>107</v>
      </c>
      <c r="D3319" s="508">
        <v>1189.55</v>
      </c>
      <c r="E3319" s="461" t="s">
        <v>174</v>
      </c>
    </row>
    <row r="3320" spans="1:5" ht="27" x14ac:dyDescent="0.25">
      <c r="A3320" s="508">
        <v>101526</v>
      </c>
      <c r="B3320" s="509" t="s">
        <v>5969</v>
      </c>
      <c r="C3320" s="508" t="s">
        <v>107</v>
      </c>
      <c r="D3320" s="508">
        <v>1383.39</v>
      </c>
      <c r="E3320" s="461" t="s">
        <v>174</v>
      </c>
    </row>
    <row r="3321" spans="1:5" ht="27" x14ac:dyDescent="0.25">
      <c r="A3321" s="508">
        <v>101527</v>
      </c>
      <c r="B3321" s="509" t="s">
        <v>5970</v>
      </c>
      <c r="C3321" s="508" t="s">
        <v>107</v>
      </c>
      <c r="D3321" s="508">
        <v>1432.5</v>
      </c>
      <c r="E3321" s="461" t="s">
        <v>174</v>
      </c>
    </row>
    <row r="3322" spans="1:5" ht="27" x14ac:dyDescent="0.25">
      <c r="A3322" s="508">
        <v>101528</v>
      </c>
      <c r="B3322" s="509" t="s">
        <v>5971</v>
      </c>
      <c r="C3322" s="508" t="s">
        <v>107</v>
      </c>
      <c r="D3322" s="508">
        <v>1655.64</v>
      </c>
      <c r="E3322" s="461" t="s">
        <v>174</v>
      </c>
    </row>
    <row r="3323" spans="1:5" ht="27" x14ac:dyDescent="0.25">
      <c r="A3323" s="508">
        <v>101529</v>
      </c>
      <c r="B3323" s="509" t="s">
        <v>5972</v>
      </c>
      <c r="C3323" s="508" t="s">
        <v>107</v>
      </c>
      <c r="D3323" s="510">
        <v>1341.03</v>
      </c>
      <c r="E3323" s="461" t="s">
        <v>174</v>
      </c>
    </row>
    <row r="3324" spans="1:5" ht="27" x14ac:dyDescent="0.25">
      <c r="A3324" s="508">
        <v>101530</v>
      </c>
      <c r="B3324" s="509" t="s">
        <v>5973</v>
      </c>
      <c r="C3324" s="508" t="s">
        <v>107</v>
      </c>
      <c r="D3324" s="508">
        <v>1599.49</v>
      </c>
      <c r="E3324" s="461" t="s">
        <v>174</v>
      </c>
    </row>
    <row r="3325" spans="1:5" ht="27" x14ac:dyDescent="0.25">
      <c r="A3325" s="508">
        <v>101531</v>
      </c>
      <c r="B3325" s="509" t="s">
        <v>5974</v>
      </c>
      <c r="C3325" s="508" t="s">
        <v>107</v>
      </c>
      <c r="D3325" s="508">
        <v>1664.96</v>
      </c>
      <c r="E3325" s="461" t="s">
        <v>174</v>
      </c>
    </row>
    <row r="3326" spans="1:5" ht="27" x14ac:dyDescent="0.25">
      <c r="A3326" s="508">
        <v>101532</v>
      </c>
      <c r="B3326" s="509" t="s">
        <v>5975</v>
      </c>
      <c r="C3326" s="508" t="s">
        <v>107</v>
      </c>
      <c r="D3326" s="508">
        <v>1962.49</v>
      </c>
      <c r="E3326" s="461" t="s">
        <v>174</v>
      </c>
    </row>
    <row r="3327" spans="1:5" ht="27" x14ac:dyDescent="0.25">
      <c r="A3327" s="508">
        <v>101533</v>
      </c>
      <c r="B3327" s="509" t="s">
        <v>5976</v>
      </c>
      <c r="C3327" s="508" t="s">
        <v>107</v>
      </c>
      <c r="D3327" s="508">
        <v>1285.01</v>
      </c>
      <c r="E3327" s="461" t="s">
        <v>174</v>
      </c>
    </row>
    <row r="3328" spans="1:5" ht="27" x14ac:dyDescent="0.25">
      <c r="A3328" s="508">
        <v>101534</v>
      </c>
      <c r="B3328" s="509" t="s">
        <v>5977</v>
      </c>
      <c r="C3328" s="508" t="s">
        <v>107</v>
      </c>
      <c r="D3328" s="508">
        <v>1543.47</v>
      </c>
      <c r="E3328" s="461" t="s">
        <v>174</v>
      </c>
    </row>
    <row r="3329" spans="1:5" ht="27" x14ac:dyDescent="0.25">
      <c r="A3329" s="508">
        <v>101535</v>
      </c>
      <c r="B3329" s="509" t="s">
        <v>5978</v>
      </c>
      <c r="C3329" s="508" t="s">
        <v>107</v>
      </c>
      <c r="D3329" s="508">
        <v>1608.94</v>
      </c>
      <c r="E3329" s="461" t="s">
        <v>174</v>
      </c>
    </row>
    <row r="3330" spans="1:5" ht="27" x14ac:dyDescent="0.25">
      <c r="A3330" s="508">
        <v>101536</v>
      </c>
      <c r="B3330" s="509" t="s">
        <v>5979</v>
      </c>
      <c r="C3330" s="508" t="s">
        <v>107</v>
      </c>
      <c r="D3330" s="508">
        <v>1906.47</v>
      </c>
      <c r="E3330" s="461" t="s">
        <v>174</v>
      </c>
    </row>
    <row r="3331" spans="1:5" ht="27" x14ac:dyDescent="0.25">
      <c r="A3331" s="508">
        <v>101537</v>
      </c>
      <c r="B3331" s="509" t="s">
        <v>2623</v>
      </c>
      <c r="C3331" s="508" t="s">
        <v>107</v>
      </c>
      <c r="D3331" s="510">
        <v>107.48</v>
      </c>
      <c r="E3331" s="461" t="s">
        <v>174</v>
      </c>
    </row>
    <row r="3332" spans="1:5" ht="27" x14ac:dyDescent="0.25">
      <c r="A3332" s="508">
        <v>101538</v>
      </c>
      <c r="B3332" s="509" t="s">
        <v>2624</v>
      </c>
      <c r="C3332" s="508" t="s">
        <v>107</v>
      </c>
      <c r="D3332" s="508">
        <v>54.07</v>
      </c>
      <c r="E3332" s="461" t="s">
        <v>174</v>
      </c>
    </row>
    <row r="3333" spans="1:5" ht="27" x14ac:dyDescent="0.25">
      <c r="A3333" s="508">
        <v>101539</v>
      </c>
      <c r="B3333" s="509" t="s">
        <v>2625</v>
      </c>
      <c r="C3333" s="508" t="s">
        <v>107</v>
      </c>
      <c r="D3333" s="508">
        <v>89.13</v>
      </c>
      <c r="E3333" s="461" t="s">
        <v>174</v>
      </c>
    </row>
    <row r="3334" spans="1:5" ht="27" x14ac:dyDescent="0.25">
      <c r="A3334" s="508">
        <v>101540</v>
      </c>
      <c r="B3334" s="509" t="s">
        <v>2626</v>
      </c>
      <c r="C3334" s="508" t="s">
        <v>107</v>
      </c>
      <c r="D3334" s="508">
        <v>150.62</v>
      </c>
      <c r="E3334" s="461" t="s">
        <v>174</v>
      </c>
    </row>
    <row r="3335" spans="1:5" ht="27" x14ac:dyDescent="0.25">
      <c r="A3335" s="508">
        <v>101541</v>
      </c>
      <c r="B3335" s="509" t="s">
        <v>2627</v>
      </c>
      <c r="C3335" s="508" t="s">
        <v>107</v>
      </c>
      <c r="D3335" s="510">
        <v>196.38</v>
      </c>
      <c r="E3335" s="461" t="s">
        <v>174</v>
      </c>
    </row>
    <row r="3336" spans="1:5" ht="27" x14ac:dyDescent="0.25">
      <c r="A3336" s="508">
        <v>101542</v>
      </c>
      <c r="B3336" s="509" t="s">
        <v>2628</v>
      </c>
      <c r="C3336" s="508" t="s">
        <v>107</v>
      </c>
      <c r="D3336" s="508">
        <v>40.81</v>
      </c>
      <c r="E3336" s="461" t="s">
        <v>174</v>
      </c>
    </row>
    <row r="3337" spans="1:5" ht="27" x14ac:dyDescent="0.25">
      <c r="A3337" s="508">
        <v>101543</v>
      </c>
      <c r="B3337" s="509" t="s">
        <v>2629</v>
      </c>
      <c r="C3337" s="508" t="s">
        <v>107</v>
      </c>
      <c r="D3337" s="508">
        <v>72.42</v>
      </c>
      <c r="E3337" s="461" t="s">
        <v>174</v>
      </c>
    </row>
    <row r="3338" spans="1:5" ht="27" x14ac:dyDescent="0.25">
      <c r="A3338" s="508">
        <v>101544</v>
      </c>
      <c r="B3338" s="509" t="s">
        <v>2630</v>
      </c>
      <c r="C3338" s="508" t="s">
        <v>107</v>
      </c>
      <c r="D3338" s="508">
        <v>115.97</v>
      </c>
      <c r="E3338" s="461" t="s">
        <v>174</v>
      </c>
    </row>
    <row r="3339" spans="1:5" ht="27" x14ac:dyDescent="0.25">
      <c r="A3339" s="508">
        <v>101545</v>
      </c>
      <c r="B3339" s="509" t="s">
        <v>2631</v>
      </c>
      <c r="C3339" s="508" t="s">
        <v>107</v>
      </c>
      <c r="D3339" s="508">
        <v>168.51</v>
      </c>
      <c r="E3339" s="461" t="s">
        <v>174</v>
      </c>
    </row>
    <row r="3340" spans="1:5" ht="15" x14ac:dyDescent="0.25">
      <c r="A3340" s="508">
        <v>101546</v>
      </c>
      <c r="B3340" s="509" t="s">
        <v>2632</v>
      </c>
      <c r="C3340" s="508" t="s">
        <v>107</v>
      </c>
      <c r="D3340" s="508">
        <v>26.28</v>
      </c>
      <c r="E3340" s="461" t="s">
        <v>174</v>
      </c>
    </row>
    <row r="3341" spans="1:5" ht="15" x14ac:dyDescent="0.25">
      <c r="A3341" s="508">
        <v>101547</v>
      </c>
      <c r="B3341" s="509" t="s">
        <v>2633</v>
      </c>
      <c r="C3341" s="508" t="s">
        <v>107</v>
      </c>
      <c r="D3341" s="508">
        <v>81.09</v>
      </c>
      <c r="E3341" s="461" t="s">
        <v>174</v>
      </c>
    </row>
    <row r="3342" spans="1:5" ht="15" x14ac:dyDescent="0.25">
      <c r="A3342" s="508">
        <v>101548</v>
      </c>
      <c r="B3342" s="509" t="s">
        <v>2634</v>
      </c>
      <c r="C3342" s="508" t="s">
        <v>107</v>
      </c>
      <c r="D3342" s="508">
        <v>6.95</v>
      </c>
      <c r="E3342" s="461" t="s">
        <v>174</v>
      </c>
    </row>
    <row r="3343" spans="1:5" ht="27" x14ac:dyDescent="0.25">
      <c r="A3343" s="508">
        <v>101549</v>
      </c>
      <c r="B3343" s="509" t="s">
        <v>2635</v>
      </c>
      <c r="C3343" s="508" t="s">
        <v>107</v>
      </c>
      <c r="D3343" s="508">
        <v>19.36</v>
      </c>
      <c r="E3343" s="461" t="s">
        <v>174</v>
      </c>
    </row>
    <row r="3344" spans="1:5" ht="27" x14ac:dyDescent="0.25">
      <c r="A3344" s="508">
        <v>101553</v>
      </c>
      <c r="B3344" s="509" t="s">
        <v>2636</v>
      </c>
      <c r="C3344" s="508" t="s">
        <v>107</v>
      </c>
      <c r="D3344" s="508">
        <v>18.97</v>
      </c>
      <c r="E3344" s="461" t="s">
        <v>174</v>
      </c>
    </row>
    <row r="3345" spans="1:5" ht="27" x14ac:dyDescent="0.25">
      <c r="A3345" s="508">
        <v>101554</v>
      </c>
      <c r="B3345" s="509" t="s">
        <v>2637</v>
      </c>
      <c r="C3345" s="508" t="s">
        <v>107</v>
      </c>
      <c r="D3345" s="508">
        <v>13.58</v>
      </c>
      <c r="E3345" s="461" t="s">
        <v>174</v>
      </c>
    </row>
    <row r="3346" spans="1:5" ht="27" x14ac:dyDescent="0.25">
      <c r="A3346" s="508">
        <v>101555</v>
      </c>
      <c r="B3346" s="509" t="s">
        <v>2638</v>
      </c>
      <c r="C3346" s="508" t="s">
        <v>107</v>
      </c>
      <c r="D3346" s="508">
        <v>8.65</v>
      </c>
      <c r="E3346" s="461" t="s">
        <v>174</v>
      </c>
    </row>
    <row r="3347" spans="1:5" ht="27" x14ac:dyDescent="0.25">
      <c r="A3347" s="508">
        <v>101556</v>
      </c>
      <c r="B3347" s="509" t="s">
        <v>2639</v>
      </c>
      <c r="C3347" s="508" t="s">
        <v>107</v>
      </c>
      <c r="D3347" s="508">
        <v>7.87</v>
      </c>
      <c r="E3347" s="461" t="s">
        <v>174</v>
      </c>
    </row>
    <row r="3348" spans="1:5" ht="27" x14ac:dyDescent="0.25">
      <c r="A3348" s="508">
        <v>101560</v>
      </c>
      <c r="B3348" s="509" t="s">
        <v>2640</v>
      </c>
      <c r="C3348" s="508" t="s">
        <v>5</v>
      </c>
      <c r="D3348" s="508">
        <v>10.9</v>
      </c>
      <c r="E3348" s="461" t="s">
        <v>174</v>
      </c>
    </row>
    <row r="3349" spans="1:5" ht="27" x14ac:dyDescent="0.25">
      <c r="A3349" s="508">
        <v>101561</v>
      </c>
      <c r="B3349" s="509" t="s">
        <v>2641</v>
      </c>
      <c r="C3349" s="508" t="s">
        <v>5</v>
      </c>
      <c r="D3349" s="508">
        <v>17.309999999999999</v>
      </c>
      <c r="E3349" s="461" t="s">
        <v>174</v>
      </c>
    </row>
    <row r="3350" spans="1:5" ht="27" x14ac:dyDescent="0.25">
      <c r="A3350" s="508">
        <v>101562</v>
      </c>
      <c r="B3350" s="509" t="s">
        <v>2642</v>
      </c>
      <c r="C3350" s="508" t="s">
        <v>5</v>
      </c>
      <c r="D3350" s="508">
        <v>26.79</v>
      </c>
      <c r="E3350" s="461" t="s">
        <v>174</v>
      </c>
    </row>
    <row r="3351" spans="1:5" ht="27" x14ac:dyDescent="0.25">
      <c r="A3351" s="508">
        <v>101563</v>
      </c>
      <c r="B3351" s="509" t="s">
        <v>2643</v>
      </c>
      <c r="C3351" s="508" t="s">
        <v>5</v>
      </c>
      <c r="D3351" s="508">
        <v>37.83</v>
      </c>
      <c r="E3351" s="461" t="s">
        <v>174</v>
      </c>
    </row>
    <row r="3352" spans="1:5" ht="27" x14ac:dyDescent="0.25">
      <c r="A3352" s="508">
        <v>101564</v>
      </c>
      <c r="B3352" s="509" t="s">
        <v>2644</v>
      </c>
      <c r="C3352" s="508" t="s">
        <v>5</v>
      </c>
      <c r="D3352" s="508">
        <v>55.9</v>
      </c>
      <c r="E3352" s="461" t="s">
        <v>174</v>
      </c>
    </row>
    <row r="3353" spans="1:5" ht="27" x14ac:dyDescent="0.25">
      <c r="A3353" s="508">
        <v>101565</v>
      </c>
      <c r="B3353" s="509" t="s">
        <v>2645</v>
      </c>
      <c r="C3353" s="508" t="s">
        <v>5</v>
      </c>
      <c r="D3353" s="508">
        <v>78.150000000000006</v>
      </c>
      <c r="E3353" s="461" t="s">
        <v>174</v>
      </c>
    </row>
    <row r="3354" spans="1:5" ht="27" x14ac:dyDescent="0.25">
      <c r="A3354" s="508">
        <v>101567</v>
      </c>
      <c r="B3354" s="509" t="s">
        <v>2646</v>
      </c>
      <c r="C3354" s="508" t="s">
        <v>5</v>
      </c>
      <c r="D3354" s="508">
        <v>101.46</v>
      </c>
      <c r="E3354" s="461" t="s">
        <v>174</v>
      </c>
    </row>
    <row r="3355" spans="1:5" ht="27" x14ac:dyDescent="0.25">
      <c r="A3355" s="508">
        <v>101568</v>
      </c>
      <c r="B3355" s="509" t="s">
        <v>2647</v>
      </c>
      <c r="C3355" s="508" t="s">
        <v>5</v>
      </c>
      <c r="D3355" s="508">
        <v>132.66</v>
      </c>
      <c r="E3355" s="461" t="s">
        <v>174</v>
      </c>
    </row>
    <row r="3356" spans="1:5" ht="15" x14ac:dyDescent="0.25">
      <c r="A3356" s="508">
        <v>101630</v>
      </c>
      <c r="B3356" s="509" t="s">
        <v>2648</v>
      </c>
      <c r="C3356" s="508" t="s">
        <v>107</v>
      </c>
      <c r="D3356" s="508">
        <v>80.19</v>
      </c>
      <c r="E3356" s="461" t="s">
        <v>174</v>
      </c>
    </row>
    <row r="3357" spans="1:5" ht="27" x14ac:dyDescent="0.25">
      <c r="A3357" s="508">
        <v>101632</v>
      </c>
      <c r="B3357" s="509" t="s">
        <v>2649</v>
      </c>
      <c r="C3357" s="508" t="s">
        <v>107</v>
      </c>
      <c r="D3357" s="508">
        <v>22.35</v>
      </c>
      <c r="E3357" s="461" t="s">
        <v>174</v>
      </c>
    </row>
    <row r="3358" spans="1:5" ht="27" x14ac:dyDescent="0.25">
      <c r="A3358" s="508">
        <v>101633</v>
      </c>
      <c r="B3358" s="509" t="s">
        <v>2650</v>
      </c>
      <c r="C3358" s="508" t="s">
        <v>107</v>
      </c>
      <c r="D3358" s="508">
        <v>87.9</v>
      </c>
      <c r="E3358" s="461" t="s">
        <v>174</v>
      </c>
    </row>
    <row r="3359" spans="1:5" ht="27" x14ac:dyDescent="0.25">
      <c r="A3359" s="508">
        <v>101636</v>
      </c>
      <c r="B3359" s="509" t="s">
        <v>2651</v>
      </c>
      <c r="C3359" s="508" t="s">
        <v>107</v>
      </c>
      <c r="D3359" s="508">
        <v>140.05000000000001</v>
      </c>
      <c r="E3359" s="461" t="s">
        <v>174</v>
      </c>
    </row>
    <row r="3360" spans="1:5" ht="27" x14ac:dyDescent="0.25">
      <c r="A3360" s="508">
        <v>101637</v>
      </c>
      <c r="B3360" s="509" t="s">
        <v>2652</v>
      </c>
      <c r="C3360" s="508" t="s">
        <v>107</v>
      </c>
      <c r="D3360" s="508">
        <v>134.37</v>
      </c>
      <c r="E3360" s="461" t="s">
        <v>174</v>
      </c>
    </row>
    <row r="3361" spans="1:5" ht="15" x14ac:dyDescent="0.25">
      <c r="A3361" s="508">
        <v>101651</v>
      </c>
      <c r="B3361" s="509" t="s">
        <v>2653</v>
      </c>
      <c r="C3361" s="508" t="s">
        <v>107</v>
      </c>
      <c r="D3361" s="508">
        <v>67.87</v>
      </c>
      <c r="E3361" s="461" t="s">
        <v>174</v>
      </c>
    </row>
    <row r="3362" spans="1:5" ht="40.5" x14ac:dyDescent="0.25">
      <c r="A3362" s="508">
        <v>101653</v>
      </c>
      <c r="B3362" s="509" t="s">
        <v>2654</v>
      </c>
      <c r="C3362" s="508" t="s">
        <v>107</v>
      </c>
      <c r="D3362" s="508">
        <v>235.92</v>
      </c>
      <c r="E3362" s="461" t="s">
        <v>174</v>
      </c>
    </row>
    <row r="3363" spans="1:5" ht="27" x14ac:dyDescent="0.25">
      <c r="A3363" s="508">
        <v>101654</v>
      </c>
      <c r="B3363" s="509" t="s">
        <v>2655</v>
      </c>
      <c r="C3363" s="508" t="s">
        <v>107</v>
      </c>
      <c r="D3363" s="508">
        <v>222.32</v>
      </c>
      <c r="E3363" s="461" t="s">
        <v>174</v>
      </c>
    </row>
    <row r="3364" spans="1:5" ht="27" x14ac:dyDescent="0.25">
      <c r="A3364" s="508">
        <v>101655</v>
      </c>
      <c r="B3364" s="509" t="s">
        <v>2656</v>
      </c>
      <c r="C3364" s="508" t="s">
        <v>107</v>
      </c>
      <c r="D3364" s="508">
        <v>344.3</v>
      </c>
      <c r="E3364" s="461" t="s">
        <v>174</v>
      </c>
    </row>
    <row r="3365" spans="1:5" ht="27" x14ac:dyDescent="0.25">
      <c r="A3365" s="508">
        <v>101656</v>
      </c>
      <c r="B3365" s="509" t="s">
        <v>2657</v>
      </c>
      <c r="C3365" s="508" t="s">
        <v>107</v>
      </c>
      <c r="D3365" s="508">
        <v>372.78</v>
      </c>
      <c r="E3365" s="461" t="s">
        <v>174</v>
      </c>
    </row>
    <row r="3366" spans="1:5" ht="27" x14ac:dyDescent="0.25">
      <c r="A3366" s="508">
        <v>101657</v>
      </c>
      <c r="B3366" s="509" t="s">
        <v>2658</v>
      </c>
      <c r="C3366" s="508" t="s">
        <v>107</v>
      </c>
      <c r="D3366" s="508">
        <v>433.45</v>
      </c>
      <c r="E3366" s="461" t="s">
        <v>174</v>
      </c>
    </row>
    <row r="3367" spans="1:5" ht="27" x14ac:dyDescent="0.25">
      <c r="A3367" s="508">
        <v>101658</v>
      </c>
      <c r="B3367" s="509" t="s">
        <v>2659</v>
      </c>
      <c r="C3367" s="508" t="s">
        <v>107</v>
      </c>
      <c r="D3367" s="508">
        <v>558.20000000000005</v>
      </c>
      <c r="E3367" s="461" t="s">
        <v>174</v>
      </c>
    </row>
    <row r="3368" spans="1:5" ht="27" x14ac:dyDescent="0.25">
      <c r="A3368" s="508">
        <v>101659</v>
      </c>
      <c r="B3368" s="509" t="s">
        <v>2660</v>
      </c>
      <c r="C3368" s="508" t="s">
        <v>107</v>
      </c>
      <c r="D3368" s="508">
        <v>635.79</v>
      </c>
      <c r="E3368" s="461" t="s">
        <v>174</v>
      </c>
    </row>
    <row r="3369" spans="1:5" ht="27" x14ac:dyDescent="0.25">
      <c r="A3369" s="508">
        <v>101660</v>
      </c>
      <c r="B3369" s="509" t="s">
        <v>2661</v>
      </c>
      <c r="C3369" s="508" t="s">
        <v>107</v>
      </c>
      <c r="D3369" s="508">
        <v>1002.05</v>
      </c>
      <c r="E3369" s="461" t="s">
        <v>174</v>
      </c>
    </row>
    <row r="3370" spans="1:5" ht="27" x14ac:dyDescent="0.25">
      <c r="A3370" s="508">
        <v>101661</v>
      </c>
      <c r="B3370" s="509" t="s">
        <v>2662</v>
      </c>
      <c r="C3370" s="508" t="s">
        <v>107</v>
      </c>
      <c r="D3370" s="508">
        <v>123.48</v>
      </c>
      <c r="E3370" s="461" t="s">
        <v>174</v>
      </c>
    </row>
    <row r="3371" spans="1:5" ht="27" x14ac:dyDescent="0.25">
      <c r="A3371" s="508">
        <v>101663</v>
      </c>
      <c r="B3371" s="509" t="s">
        <v>2663</v>
      </c>
      <c r="C3371" s="508" t="s">
        <v>107</v>
      </c>
      <c r="D3371" s="508">
        <v>29.18</v>
      </c>
      <c r="E3371" s="461" t="s">
        <v>174</v>
      </c>
    </row>
    <row r="3372" spans="1:5" ht="27" x14ac:dyDescent="0.25">
      <c r="A3372" s="508">
        <v>101664</v>
      </c>
      <c r="B3372" s="509" t="s">
        <v>2664</v>
      </c>
      <c r="C3372" s="508" t="s">
        <v>107</v>
      </c>
      <c r="D3372" s="508">
        <v>30.42</v>
      </c>
      <c r="E3372" s="461" t="s">
        <v>174</v>
      </c>
    </row>
    <row r="3373" spans="1:5" ht="27" x14ac:dyDescent="0.25">
      <c r="A3373" s="508">
        <v>101665</v>
      </c>
      <c r="B3373" s="509" t="s">
        <v>2665</v>
      </c>
      <c r="C3373" s="508" t="s">
        <v>107</v>
      </c>
      <c r="D3373" s="508">
        <v>35.79</v>
      </c>
      <c r="E3373" s="461" t="s">
        <v>174</v>
      </c>
    </row>
    <row r="3374" spans="1:5" ht="27" x14ac:dyDescent="0.25">
      <c r="A3374" s="508">
        <v>102085</v>
      </c>
      <c r="B3374" s="509" t="s">
        <v>2666</v>
      </c>
      <c r="C3374" s="508" t="s">
        <v>107</v>
      </c>
      <c r="D3374" s="508">
        <v>133.13999999999999</v>
      </c>
      <c r="E3374" s="461" t="s">
        <v>174</v>
      </c>
    </row>
    <row r="3375" spans="1:5" ht="40.5" x14ac:dyDescent="0.25">
      <c r="A3375" s="508">
        <v>100578</v>
      </c>
      <c r="B3375" s="509" t="s">
        <v>1656</v>
      </c>
      <c r="C3375" s="508" t="s">
        <v>107</v>
      </c>
      <c r="D3375" s="508">
        <v>533.83000000000004</v>
      </c>
      <c r="E3375" s="461" t="s">
        <v>174</v>
      </c>
    </row>
    <row r="3376" spans="1:5" ht="40.5" x14ac:dyDescent="0.25">
      <c r="A3376" s="508">
        <v>100579</v>
      </c>
      <c r="B3376" s="509" t="s">
        <v>1657</v>
      </c>
      <c r="C3376" s="508" t="s">
        <v>107</v>
      </c>
      <c r="D3376" s="508">
        <v>585.59</v>
      </c>
      <c r="E3376" s="461" t="s">
        <v>174</v>
      </c>
    </row>
    <row r="3377" spans="1:5" ht="40.5" x14ac:dyDescent="0.25">
      <c r="A3377" s="508">
        <v>100580</v>
      </c>
      <c r="B3377" s="509" t="s">
        <v>1658</v>
      </c>
      <c r="C3377" s="508" t="s">
        <v>107</v>
      </c>
      <c r="D3377" s="508">
        <v>639.84</v>
      </c>
      <c r="E3377" s="461" t="s">
        <v>174</v>
      </c>
    </row>
    <row r="3378" spans="1:5" ht="40.5" x14ac:dyDescent="0.25">
      <c r="A3378" s="508">
        <v>100581</v>
      </c>
      <c r="B3378" s="509" t="s">
        <v>1659</v>
      </c>
      <c r="C3378" s="508" t="s">
        <v>107</v>
      </c>
      <c r="D3378" s="508">
        <v>611.24</v>
      </c>
      <c r="E3378" s="461" t="s">
        <v>174</v>
      </c>
    </row>
    <row r="3379" spans="1:5" ht="40.5" x14ac:dyDescent="0.25">
      <c r="A3379" s="508">
        <v>100582</v>
      </c>
      <c r="B3379" s="509" t="s">
        <v>1660</v>
      </c>
      <c r="C3379" s="508" t="s">
        <v>107</v>
      </c>
      <c r="D3379" s="508">
        <v>709.04</v>
      </c>
      <c r="E3379" s="461" t="s">
        <v>174</v>
      </c>
    </row>
    <row r="3380" spans="1:5" ht="40.5" x14ac:dyDescent="0.25">
      <c r="A3380" s="508">
        <v>100583</v>
      </c>
      <c r="B3380" s="509" t="s">
        <v>1661</v>
      </c>
      <c r="C3380" s="508" t="s">
        <v>107</v>
      </c>
      <c r="D3380" s="508">
        <v>638.66</v>
      </c>
      <c r="E3380" s="461" t="s">
        <v>174</v>
      </c>
    </row>
    <row r="3381" spans="1:5" ht="40.5" x14ac:dyDescent="0.25">
      <c r="A3381" s="508">
        <v>100584</v>
      </c>
      <c r="B3381" s="509" t="s">
        <v>1662</v>
      </c>
      <c r="C3381" s="508" t="s">
        <v>107</v>
      </c>
      <c r="D3381" s="508">
        <v>697.46</v>
      </c>
      <c r="E3381" s="461" t="s">
        <v>174</v>
      </c>
    </row>
    <row r="3382" spans="1:5" ht="40.5" x14ac:dyDescent="0.25">
      <c r="A3382" s="508">
        <v>100585</v>
      </c>
      <c r="B3382" s="509" t="s">
        <v>1663</v>
      </c>
      <c r="C3382" s="508" t="s">
        <v>107</v>
      </c>
      <c r="D3382" s="508">
        <v>692.01</v>
      </c>
      <c r="E3382" s="461" t="s">
        <v>174</v>
      </c>
    </row>
    <row r="3383" spans="1:5" ht="40.5" x14ac:dyDescent="0.25">
      <c r="A3383" s="508">
        <v>100586</v>
      </c>
      <c r="B3383" s="509" t="s">
        <v>1664</v>
      </c>
      <c r="C3383" s="508" t="s">
        <v>107</v>
      </c>
      <c r="D3383" s="510">
        <v>785.68</v>
      </c>
      <c r="E3383" s="461" t="s">
        <v>174</v>
      </c>
    </row>
    <row r="3384" spans="1:5" ht="40.5" x14ac:dyDescent="0.25">
      <c r="A3384" s="508">
        <v>100587</v>
      </c>
      <c r="B3384" s="509" t="s">
        <v>1665</v>
      </c>
      <c r="C3384" s="508" t="s">
        <v>107</v>
      </c>
      <c r="D3384" s="510">
        <v>747.2</v>
      </c>
      <c r="E3384" s="461" t="s">
        <v>174</v>
      </c>
    </row>
    <row r="3385" spans="1:5" ht="40.5" x14ac:dyDescent="0.25">
      <c r="A3385" s="508">
        <v>100588</v>
      </c>
      <c r="B3385" s="509" t="s">
        <v>1666</v>
      </c>
      <c r="C3385" s="508" t="s">
        <v>107</v>
      </c>
      <c r="D3385" s="510">
        <v>820.02</v>
      </c>
      <c r="E3385" s="461" t="s">
        <v>174</v>
      </c>
    </row>
    <row r="3386" spans="1:5" ht="40.5" x14ac:dyDescent="0.25">
      <c r="A3386" s="508">
        <v>100589</v>
      </c>
      <c r="B3386" s="509" t="s">
        <v>1667</v>
      </c>
      <c r="C3386" s="508" t="s">
        <v>107</v>
      </c>
      <c r="D3386" s="510">
        <v>825.36</v>
      </c>
      <c r="E3386" s="461" t="s">
        <v>174</v>
      </c>
    </row>
    <row r="3387" spans="1:5" ht="40.5" x14ac:dyDescent="0.25">
      <c r="A3387" s="508">
        <v>100590</v>
      </c>
      <c r="B3387" s="509" t="s">
        <v>1668</v>
      </c>
      <c r="C3387" s="508" t="s">
        <v>107</v>
      </c>
      <c r="D3387" s="510">
        <v>897.35</v>
      </c>
      <c r="E3387" s="461" t="s">
        <v>174</v>
      </c>
    </row>
    <row r="3388" spans="1:5" ht="40.5" x14ac:dyDescent="0.25">
      <c r="A3388" s="508">
        <v>100591</v>
      </c>
      <c r="B3388" s="509" t="s">
        <v>1669</v>
      </c>
      <c r="C3388" s="508" t="s">
        <v>107</v>
      </c>
      <c r="D3388" s="510">
        <v>821.48</v>
      </c>
      <c r="E3388" s="461" t="s">
        <v>174</v>
      </c>
    </row>
    <row r="3389" spans="1:5" ht="40.5" x14ac:dyDescent="0.25">
      <c r="A3389" s="508">
        <v>100592</v>
      </c>
      <c r="B3389" s="509" t="s">
        <v>1670</v>
      </c>
      <c r="C3389" s="508" t="s">
        <v>107</v>
      </c>
      <c r="D3389" s="510">
        <v>881.14</v>
      </c>
      <c r="E3389" s="461" t="s">
        <v>174</v>
      </c>
    </row>
    <row r="3390" spans="1:5" ht="40.5" x14ac:dyDescent="0.25">
      <c r="A3390" s="508">
        <v>100593</v>
      </c>
      <c r="B3390" s="509" t="s">
        <v>1671</v>
      </c>
      <c r="C3390" s="508" t="s">
        <v>107</v>
      </c>
      <c r="D3390" s="510">
        <v>879.94</v>
      </c>
      <c r="E3390" s="461" t="s">
        <v>174</v>
      </c>
    </row>
    <row r="3391" spans="1:5" ht="40.5" x14ac:dyDescent="0.25">
      <c r="A3391" s="508">
        <v>100594</v>
      </c>
      <c r="B3391" s="509" t="s">
        <v>1672</v>
      </c>
      <c r="C3391" s="508" t="s">
        <v>107</v>
      </c>
      <c r="D3391" s="510">
        <v>981.06</v>
      </c>
      <c r="E3391" s="461" t="s">
        <v>174</v>
      </c>
    </row>
    <row r="3392" spans="1:5" ht="40.5" x14ac:dyDescent="0.25">
      <c r="A3392" s="508">
        <v>100595</v>
      </c>
      <c r="B3392" s="509" t="s">
        <v>1673</v>
      </c>
      <c r="C3392" s="508" t="s">
        <v>107</v>
      </c>
      <c r="D3392" s="510">
        <v>1055.3499999999999</v>
      </c>
      <c r="E3392" s="461" t="s">
        <v>174</v>
      </c>
    </row>
    <row r="3393" spans="1:5" ht="40.5" x14ac:dyDescent="0.25">
      <c r="A3393" s="508">
        <v>100596</v>
      </c>
      <c r="B3393" s="509" t="s">
        <v>1674</v>
      </c>
      <c r="C3393" s="508" t="s">
        <v>107</v>
      </c>
      <c r="D3393" s="510">
        <v>1191.74</v>
      </c>
      <c r="E3393" s="461" t="s">
        <v>174</v>
      </c>
    </row>
    <row r="3394" spans="1:5" ht="40.5" x14ac:dyDescent="0.25">
      <c r="A3394" s="508">
        <v>100597</v>
      </c>
      <c r="B3394" s="509" t="s">
        <v>1675</v>
      </c>
      <c r="C3394" s="508" t="s">
        <v>107</v>
      </c>
      <c r="D3394" s="510">
        <v>1218.68</v>
      </c>
      <c r="E3394" s="461" t="s">
        <v>174</v>
      </c>
    </row>
    <row r="3395" spans="1:5" ht="40.5" x14ac:dyDescent="0.25">
      <c r="A3395" s="508">
        <v>100598</v>
      </c>
      <c r="B3395" s="509" t="s">
        <v>1676</v>
      </c>
      <c r="C3395" s="508" t="s">
        <v>107</v>
      </c>
      <c r="D3395" s="510">
        <v>1331.13</v>
      </c>
      <c r="E3395" s="461" t="s">
        <v>174</v>
      </c>
    </row>
    <row r="3396" spans="1:5" ht="40.5" x14ac:dyDescent="0.25">
      <c r="A3396" s="508">
        <v>100599</v>
      </c>
      <c r="B3396" s="509" t="s">
        <v>1677</v>
      </c>
      <c r="C3396" s="508" t="s">
        <v>107</v>
      </c>
      <c r="D3396" s="510">
        <v>566.20000000000005</v>
      </c>
      <c r="E3396" s="461" t="s">
        <v>174</v>
      </c>
    </row>
    <row r="3397" spans="1:5" ht="40.5" x14ac:dyDescent="0.25">
      <c r="A3397" s="508">
        <v>100600</v>
      </c>
      <c r="B3397" s="509" t="s">
        <v>1678</v>
      </c>
      <c r="C3397" s="508" t="s">
        <v>107</v>
      </c>
      <c r="D3397" s="510">
        <v>678.83</v>
      </c>
      <c r="E3397" s="461" t="s">
        <v>174</v>
      </c>
    </row>
    <row r="3398" spans="1:5" ht="40.5" x14ac:dyDescent="0.25">
      <c r="A3398" s="508">
        <v>100601</v>
      </c>
      <c r="B3398" s="509" t="s">
        <v>1679</v>
      </c>
      <c r="C3398" s="508" t="s">
        <v>107</v>
      </c>
      <c r="D3398" s="510">
        <v>873.33</v>
      </c>
      <c r="E3398" s="461" t="s">
        <v>174</v>
      </c>
    </row>
    <row r="3399" spans="1:5" ht="40.5" x14ac:dyDescent="0.25">
      <c r="A3399" s="508">
        <v>100602</v>
      </c>
      <c r="B3399" s="509" t="s">
        <v>1680</v>
      </c>
      <c r="C3399" s="508" t="s">
        <v>107</v>
      </c>
      <c r="D3399" s="510">
        <v>1115.9100000000001</v>
      </c>
      <c r="E3399" s="461" t="s">
        <v>174</v>
      </c>
    </row>
    <row r="3400" spans="1:5" ht="40.5" x14ac:dyDescent="0.25">
      <c r="A3400" s="508">
        <v>100603</v>
      </c>
      <c r="B3400" s="509" t="s">
        <v>1681</v>
      </c>
      <c r="C3400" s="508" t="s">
        <v>107</v>
      </c>
      <c r="D3400" s="510">
        <v>1738.36</v>
      </c>
      <c r="E3400" s="461" t="s">
        <v>174</v>
      </c>
    </row>
    <row r="3401" spans="1:5" ht="40.5" x14ac:dyDescent="0.25">
      <c r="A3401" s="508">
        <v>100604</v>
      </c>
      <c r="B3401" s="509" t="s">
        <v>1682</v>
      </c>
      <c r="C3401" s="508" t="s">
        <v>107</v>
      </c>
      <c r="D3401" s="510">
        <v>718.88</v>
      </c>
      <c r="E3401" s="461" t="s">
        <v>174</v>
      </c>
    </row>
    <row r="3402" spans="1:5" ht="40.5" x14ac:dyDescent="0.25">
      <c r="A3402" s="508">
        <v>100605</v>
      </c>
      <c r="B3402" s="509" t="s">
        <v>1683</v>
      </c>
      <c r="C3402" s="508" t="s">
        <v>107</v>
      </c>
      <c r="D3402" s="510">
        <v>1165.77</v>
      </c>
      <c r="E3402" s="461" t="s">
        <v>174</v>
      </c>
    </row>
    <row r="3403" spans="1:5" ht="40.5" x14ac:dyDescent="0.25">
      <c r="A3403" s="508">
        <v>100606</v>
      </c>
      <c r="B3403" s="509" t="s">
        <v>1684</v>
      </c>
      <c r="C3403" s="508" t="s">
        <v>107</v>
      </c>
      <c r="D3403" s="510">
        <v>1800.85</v>
      </c>
      <c r="E3403" s="461" t="s">
        <v>174</v>
      </c>
    </row>
    <row r="3404" spans="1:5" ht="40.5" x14ac:dyDescent="0.25">
      <c r="A3404" s="508">
        <v>100607</v>
      </c>
      <c r="B3404" s="509" t="s">
        <v>1685</v>
      </c>
      <c r="C3404" s="508" t="s">
        <v>107</v>
      </c>
      <c r="D3404" s="510">
        <v>737.81</v>
      </c>
      <c r="E3404" s="461" t="s">
        <v>174</v>
      </c>
    </row>
    <row r="3405" spans="1:5" ht="40.5" x14ac:dyDescent="0.25">
      <c r="A3405" s="508">
        <v>100608</v>
      </c>
      <c r="B3405" s="509" t="s">
        <v>1686</v>
      </c>
      <c r="C3405" s="508" t="s">
        <v>107</v>
      </c>
      <c r="D3405" s="510">
        <v>1190.3699999999999</v>
      </c>
      <c r="E3405" s="461" t="s">
        <v>174</v>
      </c>
    </row>
    <row r="3406" spans="1:5" ht="40.5" x14ac:dyDescent="0.25">
      <c r="A3406" s="508">
        <v>100609</v>
      </c>
      <c r="B3406" s="509" t="s">
        <v>1687</v>
      </c>
      <c r="C3406" s="508" t="s">
        <v>107</v>
      </c>
      <c r="D3406" s="510">
        <v>1834.25</v>
      </c>
      <c r="E3406" s="461" t="s">
        <v>174</v>
      </c>
    </row>
    <row r="3407" spans="1:5" ht="40.5" x14ac:dyDescent="0.25">
      <c r="A3407" s="508">
        <v>100610</v>
      </c>
      <c r="B3407" s="509" t="s">
        <v>1688</v>
      </c>
      <c r="C3407" s="508" t="s">
        <v>107</v>
      </c>
      <c r="D3407" s="510">
        <v>756.65</v>
      </c>
      <c r="E3407" s="461" t="s">
        <v>174</v>
      </c>
    </row>
    <row r="3408" spans="1:5" ht="40.5" x14ac:dyDescent="0.25">
      <c r="A3408" s="508">
        <v>100611</v>
      </c>
      <c r="B3408" s="509" t="s">
        <v>1689</v>
      </c>
      <c r="C3408" s="508" t="s">
        <v>107</v>
      </c>
      <c r="D3408" s="510">
        <v>959.82</v>
      </c>
      <c r="E3408" s="461" t="s">
        <v>174</v>
      </c>
    </row>
    <row r="3409" spans="1:5" ht="40.5" x14ac:dyDescent="0.25">
      <c r="A3409" s="508">
        <v>100612</v>
      </c>
      <c r="B3409" s="509" t="s">
        <v>1690</v>
      </c>
      <c r="C3409" s="508" t="s">
        <v>107</v>
      </c>
      <c r="D3409" s="510">
        <v>1214.4100000000001</v>
      </c>
      <c r="E3409" s="461" t="s">
        <v>174</v>
      </c>
    </row>
    <row r="3410" spans="1:5" ht="40.5" x14ac:dyDescent="0.25">
      <c r="A3410" s="508">
        <v>100613</v>
      </c>
      <c r="B3410" s="509" t="s">
        <v>1691</v>
      </c>
      <c r="C3410" s="508" t="s">
        <v>107</v>
      </c>
      <c r="D3410" s="510">
        <v>1866.79</v>
      </c>
      <c r="E3410" s="461" t="s">
        <v>174</v>
      </c>
    </row>
    <row r="3411" spans="1:5" ht="40.5" x14ac:dyDescent="0.25">
      <c r="A3411" s="508">
        <v>100614</v>
      </c>
      <c r="B3411" s="509" t="s">
        <v>1692</v>
      </c>
      <c r="C3411" s="508" t="s">
        <v>107</v>
      </c>
      <c r="D3411" s="510">
        <v>1002.21</v>
      </c>
      <c r="E3411" s="461" t="s">
        <v>174</v>
      </c>
    </row>
    <row r="3412" spans="1:5" ht="40.5" x14ac:dyDescent="0.25">
      <c r="A3412" s="508">
        <v>100615</v>
      </c>
      <c r="B3412" s="509" t="s">
        <v>1693</v>
      </c>
      <c r="C3412" s="508" t="s">
        <v>107</v>
      </c>
      <c r="D3412" s="510">
        <v>1262.03</v>
      </c>
      <c r="E3412" s="461" t="s">
        <v>174</v>
      </c>
    </row>
    <row r="3413" spans="1:5" ht="40.5" x14ac:dyDescent="0.25">
      <c r="A3413" s="508">
        <v>100616</v>
      </c>
      <c r="B3413" s="509" t="s">
        <v>1694</v>
      </c>
      <c r="C3413" s="508" t="s">
        <v>107</v>
      </c>
      <c r="D3413" s="510">
        <v>1935.08</v>
      </c>
      <c r="E3413" s="461" t="s">
        <v>174</v>
      </c>
    </row>
    <row r="3414" spans="1:5" ht="40.5" x14ac:dyDescent="0.25">
      <c r="A3414" s="508">
        <v>100617</v>
      </c>
      <c r="B3414" s="509" t="s">
        <v>1695</v>
      </c>
      <c r="C3414" s="508" t="s">
        <v>107</v>
      </c>
      <c r="D3414" s="510">
        <v>1309.3699999999999</v>
      </c>
      <c r="E3414" s="461" t="s">
        <v>174</v>
      </c>
    </row>
    <row r="3415" spans="1:5" ht="40.5" x14ac:dyDescent="0.25">
      <c r="A3415" s="508">
        <v>100618</v>
      </c>
      <c r="B3415" s="509" t="s">
        <v>1696</v>
      </c>
      <c r="C3415" s="508" t="s">
        <v>107</v>
      </c>
      <c r="D3415" s="510">
        <v>2011.61</v>
      </c>
      <c r="E3415" s="461" t="s">
        <v>174</v>
      </c>
    </row>
    <row r="3416" spans="1:5" ht="27" x14ac:dyDescent="0.25">
      <c r="A3416" s="508">
        <v>100619</v>
      </c>
      <c r="B3416" s="509" t="s">
        <v>1697</v>
      </c>
      <c r="C3416" s="508" t="s">
        <v>107</v>
      </c>
      <c r="D3416" s="510">
        <v>562.57000000000005</v>
      </c>
      <c r="E3416" s="461" t="s">
        <v>174</v>
      </c>
    </row>
    <row r="3417" spans="1:5" ht="27" x14ac:dyDescent="0.25">
      <c r="A3417" s="508">
        <v>100620</v>
      </c>
      <c r="B3417" s="509" t="s">
        <v>1698</v>
      </c>
      <c r="C3417" s="508" t="s">
        <v>107</v>
      </c>
      <c r="D3417" s="510">
        <v>2506.21</v>
      </c>
      <c r="E3417" s="461" t="s">
        <v>174</v>
      </c>
    </row>
    <row r="3418" spans="1:5" ht="27" x14ac:dyDescent="0.25">
      <c r="A3418" s="508">
        <v>100621</v>
      </c>
      <c r="B3418" s="509" t="s">
        <v>1699</v>
      </c>
      <c r="C3418" s="508" t="s">
        <v>107</v>
      </c>
      <c r="D3418" s="508">
        <v>2878.76</v>
      </c>
      <c r="E3418" s="461" t="s">
        <v>174</v>
      </c>
    </row>
    <row r="3419" spans="1:5" ht="27" x14ac:dyDescent="0.25">
      <c r="A3419" s="508">
        <v>100622</v>
      </c>
      <c r="B3419" s="509" t="s">
        <v>1700</v>
      </c>
      <c r="C3419" s="508" t="s">
        <v>107</v>
      </c>
      <c r="D3419" s="508">
        <v>2190.0700000000002</v>
      </c>
      <c r="E3419" s="461" t="s">
        <v>174</v>
      </c>
    </row>
    <row r="3420" spans="1:5" ht="27" x14ac:dyDescent="0.25">
      <c r="A3420" s="508">
        <v>100623</v>
      </c>
      <c r="B3420" s="509" t="s">
        <v>1701</v>
      </c>
      <c r="C3420" s="508" t="s">
        <v>107</v>
      </c>
      <c r="D3420" s="508">
        <v>2332.6999999999998</v>
      </c>
      <c r="E3420" s="461" t="s">
        <v>174</v>
      </c>
    </row>
    <row r="3421" spans="1:5" ht="27" x14ac:dyDescent="0.25">
      <c r="A3421" s="508">
        <v>97605</v>
      </c>
      <c r="B3421" s="509" t="s">
        <v>1999</v>
      </c>
      <c r="C3421" s="508" t="s">
        <v>107</v>
      </c>
      <c r="D3421" s="508">
        <v>63.9</v>
      </c>
      <c r="E3421" s="461" t="s">
        <v>174</v>
      </c>
    </row>
    <row r="3422" spans="1:5" ht="27" x14ac:dyDescent="0.25">
      <c r="A3422" s="508">
        <v>97607</v>
      </c>
      <c r="B3422" s="509" t="s">
        <v>2000</v>
      </c>
      <c r="C3422" s="508" t="s">
        <v>107</v>
      </c>
      <c r="D3422" s="508">
        <v>76.510000000000005</v>
      </c>
      <c r="E3422" s="461" t="s">
        <v>174</v>
      </c>
    </row>
    <row r="3423" spans="1:5" ht="40.5" x14ac:dyDescent="0.25">
      <c r="A3423" s="508">
        <v>102102</v>
      </c>
      <c r="B3423" s="509" t="s">
        <v>2667</v>
      </c>
      <c r="C3423" s="508" t="s">
        <v>107</v>
      </c>
      <c r="D3423" s="510">
        <v>10933.07</v>
      </c>
      <c r="E3423" s="461" t="s">
        <v>174</v>
      </c>
    </row>
    <row r="3424" spans="1:5" ht="40.5" x14ac:dyDescent="0.25">
      <c r="A3424" s="508">
        <v>102103</v>
      </c>
      <c r="B3424" s="509" t="s">
        <v>2668</v>
      </c>
      <c r="C3424" s="508" t="s">
        <v>107</v>
      </c>
      <c r="D3424" s="510">
        <v>12163.53</v>
      </c>
      <c r="E3424" s="461" t="s">
        <v>174</v>
      </c>
    </row>
    <row r="3425" spans="1:5" ht="40.5" x14ac:dyDescent="0.25">
      <c r="A3425" s="508">
        <v>102104</v>
      </c>
      <c r="B3425" s="509" t="s">
        <v>2669</v>
      </c>
      <c r="C3425" s="508" t="s">
        <v>107</v>
      </c>
      <c r="D3425" s="508">
        <v>15593.75</v>
      </c>
      <c r="E3425" s="461" t="s">
        <v>174</v>
      </c>
    </row>
    <row r="3426" spans="1:5" ht="40.5" x14ac:dyDescent="0.25">
      <c r="A3426" s="508">
        <v>102105</v>
      </c>
      <c r="B3426" s="509" t="s">
        <v>2670</v>
      </c>
      <c r="C3426" s="508" t="s">
        <v>107</v>
      </c>
      <c r="D3426" s="508">
        <v>19157.82</v>
      </c>
      <c r="E3426" s="461" t="s">
        <v>174</v>
      </c>
    </row>
    <row r="3427" spans="1:5" ht="40.5" x14ac:dyDescent="0.25">
      <c r="A3427" s="508">
        <v>102106</v>
      </c>
      <c r="B3427" s="509" t="s">
        <v>2671</v>
      </c>
      <c r="C3427" s="508" t="s">
        <v>107</v>
      </c>
      <c r="D3427" s="508">
        <v>24021.64</v>
      </c>
      <c r="E3427" s="461" t="s">
        <v>174</v>
      </c>
    </row>
    <row r="3428" spans="1:5" ht="40.5" x14ac:dyDescent="0.25">
      <c r="A3428" s="508">
        <v>102107</v>
      </c>
      <c r="B3428" s="509" t="s">
        <v>2672</v>
      </c>
      <c r="C3428" s="508" t="s">
        <v>107</v>
      </c>
      <c r="D3428" s="508">
        <v>33506.019999999997</v>
      </c>
      <c r="E3428" s="461" t="s">
        <v>174</v>
      </c>
    </row>
    <row r="3429" spans="1:5" ht="40.5" x14ac:dyDescent="0.25">
      <c r="A3429" s="508">
        <v>102108</v>
      </c>
      <c r="B3429" s="509" t="s">
        <v>2673</v>
      </c>
      <c r="C3429" s="508" t="s">
        <v>107</v>
      </c>
      <c r="D3429" s="508">
        <v>39012.39</v>
      </c>
      <c r="E3429" s="461" t="s">
        <v>174</v>
      </c>
    </row>
    <row r="3430" spans="1:5" ht="27" x14ac:dyDescent="0.25">
      <c r="A3430" s="508">
        <v>102109</v>
      </c>
      <c r="B3430" s="509" t="s">
        <v>2674</v>
      </c>
      <c r="C3430" s="508" t="s">
        <v>107</v>
      </c>
      <c r="D3430" s="508">
        <v>70.95</v>
      </c>
      <c r="E3430" s="461" t="s">
        <v>174</v>
      </c>
    </row>
    <row r="3431" spans="1:5" ht="27" x14ac:dyDescent="0.25">
      <c r="A3431" s="508">
        <v>102110</v>
      </c>
      <c r="B3431" s="509" t="s">
        <v>2675</v>
      </c>
      <c r="C3431" s="508" t="s">
        <v>107</v>
      </c>
      <c r="D3431" s="508">
        <v>225.73</v>
      </c>
      <c r="E3431" s="461" t="s">
        <v>174</v>
      </c>
    </row>
    <row r="3432" spans="1:5" ht="40.5" x14ac:dyDescent="0.25">
      <c r="A3432" s="508">
        <v>103654</v>
      </c>
      <c r="B3432" s="509" t="s">
        <v>5980</v>
      </c>
      <c r="C3432" s="508" t="s">
        <v>107</v>
      </c>
      <c r="D3432" s="508">
        <v>63168.52</v>
      </c>
      <c r="E3432" s="461" t="s">
        <v>174</v>
      </c>
    </row>
    <row r="3433" spans="1:5" ht="40.5" x14ac:dyDescent="0.25">
      <c r="A3433" s="508">
        <v>103655</v>
      </c>
      <c r="B3433" s="509" t="s">
        <v>5981</v>
      </c>
      <c r="C3433" s="508" t="s">
        <v>107</v>
      </c>
      <c r="D3433" s="510">
        <v>86522.18</v>
      </c>
      <c r="E3433" s="461" t="s">
        <v>174</v>
      </c>
    </row>
    <row r="3434" spans="1:5" ht="40.5" x14ac:dyDescent="0.25">
      <c r="A3434" s="508">
        <v>103656</v>
      </c>
      <c r="B3434" s="509" t="s">
        <v>5982</v>
      </c>
      <c r="C3434" s="508" t="s">
        <v>107</v>
      </c>
      <c r="D3434" s="510">
        <v>120954.71</v>
      </c>
      <c r="E3434" s="461" t="s">
        <v>174</v>
      </c>
    </row>
    <row r="3435" spans="1:5" ht="27" x14ac:dyDescent="0.25">
      <c r="A3435" s="508">
        <v>96973</v>
      </c>
      <c r="B3435" s="509" t="s">
        <v>5983</v>
      </c>
      <c r="C3435" s="508" t="s">
        <v>5</v>
      </c>
      <c r="D3435" s="510">
        <v>73.06</v>
      </c>
      <c r="E3435" s="461" t="s">
        <v>174</v>
      </c>
    </row>
    <row r="3436" spans="1:5" ht="27" x14ac:dyDescent="0.25">
      <c r="A3436" s="508">
        <v>96974</v>
      </c>
      <c r="B3436" s="509" t="s">
        <v>5984</v>
      </c>
      <c r="C3436" s="508" t="s">
        <v>5</v>
      </c>
      <c r="D3436" s="508">
        <v>94.68</v>
      </c>
      <c r="E3436" s="461" t="s">
        <v>174</v>
      </c>
    </row>
    <row r="3437" spans="1:5" ht="27" x14ac:dyDescent="0.25">
      <c r="A3437" s="508">
        <v>96975</v>
      </c>
      <c r="B3437" s="509" t="s">
        <v>5985</v>
      </c>
      <c r="C3437" s="508" t="s">
        <v>5</v>
      </c>
      <c r="D3437" s="508">
        <v>117.4</v>
      </c>
      <c r="E3437" s="461" t="s">
        <v>174</v>
      </c>
    </row>
    <row r="3438" spans="1:5" ht="27" x14ac:dyDescent="0.25">
      <c r="A3438" s="508">
        <v>96976</v>
      </c>
      <c r="B3438" s="509" t="s">
        <v>5986</v>
      </c>
      <c r="C3438" s="508" t="s">
        <v>5</v>
      </c>
      <c r="D3438" s="508">
        <v>155.09</v>
      </c>
      <c r="E3438" s="461" t="s">
        <v>174</v>
      </c>
    </row>
    <row r="3439" spans="1:5" ht="15" x14ac:dyDescent="0.25">
      <c r="A3439" s="508">
        <v>96977</v>
      </c>
      <c r="B3439" s="509" t="s">
        <v>5987</v>
      </c>
      <c r="C3439" s="508" t="s">
        <v>5</v>
      </c>
      <c r="D3439" s="510">
        <v>61.09</v>
      </c>
      <c r="E3439" s="461" t="s">
        <v>174</v>
      </c>
    </row>
    <row r="3440" spans="1:5" ht="15" x14ac:dyDescent="0.25">
      <c r="A3440" s="508">
        <v>96978</v>
      </c>
      <c r="B3440" s="509" t="s">
        <v>5988</v>
      </c>
      <c r="C3440" s="508" t="s">
        <v>5</v>
      </c>
      <c r="D3440" s="508">
        <v>80.47</v>
      </c>
      <c r="E3440" s="461" t="s">
        <v>174</v>
      </c>
    </row>
    <row r="3441" spans="1:5" ht="15" x14ac:dyDescent="0.25">
      <c r="A3441" s="508">
        <v>96979</v>
      </c>
      <c r="B3441" s="509" t="s">
        <v>5989</v>
      </c>
      <c r="C3441" s="508" t="s">
        <v>5</v>
      </c>
      <c r="D3441" s="508">
        <v>115.12</v>
      </c>
      <c r="E3441" s="461" t="s">
        <v>174</v>
      </c>
    </row>
    <row r="3442" spans="1:5" ht="27" x14ac:dyDescent="0.25">
      <c r="A3442" s="508">
        <v>96984</v>
      </c>
      <c r="B3442" s="509" t="s">
        <v>5990</v>
      </c>
      <c r="C3442" s="508" t="s">
        <v>107</v>
      </c>
      <c r="D3442" s="510">
        <v>64.42</v>
      </c>
      <c r="E3442" s="461" t="s">
        <v>174</v>
      </c>
    </row>
    <row r="3443" spans="1:5" ht="27" x14ac:dyDescent="0.25">
      <c r="A3443" s="508">
        <v>96985</v>
      </c>
      <c r="B3443" s="509" t="s">
        <v>5991</v>
      </c>
      <c r="C3443" s="508" t="s">
        <v>107</v>
      </c>
      <c r="D3443" s="508">
        <v>78.180000000000007</v>
      </c>
      <c r="E3443" s="461" t="s">
        <v>174</v>
      </c>
    </row>
    <row r="3444" spans="1:5" ht="27" x14ac:dyDescent="0.25">
      <c r="A3444" s="508">
        <v>96986</v>
      </c>
      <c r="B3444" s="509" t="s">
        <v>5992</v>
      </c>
      <c r="C3444" s="508" t="s">
        <v>107</v>
      </c>
      <c r="D3444" s="508">
        <v>116.83</v>
      </c>
      <c r="E3444" s="461" t="s">
        <v>174</v>
      </c>
    </row>
    <row r="3445" spans="1:5" ht="15" x14ac:dyDescent="0.25">
      <c r="A3445" s="508">
        <v>96987</v>
      </c>
      <c r="B3445" s="509" t="s">
        <v>5993</v>
      </c>
      <c r="C3445" s="508" t="s">
        <v>107</v>
      </c>
      <c r="D3445" s="508">
        <v>119.87</v>
      </c>
      <c r="E3445" s="461" t="s">
        <v>174</v>
      </c>
    </row>
    <row r="3446" spans="1:5" ht="15" x14ac:dyDescent="0.25">
      <c r="A3446" s="508">
        <v>96988</v>
      </c>
      <c r="B3446" s="509" t="s">
        <v>5994</v>
      </c>
      <c r="C3446" s="508" t="s">
        <v>107</v>
      </c>
      <c r="D3446" s="508">
        <v>135.72999999999999</v>
      </c>
      <c r="E3446" s="461" t="s">
        <v>174</v>
      </c>
    </row>
    <row r="3447" spans="1:5" ht="15" x14ac:dyDescent="0.25">
      <c r="A3447" s="508">
        <v>96989</v>
      </c>
      <c r="B3447" s="509" t="s">
        <v>5995</v>
      </c>
      <c r="C3447" s="508" t="s">
        <v>107</v>
      </c>
      <c r="D3447" s="508">
        <v>113.55</v>
      </c>
      <c r="E3447" s="461" t="s">
        <v>174</v>
      </c>
    </row>
    <row r="3448" spans="1:5" ht="27" x14ac:dyDescent="0.25">
      <c r="A3448" s="508">
        <v>98463</v>
      </c>
      <c r="B3448" s="509" t="s">
        <v>5996</v>
      </c>
      <c r="C3448" s="508" t="s">
        <v>107</v>
      </c>
      <c r="D3448" s="508">
        <v>26.31</v>
      </c>
      <c r="E3448" s="461" t="s">
        <v>174</v>
      </c>
    </row>
    <row r="3449" spans="1:5" ht="15" x14ac:dyDescent="0.25">
      <c r="A3449" s="508">
        <v>104746</v>
      </c>
      <c r="B3449" s="509" t="s">
        <v>5997</v>
      </c>
      <c r="C3449" s="508" t="s">
        <v>107</v>
      </c>
      <c r="D3449" s="508">
        <v>26.14</v>
      </c>
      <c r="E3449" s="461" t="s">
        <v>174</v>
      </c>
    </row>
    <row r="3450" spans="1:5" ht="27" x14ac:dyDescent="0.25">
      <c r="A3450" s="508">
        <v>104749</v>
      </c>
      <c r="B3450" s="509" t="s">
        <v>5998</v>
      </c>
      <c r="C3450" s="508" t="s">
        <v>107</v>
      </c>
      <c r="D3450" s="508">
        <v>20.28</v>
      </c>
      <c r="E3450" s="461" t="s">
        <v>174</v>
      </c>
    </row>
    <row r="3451" spans="1:5" ht="27" x14ac:dyDescent="0.25">
      <c r="A3451" s="508">
        <v>104750</v>
      </c>
      <c r="B3451" s="509" t="s">
        <v>5999</v>
      </c>
      <c r="C3451" s="508" t="s">
        <v>107</v>
      </c>
      <c r="D3451" s="508">
        <v>16.54</v>
      </c>
      <c r="E3451" s="461" t="s">
        <v>174</v>
      </c>
    </row>
    <row r="3452" spans="1:5" ht="27" x14ac:dyDescent="0.25">
      <c r="A3452" s="508">
        <v>104751</v>
      </c>
      <c r="B3452" s="509" t="s">
        <v>6000</v>
      </c>
      <c r="C3452" s="508" t="s">
        <v>107</v>
      </c>
      <c r="D3452" s="508">
        <v>22.96</v>
      </c>
      <c r="E3452" s="461" t="s">
        <v>174</v>
      </c>
    </row>
    <row r="3453" spans="1:5" ht="27" x14ac:dyDescent="0.25">
      <c r="A3453" s="508">
        <v>104752</v>
      </c>
      <c r="B3453" s="509" t="s">
        <v>6001</v>
      </c>
      <c r="C3453" s="508" t="s">
        <v>107</v>
      </c>
      <c r="D3453" s="508">
        <v>20.98</v>
      </c>
      <c r="E3453" s="461" t="s">
        <v>174</v>
      </c>
    </row>
    <row r="3454" spans="1:5" ht="27" x14ac:dyDescent="0.25">
      <c r="A3454" s="508">
        <v>104753</v>
      </c>
      <c r="B3454" s="509" t="s">
        <v>6002</v>
      </c>
      <c r="C3454" s="508" t="s">
        <v>107</v>
      </c>
      <c r="D3454" s="508">
        <v>25.23</v>
      </c>
      <c r="E3454" s="461" t="s">
        <v>174</v>
      </c>
    </row>
    <row r="3455" spans="1:5" ht="27" x14ac:dyDescent="0.25">
      <c r="A3455" s="508">
        <v>104754</v>
      </c>
      <c r="B3455" s="509" t="s">
        <v>6003</v>
      </c>
      <c r="C3455" s="508" t="s">
        <v>107</v>
      </c>
      <c r="D3455" s="508">
        <v>32.51</v>
      </c>
      <c r="E3455" s="461" t="s">
        <v>174</v>
      </c>
    </row>
    <row r="3456" spans="1:5" ht="27" x14ac:dyDescent="0.25">
      <c r="A3456" s="508">
        <v>104755</v>
      </c>
      <c r="B3456" s="509" t="s">
        <v>6004</v>
      </c>
      <c r="C3456" s="508" t="s">
        <v>107</v>
      </c>
      <c r="D3456" s="508">
        <v>43.8</v>
      </c>
      <c r="E3456" s="461" t="s">
        <v>174</v>
      </c>
    </row>
    <row r="3457" spans="1:5" ht="27" x14ac:dyDescent="0.25">
      <c r="A3457" s="508">
        <v>103490</v>
      </c>
      <c r="B3457" s="509" t="s">
        <v>4402</v>
      </c>
      <c r="C3457" s="508" t="s">
        <v>163</v>
      </c>
      <c r="D3457" s="508">
        <v>3366.55</v>
      </c>
      <c r="E3457" s="461" t="s">
        <v>174</v>
      </c>
    </row>
    <row r="3458" spans="1:5" ht="27" x14ac:dyDescent="0.25">
      <c r="A3458" s="508">
        <v>103491</v>
      </c>
      <c r="B3458" s="509" t="s">
        <v>4403</v>
      </c>
      <c r="C3458" s="508" t="s">
        <v>163</v>
      </c>
      <c r="D3458" s="508">
        <v>704.29</v>
      </c>
      <c r="E3458" s="461" t="s">
        <v>174</v>
      </c>
    </row>
    <row r="3459" spans="1:5" ht="27" x14ac:dyDescent="0.25">
      <c r="A3459" s="508">
        <v>104758</v>
      </c>
      <c r="B3459" s="509" t="s">
        <v>6005</v>
      </c>
      <c r="C3459" s="508" t="s">
        <v>107</v>
      </c>
      <c r="D3459" s="508">
        <v>16.78</v>
      </c>
      <c r="E3459" s="461" t="s">
        <v>174</v>
      </c>
    </row>
    <row r="3460" spans="1:5" ht="27" x14ac:dyDescent="0.25">
      <c r="A3460" s="508">
        <v>104759</v>
      </c>
      <c r="B3460" s="509" t="s">
        <v>6006</v>
      </c>
      <c r="C3460" s="508" t="s">
        <v>107</v>
      </c>
      <c r="D3460" s="508">
        <v>44.74</v>
      </c>
      <c r="E3460" s="461" t="s">
        <v>174</v>
      </c>
    </row>
    <row r="3461" spans="1:5" ht="27" x14ac:dyDescent="0.25">
      <c r="A3461" s="508">
        <v>104760</v>
      </c>
      <c r="B3461" s="509" t="s">
        <v>6007</v>
      </c>
      <c r="C3461" s="508" t="s">
        <v>107</v>
      </c>
      <c r="D3461" s="508">
        <v>65.34</v>
      </c>
      <c r="E3461" s="461" t="s">
        <v>174</v>
      </c>
    </row>
    <row r="3462" spans="1:5" ht="27" x14ac:dyDescent="0.25">
      <c r="A3462" s="508">
        <v>104761</v>
      </c>
      <c r="B3462" s="509" t="s">
        <v>6008</v>
      </c>
      <c r="C3462" s="508" t="s">
        <v>107</v>
      </c>
      <c r="D3462" s="508">
        <v>10.01</v>
      </c>
      <c r="E3462" s="461" t="s">
        <v>174</v>
      </c>
    </row>
    <row r="3463" spans="1:5" ht="27" x14ac:dyDescent="0.25">
      <c r="A3463" s="508">
        <v>104762</v>
      </c>
      <c r="B3463" s="509" t="s">
        <v>6009</v>
      </c>
      <c r="C3463" s="508" t="s">
        <v>107</v>
      </c>
      <c r="D3463" s="508">
        <v>26.7</v>
      </c>
      <c r="E3463" s="461" t="s">
        <v>174</v>
      </c>
    </row>
    <row r="3464" spans="1:5" ht="27" x14ac:dyDescent="0.25">
      <c r="A3464" s="508">
        <v>104763</v>
      </c>
      <c r="B3464" s="509" t="s">
        <v>6010</v>
      </c>
      <c r="C3464" s="508" t="s">
        <v>107</v>
      </c>
      <c r="D3464" s="508">
        <v>39.01</v>
      </c>
      <c r="E3464" s="461" t="s">
        <v>174</v>
      </c>
    </row>
    <row r="3465" spans="1:5" ht="27" x14ac:dyDescent="0.25">
      <c r="A3465" s="508">
        <v>104764</v>
      </c>
      <c r="B3465" s="509" t="s">
        <v>6011</v>
      </c>
      <c r="C3465" s="508" t="s">
        <v>5</v>
      </c>
      <c r="D3465" s="508">
        <v>21.78</v>
      </c>
      <c r="E3465" s="461" t="s">
        <v>174</v>
      </c>
    </row>
    <row r="3466" spans="1:5" ht="27" x14ac:dyDescent="0.25">
      <c r="A3466" s="508">
        <v>104765</v>
      </c>
      <c r="B3466" s="509" t="s">
        <v>6012</v>
      </c>
      <c r="C3466" s="508" t="s">
        <v>5</v>
      </c>
      <c r="D3466" s="508">
        <v>17.66</v>
      </c>
      <c r="E3466" s="461" t="s">
        <v>174</v>
      </c>
    </row>
    <row r="3467" spans="1:5" ht="27" x14ac:dyDescent="0.25">
      <c r="A3467" s="508">
        <v>104766</v>
      </c>
      <c r="B3467" s="509" t="s">
        <v>6013</v>
      </c>
      <c r="C3467" s="508" t="s">
        <v>5</v>
      </c>
      <c r="D3467" s="508">
        <v>17.22</v>
      </c>
      <c r="E3467" s="461" t="s">
        <v>174</v>
      </c>
    </row>
    <row r="3468" spans="1:5" ht="27" x14ac:dyDescent="0.25">
      <c r="A3468" s="508">
        <v>104768</v>
      </c>
      <c r="B3468" s="509" t="s">
        <v>6014</v>
      </c>
      <c r="C3468" s="508" t="s">
        <v>107</v>
      </c>
      <c r="D3468" s="508">
        <v>0.7</v>
      </c>
      <c r="E3468" s="461" t="s">
        <v>174</v>
      </c>
    </row>
    <row r="3469" spans="1:5" ht="27" x14ac:dyDescent="0.25">
      <c r="A3469" s="508">
        <v>104770</v>
      </c>
      <c r="B3469" s="509" t="s">
        <v>6015</v>
      </c>
      <c r="C3469" s="508" t="s">
        <v>107</v>
      </c>
      <c r="D3469" s="508">
        <v>1.89</v>
      </c>
      <c r="E3469" s="461" t="s">
        <v>174</v>
      </c>
    </row>
    <row r="3470" spans="1:5" ht="27" x14ac:dyDescent="0.25">
      <c r="A3470" s="508">
        <v>104772</v>
      </c>
      <c r="B3470" s="509" t="s">
        <v>6016</v>
      </c>
      <c r="C3470" s="508" t="s">
        <v>107</v>
      </c>
      <c r="D3470" s="508">
        <v>2.77</v>
      </c>
      <c r="E3470" s="461" t="s">
        <v>174</v>
      </c>
    </row>
    <row r="3471" spans="1:5" ht="27" x14ac:dyDescent="0.25">
      <c r="A3471" s="508">
        <v>104774</v>
      </c>
      <c r="B3471" s="509" t="s">
        <v>6017</v>
      </c>
      <c r="C3471" s="508" t="s">
        <v>107</v>
      </c>
      <c r="D3471" s="508">
        <v>2.42</v>
      </c>
      <c r="E3471" s="461" t="s">
        <v>174</v>
      </c>
    </row>
    <row r="3472" spans="1:5" ht="27" x14ac:dyDescent="0.25">
      <c r="A3472" s="508">
        <v>104776</v>
      </c>
      <c r="B3472" s="509" t="s">
        <v>6018</v>
      </c>
      <c r="C3472" s="508" t="s">
        <v>107</v>
      </c>
      <c r="D3472" s="508">
        <v>6.5</v>
      </c>
      <c r="E3472" s="461" t="s">
        <v>174</v>
      </c>
    </row>
    <row r="3473" spans="1:5" ht="27" x14ac:dyDescent="0.25">
      <c r="A3473" s="508">
        <v>104778</v>
      </c>
      <c r="B3473" s="509" t="s">
        <v>6019</v>
      </c>
      <c r="C3473" s="508" t="s">
        <v>107</v>
      </c>
      <c r="D3473" s="508">
        <v>9.5</v>
      </c>
      <c r="E3473" s="461" t="s">
        <v>174</v>
      </c>
    </row>
    <row r="3474" spans="1:5" ht="27" x14ac:dyDescent="0.25">
      <c r="A3474" s="508">
        <v>104780</v>
      </c>
      <c r="B3474" s="509" t="s">
        <v>6020</v>
      </c>
      <c r="C3474" s="508" t="s">
        <v>5</v>
      </c>
      <c r="D3474" s="508">
        <v>5.59</v>
      </c>
      <c r="E3474" s="461" t="s">
        <v>174</v>
      </c>
    </row>
    <row r="3475" spans="1:5" ht="40.5" x14ac:dyDescent="0.25">
      <c r="A3475" s="508">
        <v>104785</v>
      </c>
      <c r="B3475" s="509" t="s">
        <v>6021</v>
      </c>
      <c r="C3475" s="508" t="s">
        <v>5</v>
      </c>
      <c r="D3475" s="508">
        <v>12.54</v>
      </c>
      <c r="E3475" s="461" t="s">
        <v>174</v>
      </c>
    </row>
    <row r="3476" spans="1:5" ht="40.5" x14ac:dyDescent="0.25">
      <c r="A3476" s="508">
        <v>96765</v>
      </c>
      <c r="B3476" s="509" t="s">
        <v>2676</v>
      </c>
      <c r="C3476" s="508" t="s">
        <v>107</v>
      </c>
      <c r="D3476" s="508">
        <v>1481</v>
      </c>
      <c r="E3476" s="461" t="s">
        <v>174</v>
      </c>
    </row>
    <row r="3477" spans="1:5" ht="27" x14ac:dyDescent="0.25">
      <c r="A3477" s="508">
        <v>101905</v>
      </c>
      <c r="B3477" s="509" t="s">
        <v>6022</v>
      </c>
      <c r="C3477" s="508" t="s">
        <v>107</v>
      </c>
      <c r="D3477" s="508">
        <v>222.94</v>
      </c>
      <c r="E3477" s="461" t="s">
        <v>174</v>
      </c>
    </row>
    <row r="3478" spans="1:5" ht="27" x14ac:dyDescent="0.25">
      <c r="A3478" s="508">
        <v>101906</v>
      </c>
      <c r="B3478" s="509" t="s">
        <v>6023</v>
      </c>
      <c r="C3478" s="508" t="s">
        <v>107</v>
      </c>
      <c r="D3478" s="508">
        <v>649.14</v>
      </c>
      <c r="E3478" s="461" t="s">
        <v>174</v>
      </c>
    </row>
    <row r="3479" spans="1:5" ht="27" x14ac:dyDescent="0.25">
      <c r="A3479" s="508">
        <v>101907</v>
      </c>
      <c r="B3479" s="509" t="s">
        <v>6024</v>
      </c>
      <c r="C3479" s="508" t="s">
        <v>107</v>
      </c>
      <c r="D3479" s="508">
        <v>701.07</v>
      </c>
      <c r="E3479" s="461" t="s">
        <v>174</v>
      </c>
    </row>
    <row r="3480" spans="1:5" ht="27" x14ac:dyDescent="0.25">
      <c r="A3480" s="508">
        <v>101908</v>
      </c>
      <c r="B3480" s="509" t="s">
        <v>6025</v>
      </c>
      <c r="C3480" s="508" t="s">
        <v>107</v>
      </c>
      <c r="D3480" s="508">
        <v>216.45</v>
      </c>
      <c r="E3480" s="461" t="s">
        <v>174</v>
      </c>
    </row>
    <row r="3481" spans="1:5" ht="27" x14ac:dyDescent="0.25">
      <c r="A3481" s="508">
        <v>101909</v>
      </c>
      <c r="B3481" s="509" t="s">
        <v>6026</v>
      </c>
      <c r="C3481" s="508" t="s">
        <v>107</v>
      </c>
      <c r="D3481" s="508">
        <v>251.07</v>
      </c>
      <c r="E3481" s="461" t="s">
        <v>174</v>
      </c>
    </row>
    <row r="3482" spans="1:5" ht="27" x14ac:dyDescent="0.25">
      <c r="A3482" s="508">
        <v>101910</v>
      </c>
      <c r="B3482" s="509" t="s">
        <v>6027</v>
      </c>
      <c r="C3482" s="508" t="s">
        <v>107</v>
      </c>
      <c r="D3482" s="508">
        <v>294.33</v>
      </c>
      <c r="E3482" s="461" t="s">
        <v>174</v>
      </c>
    </row>
    <row r="3483" spans="1:5" ht="27" x14ac:dyDescent="0.25">
      <c r="A3483" s="508">
        <v>101911</v>
      </c>
      <c r="B3483" s="509" t="s">
        <v>6028</v>
      </c>
      <c r="C3483" s="508" t="s">
        <v>107</v>
      </c>
      <c r="D3483" s="508">
        <v>337.6</v>
      </c>
      <c r="E3483" s="461" t="s">
        <v>174</v>
      </c>
    </row>
    <row r="3484" spans="1:5" ht="40.5" x14ac:dyDescent="0.25">
      <c r="A3484" s="508">
        <v>101912</v>
      </c>
      <c r="B3484" s="509" t="s">
        <v>2677</v>
      </c>
      <c r="C3484" s="508" t="s">
        <v>107</v>
      </c>
      <c r="D3484" s="508">
        <v>1922.76</v>
      </c>
      <c r="E3484" s="461" t="s">
        <v>174</v>
      </c>
    </row>
    <row r="3485" spans="1:5" ht="15" x14ac:dyDescent="0.25">
      <c r="A3485" s="508">
        <v>101913</v>
      </c>
      <c r="B3485" s="509" t="s">
        <v>2678</v>
      </c>
      <c r="C3485" s="508" t="s">
        <v>107</v>
      </c>
      <c r="D3485" s="508">
        <v>352.61</v>
      </c>
      <c r="E3485" s="461" t="s">
        <v>174</v>
      </c>
    </row>
    <row r="3486" spans="1:5" ht="15" x14ac:dyDescent="0.25">
      <c r="A3486" s="508">
        <v>101914</v>
      </c>
      <c r="B3486" s="509" t="s">
        <v>2679</v>
      </c>
      <c r="C3486" s="508" t="s">
        <v>107</v>
      </c>
      <c r="D3486" s="508">
        <v>449.76</v>
      </c>
      <c r="E3486" s="461" t="s">
        <v>174</v>
      </c>
    </row>
    <row r="3487" spans="1:5" ht="27" x14ac:dyDescent="0.25">
      <c r="A3487" s="508">
        <v>101915</v>
      </c>
      <c r="B3487" s="509" t="s">
        <v>2680</v>
      </c>
      <c r="C3487" s="508" t="s">
        <v>107</v>
      </c>
      <c r="D3487" s="508">
        <v>362.63</v>
      </c>
      <c r="E3487" s="461" t="s">
        <v>174</v>
      </c>
    </row>
    <row r="3488" spans="1:5" ht="27" x14ac:dyDescent="0.25">
      <c r="A3488" s="508">
        <v>101916</v>
      </c>
      <c r="B3488" s="509" t="s">
        <v>2681</v>
      </c>
      <c r="C3488" s="508" t="s">
        <v>107</v>
      </c>
      <c r="D3488" s="508">
        <v>3564.63</v>
      </c>
      <c r="E3488" s="461" t="s">
        <v>174</v>
      </c>
    </row>
    <row r="3489" spans="1:5" ht="27" x14ac:dyDescent="0.25">
      <c r="A3489" s="508">
        <v>101917</v>
      </c>
      <c r="B3489" s="509" t="s">
        <v>2682</v>
      </c>
      <c r="C3489" s="508" t="s">
        <v>107</v>
      </c>
      <c r="D3489" s="508">
        <v>150.41</v>
      </c>
      <c r="E3489" s="461" t="s">
        <v>174</v>
      </c>
    </row>
    <row r="3490" spans="1:5" ht="27" x14ac:dyDescent="0.25">
      <c r="A3490" s="508">
        <v>98261</v>
      </c>
      <c r="B3490" s="509" t="s">
        <v>1702</v>
      </c>
      <c r="C3490" s="508" t="s">
        <v>5</v>
      </c>
      <c r="D3490" s="508">
        <v>4.3099999999999996</v>
      </c>
      <c r="E3490" s="461" t="s">
        <v>174</v>
      </c>
    </row>
    <row r="3491" spans="1:5" ht="27" x14ac:dyDescent="0.25">
      <c r="A3491" s="508">
        <v>98262</v>
      </c>
      <c r="B3491" s="509" t="s">
        <v>1703</v>
      </c>
      <c r="C3491" s="508" t="s">
        <v>5</v>
      </c>
      <c r="D3491" s="508">
        <v>5.27</v>
      </c>
      <c r="E3491" s="461" t="s">
        <v>174</v>
      </c>
    </row>
    <row r="3492" spans="1:5" ht="27" x14ac:dyDescent="0.25">
      <c r="A3492" s="508">
        <v>98263</v>
      </c>
      <c r="B3492" s="509" t="s">
        <v>1704</v>
      </c>
      <c r="C3492" s="508" t="s">
        <v>5</v>
      </c>
      <c r="D3492" s="508">
        <v>5.5</v>
      </c>
      <c r="E3492" s="461" t="s">
        <v>174</v>
      </c>
    </row>
    <row r="3493" spans="1:5" ht="27" x14ac:dyDescent="0.25">
      <c r="A3493" s="508">
        <v>98264</v>
      </c>
      <c r="B3493" s="509" t="s">
        <v>1705</v>
      </c>
      <c r="C3493" s="508" t="s">
        <v>5</v>
      </c>
      <c r="D3493" s="508">
        <v>6.54</v>
      </c>
      <c r="E3493" s="461" t="s">
        <v>174</v>
      </c>
    </row>
    <row r="3494" spans="1:5" ht="27" x14ac:dyDescent="0.25">
      <c r="A3494" s="508">
        <v>98265</v>
      </c>
      <c r="B3494" s="509" t="s">
        <v>1706</v>
      </c>
      <c r="C3494" s="508" t="s">
        <v>5</v>
      </c>
      <c r="D3494" s="508">
        <v>7.22</v>
      </c>
      <c r="E3494" s="461" t="s">
        <v>174</v>
      </c>
    </row>
    <row r="3495" spans="1:5" ht="27" x14ac:dyDescent="0.25">
      <c r="A3495" s="508">
        <v>98266</v>
      </c>
      <c r="B3495" s="509" t="s">
        <v>1707</v>
      </c>
      <c r="C3495" s="508" t="s">
        <v>5</v>
      </c>
      <c r="D3495" s="508">
        <v>8.15</v>
      </c>
      <c r="E3495" s="461" t="s">
        <v>174</v>
      </c>
    </row>
    <row r="3496" spans="1:5" ht="27" x14ac:dyDescent="0.25">
      <c r="A3496" s="508">
        <v>98267</v>
      </c>
      <c r="B3496" s="509" t="s">
        <v>1708</v>
      </c>
      <c r="C3496" s="508" t="s">
        <v>5</v>
      </c>
      <c r="D3496" s="508">
        <v>12.81</v>
      </c>
      <c r="E3496" s="461" t="s">
        <v>174</v>
      </c>
    </row>
    <row r="3497" spans="1:5" ht="27" x14ac:dyDescent="0.25">
      <c r="A3497" s="508">
        <v>98268</v>
      </c>
      <c r="B3497" s="509" t="s">
        <v>1709</v>
      </c>
      <c r="C3497" s="508" t="s">
        <v>5</v>
      </c>
      <c r="D3497" s="508">
        <v>20.39</v>
      </c>
      <c r="E3497" s="461" t="s">
        <v>174</v>
      </c>
    </row>
    <row r="3498" spans="1:5" ht="27" x14ac:dyDescent="0.25">
      <c r="A3498" s="508">
        <v>98269</v>
      </c>
      <c r="B3498" s="509" t="s">
        <v>1710</v>
      </c>
      <c r="C3498" s="508" t="s">
        <v>5</v>
      </c>
      <c r="D3498" s="508">
        <v>27.7</v>
      </c>
      <c r="E3498" s="461" t="s">
        <v>174</v>
      </c>
    </row>
    <row r="3499" spans="1:5" ht="27" x14ac:dyDescent="0.25">
      <c r="A3499" s="508">
        <v>98270</v>
      </c>
      <c r="B3499" s="509" t="s">
        <v>1711</v>
      </c>
      <c r="C3499" s="508" t="s">
        <v>5</v>
      </c>
      <c r="D3499" s="508">
        <v>41.55</v>
      </c>
      <c r="E3499" s="461" t="s">
        <v>174</v>
      </c>
    </row>
    <row r="3500" spans="1:5" ht="27" x14ac:dyDescent="0.25">
      <c r="A3500" s="508">
        <v>98271</v>
      </c>
      <c r="B3500" s="509" t="s">
        <v>1712</v>
      </c>
      <c r="C3500" s="508" t="s">
        <v>5</v>
      </c>
      <c r="D3500" s="508">
        <v>58.23</v>
      </c>
      <c r="E3500" s="461" t="s">
        <v>174</v>
      </c>
    </row>
    <row r="3501" spans="1:5" ht="27" x14ac:dyDescent="0.25">
      <c r="A3501" s="508">
        <v>98272</v>
      </c>
      <c r="B3501" s="509" t="s">
        <v>1713</v>
      </c>
      <c r="C3501" s="508" t="s">
        <v>5</v>
      </c>
      <c r="D3501" s="508">
        <v>132.88</v>
      </c>
      <c r="E3501" s="461" t="s">
        <v>174</v>
      </c>
    </row>
    <row r="3502" spans="1:5" ht="27" x14ac:dyDescent="0.25">
      <c r="A3502" s="508">
        <v>98273</v>
      </c>
      <c r="B3502" s="509" t="s">
        <v>1714</v>
      </c>
      <c r="C3502" s="508" t="s">
        <v>5</v>
      </c>
      <c r="D3502" s="508">
        <v>3.15</v>
      </c>
      <c r="E3502" s="461" t="s">
        <v>174</v>
      </c>
    </row>
    <row r="3503" spans="1:5" ht="27" x14ac:dyDescent="0.25">
      <c r="A3503" s="508">
        <v>98274</v>
      </c>
      <c r="B3503" s="509" t="s">
        <v>1715</v>
      </c>
      <c r="C3503" s="508" t="s">
        <v>5</v>
      </c>
      <c r="D3503" s="508">
        <v>3.83</v>
      </c>
      <c r="E3503" s="461" t="s">
        <v>174</v>
      </c>
    </row>
    <row r="3504" spans="1:5" ht="27" x14ac:dyDescent="0.25">
      <c r="A3504" s="508">
        <v>98275</v>
      </c>
      <c r="B3504" s="509" t="s">
        <v>1716</v>
      </c>
      <c r="C3504" s="508" t="s">
        <v>5</v>
      </c>
      <c r="D3504" s="508">
        <v>4.7699999999999996</v>
      </c>
      <c r="E3504" s="461" t="s">
        <v>174</v>
      </c>
    </row>
    <row r="3505" spans="1:5" ht="27" x14ac:dyDescent="0.25">
      <c r="A3505" s="508">
        <v>98276</v>
      </c>
      <c r="B3505" s="509" t="s">
        <v>1717</v>
      </c>
      <c r="C3505" s="508" t="s">
        <v>5</v>
      </c>
      <c r="D3505" s="508">
        <v>9.42</v>
      </c>
      <c r="E3505" s="461" t="s">
        <v>174</v>
      </c>
    </row>
    <row r="3506" spans="1:5" ht="27" x14ac:dyDescent="0.25">
      <c r="A3506" s="508">
        <v>98277</v>
      </c>
      <c r="B3506" s="509" t="s">
        <v>1718</v>
      </c>
      <c r="C3506" s="508" t="s">
        <v>5</v>
      </c>
      <c r="D3506" s="508">
        <v>17.02</v>
      </c>
      <c r="E3506" s="461" t="s">
        <v>174</v>
      </c>
    </row>
    <row r="3507" spans="1:5" ht="27" x14ac:dyDescent="0.25">
      <c r="A3507" s="508">
        <v>98278</v>
      </c>
      <c r="B3507" s="509" t="s">
        <v>1719</v>
      </c>
      <c r="C3507" s="508" t="s">
        <v>5</v>
      </c>
      <c r="D3507" s="508">
        <v>24.33</v>
      </c>
      <c r="E3507" s="461" t="s">
        <v>174</v>
      </c>
    </row>
    <row r="3508" spans="1:5" ht="27" x14ac:dyDescent="0.25">
      <c r="A3508" s="508">
        <v>98279</v>
      </c>
      <c r="B3508" s="509" t="s">
        <v>1720</v>
      </c>
      <c r="C3508" s="508" t="s">
        <v>5</v>
      </c>
      <c r="D3508" s="508">
        <v>38.159999999999997</v>
      </c>
      <c r="E3508" s="461" t="s">
        <v>174</v>
      </c>
    </row>
    <row r="3509" spans="1:5" ht="27" x14ac:dyDescent="0.25">
      <c r="A3509" s="508">
        <v>98280</v>
      </c>
      <c r="B3509" s="509" t="s">
        <v>1721</v>
      </c>
      <c r="C3509" s="508" t="s">
        <v>5</v>
      </c>
      <c r="D3509" s="508">
        <v>8.66</v>
      </c>
      <c r="E3509" s="461" t="s">
        <v>174</v>
      </c>
    </row>
    <row r="3510" spans="1:5" ht="27" x14ac:dyDescent="0.25">
      <c r="A3510" s="508">
        <v>98281</v>
      </c>
      <c r="B3510" s="509" t="s">
        <v>1722</v>
      </c>
      <c r="C3510" s="508" t="s">
        <v>5</v>
      </c>
      <c r="D3510" s="508">
        <v>9.6199999999999992</v>
      </c>
      <c r="E3510" s="461" t="s">
        <v>174</v>
      </c>
    </row>
    <row r="3511" spans="1:5" ht="27" x14ac:dyDescent="0.25">
      <c r="A3511" s="508">
        <v>98282</v>
      </c>
      <c r="B3511" s="509" t="s">
        <v>1723</v>
      </c>
      <c r="C3511" s="508" t="s">
        <v>5</v>
      </c>
      <c r="D3511" s="508">
        <v>9.85</v>
      </c>
      <c r="E3511" s="461" t="s">
        <v>174</v>
      </c>
    </row>
    <row r="3512" spans="1:5" ht="27" x14ac:dyDescent="0.25">
      <c r="A3512" s="508">
        <v>98283</v>
      </c>
      <c r="B3512" s="509" t="s">
        <v>1724</v>
      </c>
      <c r="C3512" s="508" t="s">
        <v>5</v>
      </c>
      <c r="D3512" s="508">
        <v>10.89</v>
      </c>
      <c r="E3512" s="461" t="s">
        <v>174</v>
      </c>
    </row>
    <row r="3513" spans="1:5" ht="27" x14ac:dyDescent="0.25">
      <c r="A3513" s="508">
        <v>98284</v>
      </c>
      <c r="B3513" s="509" t="s">
        <v>1725</v>
      </c>
      <c r="C3513" s="508" t="s">
        <v>5</v>
      </c>
      <c r="D3513" s="508">
        <v>11.57</v>
      </c>
      <c r="E3513" s="461" t="s">
        <v>174</v>
      </c>
    </row>
    <row r="3514" spans="1:5" ht="27" x14ac:dyDescent="0.25">
      <c r="A3514" s="508">
        <v>98285</v>
      </c>
      <c r="B3514" s="509" t="s">
        <v>1726</v>
      </c>
      <c r="C3514" s="508" t="s">
        <v>5</v>
      </c>
      <c r="D3514" s="508">
        <v>12.5</v>
      </c>
      <c r="E3514" s="461" t="s">
        <v>174</v>
      </c>
    </row>
    <row r="3515" spans="1:5" ht="27" x14ac:dyDescent="0.25">
      <c r="A3515" s="508">
        <v>98286</v>
      </c>
      <c r="B3515" s="509" t="s">
        <v>1727</v>
      </c>
      <c r="C3515" s="508" t="s">
        <v>5</v>
      </c>
      <c r="D3515" s="508">
        <v>17.16</v>
      </c>
      <c r="E3515" s="461" t="s">
        <v>174</v>
      </c>
    </row>
    <row r="3516" spans="1:5" ht="27" x14ac:dyDescent="0.25">
      <c r="A3516" s="508">
        <v>98287</v>
      </c>
      <c r="B3516" s="509" t="s">
        <v>1728</v>
      </c>
      <c r="C3516" s="508" t="s">
        <v>5</v>
      </c>
      <c r="D3516" s="508">
        <v>1.69</v>
      </c>
      <c r="E3516" s="461" t="s">
        <v>174</v>
      </c>
    </row>
    <row r="3517" spans="1:5" ht="27" x14ac:dyDescent="0.25">
      <c r="A3517" s="508">
        <v>98288</v>
      </c>
      <c r="B3517" s="509" t="s">
        <v>1729</v>
      </c>
      <c r="C3517" s="508" t="s">
        <v>5</v>
      </c>
      <c r="D3517" s="508">
        <v>2.66</v>
      </c>
      <c r="E3517" s="461" t="s">
        <v>174</v>
      </c>
    </row>
    <row r="3518" spans="1:5" ht="27" x14ac:dyDescent="0.25">
      <c r="A3518" s="508">
        <v>98289</v>
      </c>
      <c r="B3518" s="509" t="s">
        <v>1730</v>
      </c>
      <c r="C3518" s="508" t="s">
        <v>5</v>
      </c>
      <c r="D3518" s="508">
        <v>2.89</v>
      </c>
      <c r="E3518" s="461" t="s">
        <v>174</v>
      </c>
    </row>
    <row r="3519" spans="1:5" ht="27" x14ac:dyDescent="0.25">
      <c r="A3519" s="508">
        <v>98290</v>
      </c>
      <c r="B3519" s="509" t="s">
        <v>1731</v>
      </c>
      <c r="C3519" s="508" t="s">
        <v>5</v>
      </c>
      <c r="D3519" s="508">
        <v>3.92</v>
      </c>
      <c r="E3519" s="461" t="s">
        <v>174</v>
      </c>
    </row>
    <row r="3520" spans="1:5" ht="27" x14ac:dyDescent="0.25">
      <c r="A3520" s="508">
        <v>98291</v>
      </c>
      <c r="B3520" s="509" t="s">
        <v>1732</v>
      </c>
      <c r="C3520" s="508" t="s">
        <v>5</v>
      </c>
      <c r="D3520" s="508">
        <v>4.5999999999999996</v>
      </c>
      <c r="E3520" s="461" t="s">
        <v>174</v>
      </c>
    </row>
    <row r="3521" spans="1:5" ht="27" x14ac:dyDescent="0.25">
      <c r="A3521" s="508">
        <v>98292</v>
      </c>
      <c r="B3521" s="509" t="s">
        <v>1733</v>
      </c>
      <c r="C3521" s="508" t="s">
        <v>5</v>
      </c>
      <c r="D3521" s="508">
        <v>5.54</v>
      </c>
      <c r="E3521" s="461" t="s">
        <v>174</v>
      </c>
    </row>
    <row r="3522" spans="1:5" ht="27" x14ac:dyDescent="0.25">
      <c r="A3522" s="508">
        <v>98293</v>
      </c>
      <c r="B3522" s="509" t="s">
        <v>1734</v>
      </c>
      <c r="C3522" s="508" t="s">
        <v>5</v>
      </c>
      <c r="D3522" s="508">
        <v>10.19</v>
      </c>
      <c r="E3522" s="461" t="s">
        <v>174</v>
      </c>
    </row>
    <row r="3523" spans="1:5" ht="27" x14ac:dyDescent="0.25">
      <c r="A3523" s="508">
        <v>98400</v>
      </c>
      <c r="B3523" s="509" t="s">
        <v>1735</v>
      </c>
      <c r="C3523" s="508" t="s">
        <v>5</v>
      </c>
      <c r="D3523" s="508">
        <v>15.63</v>
      </c>
      <c r="E3523" s="461" t="s">
        <v>174</v>
      </c>
    </row>
    <row r="3524" spans="1:5" ht="27" x14ac:dyDescent="0.25">
      <c r="A3524" s="508">
        <v>98401</v>
      </c>
      <c r="B3524" s="509" t="s">
        <v>1736</v>
      </c>
      <c r="C3524" s="508" t="s">
        <v>5</v>
      </c>
      <c r="D3524" s="508">
        <v>24.29</v>
      </c>
      <c r="E3524" s="461" t="s">
        <v>174</v>
      </c>
    </row>
    <row r="3525" spans="1:5" ht="27" x14ac:dyDescent="0.25">
      <c r="A3525" s="508">
        <v>98402</v>
      </c>
      <c r="B3525" s="509" t="s">
        <v>1737</v>
      </c>
      <c r="C3525" s="508" t="s">
        <v>5</v>
      </c>
      <c r="D3525" s="508">
        <v>28.31</v>
      </c>
      <c r="E3525" s="461" t="s">
        <v>174</v>
      </c>
    </row>
    <row r="3526" spans="1:5" ht="27" x14ac:dyDescent="0.25">
      <c r="A3526" s="508">
        <v>100556</v>
      </c>
      <c r="B3526" s="509" t="s">
        <v>1738</v>
      </c>
      <c r="C3526" s="508" t="s">
        <v>107</v>
      </c>
      <c r="D3526" s="508">
        <v>37.42</v>
      </c>
      <c r="E3526" s="461" t="s">
        <v>174</v>
      </c>
    </row>
    <row r="3527" spans="1:5" ht="27" x14ac:dyDescent="0.25">
      <c r="A3527" s="508">
        <v>100557</v>
      </c>
      <c r="B3527" s="509" t="s">
        <v>1739</v>
      </c>
      <c r="C3527" s="508" t="s">
        <v>107</v>
      </c>
      <c r="D3527" s="508">
        <v>394.61</v>
      </c>
      <c r="E3527" s="461" t="s">
        <v>174</v>
      </c>
    </row>
    <row r="3528" spans="1:5" ht="27" x14ac:dyDescent="0.25">
      <c r="A3528" s="508">
        <v>100560</v>
      </c>
      <c r="B3528" s="509" t="s">
        <v>1740</v>
      </c>
      <c r="C3528" s="508" t="s">
        <v>107</v>
      </c>
      <c r="D3528" s="508">
        <v>101.95</v>
      </c>
      <c r="E3528" s="461" t="s">
        <v>174</v>
      </c>
    </row>
    <row r="3529" spans="1:5" ht="27" x14ac:dyDescent="0.25">
      <c r="A3529" s="508">
        <v>100561</v>
      </c>
      <c r="B3529" s="509" t="s">
        <v>1741</v>
      </c>
      <c r="C3529" s="508" t="s">
        <v>107</v>
      </c>
      <c r="D3529" s="508">
        <v>174.33</v>
      </c>
      <c r="E3529" s="461" t="s">
        <v>174</v>
      </c>
    </row>
    <row r="3530" spans="1:5" ht="27" x14ac:dyDescent="0.25">
      <c r="A3530" s="508">
        <v>100562</v>
      </c>
      <c r="B3530" s="509" t="s">
        <v>1742</v>
      </c>
      <c r="C3530" s="508" t="s">
        <v>107</v>
      </c>
      <c r="D3530" s="508">
        <v>262.62</v>
      </c>
      <c r="E3530" s="461" t="s">
        <v>174</v>
      </c>
    </row>
    <row r="3531" spans="1:5" ht="27" x14ac:dyDescent="0.25">
      <c r="A3531" s="508">
        <v>100563</v>
      </c>
      <c r="B3531" s="509" t="s">
        <v>1743</v>
      </c>
      <c r="C3531" s="508" t="s">
        <v>107</v>
      </c>
      <c r="D3531" s="508">
        <v>372.76</v>
      </c>
      <c r="E3531" s="461" t="s">
        <v>174</v>
      </c>
    </row>
    <row r="3532" spans="1:5" ht="27" x14ac:dyDescent="0.25">
      <c r="A3532" s="508">
        <v>101795</v>
      </c>
      <c r="B3532" s="509" t="s">
        <v>2683</v>
      </c>
      <c r="C3532" s="508" t="s">
        <v>107</v>
      </c>
      <c r="D3532" s="508">
        <v>631.59</v>
      </c>
      <c r="E3532" s="461" t="s">
        <v>174</v>
      </c>
    </row>
    <row r="3533" spans="1:5" ht="27" x14ac:dyDescent="0.25">
      <c r="A3533" s="508">
        <v>101798</v>
      </c>
      <c r="B3533" s="509" t="s">
        <v>2684</v>
      </c>
      <c r="C3533" s="508" t="s">
        <v>107</v>
      </c>
      <c r="D3533" s="508">
        <v>401.54</v>
      </c>
      <c r="E3533" s="461" t="s">
        <v>174</v>
      </c>
    </row>
    <row r="3534" spans="1:5" ht="27" x14ac:dyDescent="0.25">
      <c r="A3534" s="508">
        <v>101799</v>
      </c>
      <c r="B3534" s="509" t="s">
        <v>2685</v>
      </c>
      <c r="C3534" s="508" t="s">
        <v>107</v>
      </c>
      <c r="D3534" s="508">
        <v>972.09</v>
      </c>
      <c r="E3534" s="461" t="s">
        <v>174</v>
      </c>
    </row>
    <row r="3535" spans="1:5" ht="15" x14ac:dyDescent="0.25">
      <c r="A3535" s="508">
        <v>98397</v>
      </c>
      <c r="B3535" s="509" t="s">
        <v>6029</v>
      </c>
      <c r="C3535" s="508" t="s">
        <v>150</v>
      </c>
      <c r="D3535" s="508">
        <v>12.11</v>
      </c>
      <c r="E3535" s="461" t="s">
        <v>174</v>
      </c>
    </row>
    <row r="3536" spans="1:5" ht="27" x14ac:dyDescent="0.25">
      <c r="A3536" s="508">
        <v>103244</v>
      </c>
      <c r="B3536" s="509" t="s">
        <v>6030</v>
      </c>
      <c r="C3536" s="508" t="s">
        <v>107</v>
      </c>
      <c r="D3536" s="508">
        <v>2667.93</v>
      </c>
      <c r="E3536" s="461" t="s">
        <v>174</v>
      </c>
    </row>
    <row r="3537" spans="1:5" ht="27" x14ac:dyDescent="0.25">
      <c r="A3537" s="508">
        <v>103245</v>
      </c>
      <c r="B3537" s="509" t="s">
        <v>6031</v>
      </c>
      <c r="C3537" s="508" t="s">
        <v>107</v>
      </c>
      <c r="D3537" s="508">
        <v>2100.79</v>
      </c>
      <c r="E3537" s="461" t="s">
        <v>174</v>
      </c>
    </row>
    <row r="3538" spans="1:5" ht="27" x14ac:dyDescent="0.25">
      <c r="A3538" s="508">
        <v>103246</v>
      </c>
      <c r="B3538" s="509" t="s">
        <v>6032</v>
      </c>
      <c r="C3538" s="508" t="s">
        <v>107</v>
      </c>
      <c r="D3538" s="508">
        <v>2292.58</v>
      </c>
      <c r="E3538" s="461" t="s">
        <v>174</v>
      </c>
    </row>
    <row r="3539" spans="1:5" ht="27" x14ac:dyDescent="0.25">
      <c r="A3539" s="508">
        <v>103247</v>
      </c>
      <c r="B3539" s="509" t="s">
        <v>6033</v>
      </c>
      <c r="C3539" s="508" t="s">
        <v>107</v>
      </c>
      <c r="D3539" s="508">
        <v>2962.92</v>
      </c>
      <c r="E3539" s="461" t="s">
        <v>174</v>
      </c>
    </row>
    <row r="3540" spans="1:5" ht="27" x14ac:dyDescent="0.25">
      <c r="A3540" s="508">
        <v>103248</v>
      </c>
      <c r="B3540" s="509" t="s">
        <v>6034</v>
      </c>
      <c r="C3540" s="508" t="s">
        <v>107</v>
      </c>
      <c r="D3540" s="508">
        <v>2418.17</v>
      </c>
      <c r="E3540" s="461" t="s">
        <v>174</v>
      </c>
    </row>
    <row r="3541" spans="1:5" ht="27" x14ac:dyDescent="0.25">
      <c r="A3541" s="508">
        <v>103249</v>
      </c>
      <c r="B3541" s="509" t="s">
        <v>6035</v>
      </c>
      <c r="C3541" s="508" t="s">
        <v>107</v>
      </c>
      <c r="D3541" s="508">
        <v>2599.1799999999998</v>
      </c>
      <c r="E3541" s="461" t="s">
        <v>174</v>
      </c>
    </row>
    <row r="3542" spans="1:5" ht="27" x14ac:dyDescent="0.25">
      <c r="A3542" s="508">
        <v>103250</v>
      </c>
      <c r="B3542" s="509" t="s">
        <v>6036</v>
      </c>
      <c r="C3542" s="508" t="s">
        <v>107</v>
      </c>
      <c r="D3542" s="508">
        <v>4310.5600000000004</v>
      </c>
      <c r="E3542" s="461" t="s">
        <v>174</v>
      </c>
    </row>
    <row r="3543" spans="1:5" ht="27" x14ac:dyDescent="0.25">
      <c r="A3543" s="508">
        <v>103251</v>
      </c>
      <c r="B3543" s="509" t="s">
        <v>6037</v>
      </c>
      <c r="C3543" s="508" t="s">
        <v>107</v>
      </c>
      <c r="D3543" s="508">
        <v>3400.74</v>
      </c>
      <c r="E3543" s="461" t="s">
        <v>174</v>
      </c>
    </row>
    <row r="3544" spans="1:5" ht="27" x14ac:dyDescent="0.25">
      <c r="A3544" s="508">
        <v>103252</v>
      </c>
      <c r="B3544" s="509" t="s">
        <v>6038</v>
      </c>
      <c r="C3544" s="508" t="s">
        <v>107</v>
      </c>
      <c r="D3544" s="508">
        <v>3767.65</v>
      </c>
      <c r="E3544" s="461" t="s">
        <v>174</v>
      </c>
    </row>
    <row r="3545" spans="1:5" ht="27" x14ac:dyDescent="0.25">
      <c r="A3545" s="508">
        <v>103253</v>
      </c>
      <c r="B3545" s="509" t="s">
        <v>6039</v>
      </c>
      <c r="C3545" s="508" t="s">
        <v>107</v>
      </c>
      <c r="D3545" s="508">
        <v>5881.91</v>
      </c>
      <c r="E3545" s="461" t="s">
        <v>174</v>
      </c>
    </row>
    <row r="3546" spans="1:5" ht="27" x14ac:dyDescent="0.25">
      <c r="A3546" s="508">
        <v>103254</v>
      </c>
      <c r="B3546" s="509" t="s">
        <v>6040</v>
      </c>
      <c r="C3546" s="508" t="s">
        <v>107</v>
      </c>
      <c r="D3546" s="508">
        <v>4394.47</v>
      </c>
      <c r="E3546" s="461" t="s">
        <v>174</v>
      </c>
    </row>
    <row r="3547" spans="1:5" ht="27" x14ac:dyDescent="0.25">
      <c r="A3547" s="508">
        <v>103255</v>
      </c>
      <c r="B3547" s="509" t="s">
        <v>6041</v>
      </c>
      <c r="C3547" s="508" t="s">
        <v>107</v>
      </c>
      <c r="D3547" s="508">
        <v>4919.28</v>
      </c>
      <c r="E3547" s="461" t="s">
        <v>174</v>
      </c>
    </row>
    <row r="3548" spans="1:5" ht="27" x14ac:dyDescent="0.25">
      <c r="A3548" s="508">
        <v>103256</v>
      </c>
      <c r="B3548" s="509" t="s">
        <v>13036</v>
      </c>
      <c r="C3548" s="508" t="s">
        <v>107</v>
      </c>
      <c r="D3548" s="508">
        <v>10929.92</v>
      </c>
      <c r="E3548" s="461" t="s">
        <v>174</v>
      </c>
    </row>
    <row r="3549" spans="1:5" ht="27" x14ac:dyDescent="0.25">
      <c r="A3549" s="508">
        <v>103257</v>
      </c>
      <c r="B3549" s="509" t="s">
        <v>13037</v>
      </c>
      <c r="C3549" s="508" t="s">
        <v>107</v>
      </c>
      <c r="D3549" s="508">
        <v>6234.99</v>
      </c>
      <c r="E3549" s="461" t="s">
        <v>174</v>
      </c>
    </row>
    <row r="3550" spans="1:5" ht="27" x14ac:dyDescent="0.25">
      <c r="A3550" s="508">
        <v>103258</v>
      </c>
      <c r="B3550" s="509" t="s">
        <v>13038</v>
      </c>
      <c r="C3550" s="508" t="s">
        <v>107</v>
      </c>
      <c r="D3550" s="508">
        <v>12221.97</v>
      </c>
      <c r="E3550" s="461" t="s">
        <v>174</v>
      </c>
    </row>
    <row r="3551" spans="1:5" ht="27" x14ac:dyDescent="0.25">
      <c r="A3551" s="508">
        <v>103259</v>
      </c>
      <c r="B3551" s="509" t="s">
        <v>13039</v>
      </c>
      <c r="C3551" s="508" t="s">
        <v>107</v>
      </c>
      <c r="D3551" s="508">
        <v>6574.41</v>
      </c>
      <c r="E3551" s="461" t="s">
        <v>174</v>
      </c>
    </row>
    <row r="3552" spans="1:5" ht="27" x14ac:dyDescent="0.25">
      <c r="A3552" s="508">
        <v>103260</v>
      </c>
      <c r="B3552" s="509" t="s">
        <v>13040</v>
      </c>
      <c r="C3552" s="508" t="s">
        <v>107</v>
      </c>
      <c r="D3552" s="508">
        <v>6754.13</v>
      </c>
      <c r="E3552" s="461" t="s">
        <v>174</v>
      </c>
    </row>
    <row r="3553" spans="1:5" ht="27" x14ac:dyDescent="0.25">
      <c r="A3553" s="508">
        <v>103261</v>
      </c>
      <c r="B3553" s="509" t="s">
        <v>13041</v>
      </c>
      <c r="C3553" s="508" t="s">
        <v>107</v>
      </c>
      <c r="D3553" s="508">
        <v>13789.69</v>
      </c>
      <c r="E3553" s="461" t="s">
        <v>174</v>
      </c>
    </row>
    <row r="3554" spans="1:5" ht="27" x14ac:dyDescent="0.25">
      <c r="A3554" s="508">
        <v>103262</v>
      </c>
      <c r="B3554" s="509" t="s">
        <v>13042</v>
      </c>
      <c r="C3554" s="508" t="s">
        <v>107</v>
      </c>
      <c r="D3554" s="508">
        <v>8644.01</v>
      </c>
      <c r="E3554" s="461" t="s">
        <v>174</v>
      </c>
    </row>
    <row r="3555" spans="1:5" ht="27" x14ac:dyDescent="0.25">
      <c r="A3555" s="508">
        <v>103263</v>
      </c>
      <c r="B3555" s="509" t="s">
        <v>6042</v>
      </c>
      <c r="C3555" s="508" t="s">
        <v>107</v>
      </c>
      <c r="D3555" s="508">
        <v>19116.8</v>
      </c>
      <c r="E3555" s="461" t="s">
        <v>174</v>
      </c>
    </row>
    <row r="3556" spans="1:5" ht="27" x14ac:dyDescent="0.25">
      <c r="A3556" s="508">
        <v>103264</v>
      </c>
      <c r="B3556" s="509" t="s">
        <v>6043</v>
      </c>
      <c r="C3556" s="508" t="s">
        <v>107</v>
      </c>
      <c r="D3556" s="508">
        <v>10691.83</v>
      </c>
      <c r="E3556" s="461" t="s">
        <v>174</v>
      </c>
    </row>
    <row r="3557" spans="1:5" ht="27" x14ac:dyDescent="0.25">
      <c r="A3557" s="508">
        <v>103265</v>
      </c>
      <c r="B3557" s="509" t="s">
        <v>6044</v>
      </c>
      <c r="C3557" s="508" t="s">
        <v>107</v>
      </c>
      <c r="D3557" s="508">
        <v>23060.36</v>
      </c>
      <c r="E3557" s="461" t="s">
        <v>174</v>
      </c>
    </row>
    <row r="3558" spans="1:5" ht="27" x14ac:dyDescent="0.25">
      <c r="A3558" s="508">
        <v>103266</v>
      </c>
      <c r="B3558" s="509" t="s">
        <v>6045</v>
      </c>
      <c r="C3558" s="508" t="s">
        <v>107</v>
      </c>
      <c r="D3558" s="508">
        <v>11948.54</v>
      </c>
      <c r="E3558" s="461" t="s">
        <v>174</v>
      </c>
    </row>
    <row r="3559" spans="1:5" ht="27" x14ac:dyDescent="0.25">
      <c r="A3559" s="508">
        <v>103267</v>
      </c>
      <c r="B3559" s="509" t="s">
        <v>6046</v>
      </c>
      <c r="C3559" s="508" t="s">
        <v>107</v>
      </c>
      <c r="D3559" s="508">
        <v>6816.57</v>
      </c>
      <c r="E3559" s="461" t="s">
        <v>174</v>
      </c>
    </row>
    <row r="3560" spans="1:5" ht="27" x14ac:dyDescent="0.25">
      <c r="A3560" s="508">
        <v>103268</v>
      </c>
      <c r="B3560" s="509" t="s">
        <v>6047</v>
      </c>
      <c r="C3560" s="508" t="s">
        <v>107</v>
      </c>
      <c r="D3560" s="508">
        <v>8096.65</v>
      </c>
      <c r="E3560" s="461" t="s">
        <v>174</v>
      </c>
    </row>
    <row r="3561" spans="1:5" ht="27" x14ac:dyDescent="0.25">
      <c r="A3561" s="508">
        <v>103269</v>
      </c>
      <c r="B3561" s="509" t="s">
        <v>6048</v>
      </c>
      <c r="C3561" s="508" t="s">
        <v>107</v>
      </c>
      <c r="D3561" s="508">
        <v>8384.0499999999993</v>
      </c>
      <c r="E3561" s="461" t="s">
        <v>174</v>
      </c>
    </row>
    <row r="3562" spans="1:5" ht="27" x14ac:dyDescent="0.25">
      <c r="A3562" s="508">
        <v>103270</v>
      </c>
      <c r="B3562" s="509" t="s">
        <v>6049</v>
      </c>
      <c r="C3562" s="508" t="s">
        <v>107</v>
      </c>
      <c r="D3562" s="508">
        <v>8703.83</v>
      </c>
      <c r="E3562" s="461" t="s">
        <v>174</v>
      </c>
    </row>
    <row r="3563" spans="1:5" ht="27" x14ac:dyDescent="0.25">
      <c r="A3563" s="508">
        <v>103271</v>
      </c>
      <c r="B3563" s="509" t="s">
        <v>6050</v>
      </c>
      <c r="C3563" s="508" t="s">
        <v>107</v>
      </c>
      <c r="D3563" s="508">
        <v>12341.26</v>
      </c>
      <c r="E3563" s="461" t="s">
        <v>174</v>
      </c>
    </row>
    <row r="3564" spans="1:5" ht="27" x14ac:dyDescent="0.25">
      <c r="A3564" s="508">
        <v>103272</v>
      </c>
      <c r="B3564" s="509" t="s">
        <v>6051</v>
      </c>
      <c r="C3564" s="508" t="s">
        <v>107</v>
      </c>
      <c r="D3564" s="508">
        <v>12747.92</v>
      </c>
      <c r="E3564" s="461" t="s">
        <v>174</v>
      </c>
    </row>
    <row r="3565" spans="1:5" ht="27" x14ac:dyDescent="0.25">
      <c r="A3565" s="508">
        <v>103273</v>
      </c>
      <c r="B3565" s="509" t="s">
        <v>6052</v>
      </c>
      <c r="C3565" s="508" t="s">
        <v>107</v>
      </c>
      <c r="D3565" s="508">
        <v>13072.56</v>
      </c>
      <c r="E3565" s="461" t="s">
        <v>174</v>
      </c>
    </row>
    <row r="3566" spans="1:5" ht="27" x14ac:dyDescent="0.25">
      <c r="A3566" s="508">
        <v>103274</v>
      </c>
      <c r="B3566" s="509" t="s">
        <v>6053</v>
      </c>
      <c r="C3566" s="508" t="s">
        <v>107</v>
      </c>
      <c r="D3566" s="508">
        <v>14985.12</v>
      </c>
      <c r="E3566" s="461" t="s">
        <v>174</v>
      </c>
    </row>
    <row r="3567" spans="1:5" ht="27" x14ac:dyDescent="0.25">
      <c r="A3567" s="508">
        <v>103275</v>
      </c>
      <c r="B3567" s="509" t="s">
        <v>6054</v>
      </c>
      <c r="C3567" s="508" t="s">
        <v>107</v>
      </c>
      <c r="D3567" s="508">
        <v>14907.04</v>
      </c>
      <c r="E3567" s="461" t="s">
        <v>174</v>
      </c>
    </row>
    <row r="3568" spans="1:5" ht="27" x14ac:dyDescent="0.25">
      <c r="A3568" s="508">
        <v>103276</v>
      </c>
      <c r="B3568" s="509" t="s">
        <v>6055</v>
      </c>
      <c r="C3568" s="508" t="s">
        <v>107</v>
      </c>
      <c r="D3568" s="508">
        <v>15646.75</v>
      </c>
      <c r="E3568" s="461" t="s">
        <v>174</v>
      </c>
    </row>
    <row r="3569" spans="1:5" ht="15" x14ac:dyDescent="0.25">
      <c r="A3569" s="508">
        <v>103277</v>
      </c>
      <c r="B3569" s="509" t="s">
        <v>6056</v>
      </c>
      <c r="C3569" s="508" t="s">
        <v>107</v>
      </c>
      <c r="D3569" s="508">
        <v>28901.22</v>
      </c>
      <c r="E3569" s="461" t="s">
        <v>174</v>
      </c>
    </row>
    <row r="3570" spans="1:5" ht="15" x14ac:dyDescent="0.25">
      <c r="A3570" s="508">
        <v>103278</v>
      </c>
      <c r="B3570" s="509" t="s">
        <v>6057</v>
      </c>
      <c r="C3570" s="508" t="s">
        <v>107</v>
      </c>
      <c r="D3570" s="508">
        <v>37027.35</v>
      </c>
      <c r="E3570" s="461" t="s">
        <v>174</v>
      </c>
    </row>
    <row r="3571" spans="1:5" ht="27" x14ac:dyDescent="0.25">
      <c r="A3571" s="508">
        <v>103288</v>
      </c>
      <c r="B3571" s="509" t="s">
        <v>4404</v>
      </c>
      <c r="C3571" s="508" t="s">
        <v>107</v>
      </c>
      <c r="D3571" s="508">
        <v>16.489999999999998</v>
      </c>
      <c r="E3571" s="461" t="s">
        <v>174</v>
      </c>
    </row>
    <row r="3572" spans="1:5" ht="27" x14ac:dyDescent="0.25">
      <c r="A3572" s="508">
        <v>103289</v>
      </c>
      <c r="B3572" s="509" t="s">
        <v>13043</v>
      </c>
      <c r="C3572" s="508" t="s">
        <v>5</v>
      </c>
      <c r="D3572" s="508">
        <v>34.200000000000003</v>
      </c>
      <c r="E3572" s="461" t="s">
        <v>174</v>
      </c>
    </row>
    <row r="3573" spans="1:5" ht="27" x14ac:dyDescent="0.25">
      <c r="A3573" s="508">
        <v>103290</v>
      </c>
      <c r="B3573" s="509" t="s">
        <v>13044</v>
      </c>
      <c r="C3573" s="508" t="s">
        <v>5</v>
      </c>
      <c r="D3573" s="508">
        <v>53.21</v>
      </c>
      <c r="E3573" s="461" t="s">
        <v>174</v>
      </c>
    </row>
    <row r="3574" spans="1:5" ht="27" x14ac:dyDescent="0.25">
      <c r="A3574" s="508">
        <v>103291</v>
      </c>
      <c r="B3574" s="509" t="s">
        <v>13045</v>
      </c>
      <c r="C3574" s="508" t="s">
        <v>5</v>
      </c>
      <c r="D3574" s="508">
        <v>66.88</v>
      </c>
      <c r="E3574" s="461" t="s">
        <v>174</v>
      </c>
    </row>
    <row r="3575" spans="1:5" ht="27" x14ac:dyDescent="0.25">
      <c r="A3575" s="508">
        <v>103292</v>
      </c>
      <c r="B3575" s="509" t="s">
        <v>13046</v>
      </c>
      <c r="C3575" s="508" t="s">
        <v>5</v>
      </c>
      <c r="D3575" s="508">
        <v>80.819999999999993</v>
      </c>
      <c r="E3575" s="461" t="s">
        <v>174</v>
      </c>
    </row>
    <row r="3576" spans="1:5" ht="40.5" x14ac:dyDescent="0.25">
      <c r="A3576" s="508">
        <v>101936</v>
      </c>
      <c r="B3576" s="509" t="s">
        <v>6058</v>
      </c>
      <c r="C3576" s="508" t="s">
        <v>107</v>
      </c>
      <c r="D3576" s="508">
        <v>8992.83</v>
      </c>
      <c r="E3576" s="461" t="s">
        <v>174</v>
      </c>
    </row>
    <row r="3577" spans="1:5" ht="40.5" x14ac:dyDescent="0.25">
      <c r="A3577" s="508">
        <v>101937</v>
      </c>
      <c r="B3577" s="509" t="s">
        <v>6059</v>
      </c>
      <c r="C3577" s="508" t="s">
        <v>107</v>
      </c>
      <c r="D3577" s="508">
        <v>16284.77</v>
      </c>
      <c r="E3577" s="461" t="s">
        <v>174</v>
      </c>
    </row>
    <row r="3578" spans="1:5" ht="27" x14ac:dyDescent="0.25">
      <c r="A3578" s="508">
        <v>98294</v>
      </c>
      <c r="B3578" s="509" t="s">
        <v>1744</v>
      </c>
      <c r="C3578" s="508" t="s">
        <v>5</v>
      </c>
      <c r="D3578" s="508">
        <v>7.71</v>
      </c>
      <c r="E3578" s="461" t="s">
        <v>174</v>
      </c>
    </row>
    <row r="3579" spans="1:5" ht="27" x14ac:dyDescent="0.25">
      <c r="A3579" s="508">
        <v>98295</v>
      </c>
      <c r="B3579" s="509" t="s">
        <v>1745</v>
      </c>
      <c r="C3579" s="508" t="s">
        <v>5</v>
      </c>
      <c r="D3579" s="508">
        <v>6.91</v>
      </c>
      <c r="E3579" s="461" t="s">
        <v>174</v>
      </c>
    </row>
    <row r="3580" spans="1:5" ht="27" x14ac:dyDescent="0.25">
      <c r="A3580" s="508">
        <v>98296</v>
      </c>
      <c r="B3580" s="509" t="s">
        <v>1746</v>
      </c>
      <c r="C3580" s="508" t="s">
        <v>5</v>
      </c>
      <c r="D3580" s="508">
        <v>11.24</v>
      </c>
      <c r="E3580" s="461" t="s">
        <v>174</v>
      </c>
    </row>
    <row r="3581" spans="1:5" ht="27" x14ac:dyDescent="0.25">
      <c r="A3581" s="508">
        <v>98297</v>
      </c>
      <c r="B3581" s="509" t="s">
        <v>1747</v>
      </c>
      <c r="C3581" s="508" t="s">
        <v>5</v>
      </c>
      <c r="D3581" s="508">
        <v>9.99</v>
      </c>
      <c r="E3581" s="461" t="s">
        <v>174</v>
      </c>
    </row>
    <row r="3582" spans="1:5" ht="27" x14ac:dyDescent="0.25">
      <c r="A3582" s="508">
        <v>98298</v>
      </c>
      <c r="B3582" s="509" t="s">
        <v>6060</v>
      </c>
      <c r="C3582" s="508" t="s">
        <v>5</v>
      </c>
      <c r="D3582" s="508">
        <v>27.52</v>
      </c>
      <c r="E3582" s="461" t="s">
        <v>174</v>
      </c>
    </row>
    <row r="3583" spans="1:5" ht="27" x14ac:dyDescent="0.25">
      <c r="A3583" s="508">
        <v>98299</v>
      </c>
      <c r="B3583" s="509" t="s">
        <v>6061</v>
      </c>
      <c r="C3583" s="508" t="s">
        <v>5</v>
      </c>
      <c r="D3583" s="508">
        <v>25.97</v>
      </c>
      <c r="E3583" s="461" t="s">
        <v>174</v>
      </c>
    </row>
    <row r="3584" spans="1:5" ht="15" x14ac:dyDescent="0.25">
      <c r="A3584" s="508">
        <v>98300</v>
      </c>
      <c r="B3584" s="509" t="s">
        <v>6062</v>
      </c>
      <c r="C3584" s="508" t="s">
        <v>5</v>
      </c>
      <c r="D3584" s="508">
        <v>6.52</v>
      </c>
      <c r="E3584" s="461" t="s">
        <v>174</v>
      </c>
    </row>
    <row r="3585" spans="1:5" ht="15" x14ac:dyDescent="0.25">
      <c r="A3585" s="508">
        <v>98301</v>
      </c>
      <c r="B3585" s="509" t="s">
        <v>1748</v>
      </c>
      <c r="C3585" s="508" t="s">
        <v>107</v>
      </c>
      <c r="D3585" s="508">
        <v>617.44000000000005</v>
      </c>
      <c r="E3585" s="461" t="s">
        <v>174</v>
      </c>
    </row>
    <row r="3586" spans="1:5" ht="15" x14ac:dyDescent="0.25">
      <c r="A3586" s="508">
        <v>98302</v>
      </c>
      <c r="B3586" s="509" t="s">
        <v>1749</v>
      </c>
      <c r="C3586" s="508" t="s">
        <v>107</v>
      </c>
      <c r="D3586" s="508">
        <v>1069.4100000000001</v>
      </c>
      <c r="E3586" s="461" t="s">
        <v>174</v>
      </c>
    </row>
    <row r="3587" spans="1:5" ht="15" x14ac:dyDescent="0.25">
      <c r="A3587" s="508">
        <v>98304</v>
      </c>
      <c r="B3587" s="509" t="s">
        <v>1750</v>
      </c>
      <c r="C3587" s="508" t="s">
        <v>107</v>
      </c>
      <c r="D3587" s="508">
        <v>3234.11</v>
      </c>
      <c r="E3587" s="461" t="s">
        <v>174</v>
      </c>
    </row>
    <row r="3588" spans="1:5" ht="15" x14ac:dyDescent="0.25">
      <c r="A3588" s="508">
        <v>98305</v>
      </c>
      <c r="B3588" s="509" t="s">
        <v>6063</v>
      </c>
      <c r="C3588" s="508" t="s">
        <v>107</v>
      </c>
      <c r="D3588" s="508">
        <v>2249.42</v>
      </c>
      <c r="E3588" s="461" t="s">
        <v>174</v>
      </c>
    </row>
    <row r="3589" spans="1:5" ht="15" x14ac:dyDescent="0.25">
      <c r="A3589" s="508">
        <v>98306</v>
      </c>
      <c r="B3589" s="509" t="s">
        <v>6064</v>
      </c>
      <c r="C3589" s="508" t="s">
        <v>107</v>
      </c>
      <c r="D3589" s="508">
        <v>62.11</v>
      </c>
      <c r="E3589" s="461" t="s">
        <v>174</v>
      </c>
    </row>
    <row r="3590" spans="1:5" ht="15" x14ac:dyDescent="0.25">
      <c r="A3590" s="508">
        <v>98307</v>
      </c>
      <c r="B3590" s="509" t="s">
        <v>1751</v>
      </c>
      <c r="C3590" s="508" t="s">
        <v>107</v>
      </c>
      <c r="D3590" s="508">
        <v>57.86</v>
      </c>
      <c r="E3590" s="461" t="s">
        <v>174</v>
      </c>
    </row>
    <row r="3591" spans="1:5" ht="15" x14ac:dyDescent="0.25">
      <c r="A3591" s="508">
        <v>98308</v>
      </c>
      <c r="B3591" s="509" t="s">
        <v>1752</v>
      </c>
      <c r="C3591" s="508" t="s">
        <v>107</v>
      </c>
      <c r="D3591" s="508">
        <v>37.799999999999997</v>
      </c>
      <c r="E3591" s="461" t="s">
        <v>174</v>
      </c>
    </row>
    <row r="3592" spans="1:5" ht="15" x14ac:dyDescent="0.25">
      <c r="A3592" s="508">
        <v>98593</v>
      </c>
      <c r="B3592" s="509" t="s">
        <v>1753</v>
      </c>
      <c r="C3592" s="508" t="s">
        <v>107</v>
      </c>
      <c r="D3592" s="508">
        <v>2312.5300000000002</v>
      </c>
      <c r="E3592" s="461" t="s">
        <v>174</v>
      </c>
    </row>
    <row r="3593" spans="1:5" ht="15" x14ac:dyDescent="0.25">
      <c r="A3593" s="508">
        <v>100553</v>
      </c>
      <c r="B3593" s="509" t="s">
        <v>6065</v>
      </c>
      <c r="C3593" s="508" t="s">
        <v>5</v>
      </c>
      <c r="D3593" s="508">
        <v>29.32</v>
      </c>
      <c r="E3593" s="461" t="s">
        <v>174</v>
      </c>
    </row>
    <row r="3594" spans="1:5" ht="15" x14ac:dyDescent="0.25">
      <c r="A3594" s="508">
        <v>100554</v>
      </c>
      <c r="B3594" s="509" t="s">
        <v>6066</v>
      </c>
      <c r="C3594" s="508" t="s">
        <v>5</v>
      </c>
      <c r="D3594" s="508">
        <v>6.22</v>
      </c>
      <c r="E3594" s="461" t="s">
        <v>174</v>
      </c>
    </row>
    <row r="3595" spans="1:5" ht="15" x14ac:dyDescent="0.25">
      <c r="A3595" s="508">
        <v>100555</v>
      </c>
      <c r="B3595" s="509" t="s">
        <v>6067</v>
      </c>
      <c r="C3595" s="508" t="s">
        <v>107</v>
      </c>
      <c r="D3595" s="508">
        <v>1134.75</v>
      </c>
      <c r="E3595" s="461" t="s">
        <v>174</v>
      </c>
    </row>
    <row r="3596" spans="1:5" ht="27" x14ac:dyDescent="0.25">
      <c r="A3596" s="508">
        <v>89355</v>
      </c>
      <c r="B3596" s="509" t="s">
        <v>6068</v>
      </c>
      <c r="C3596" s="508" t="s">
        <v>5</v>
      </c>
      <c r="D3596" s="508">
        <v>21.62</v>
      </c>
      <c r="E3596" s="461" t="s">
        <v>174</v>
      </c>
    </row>
    <row r="3597" spans="1:5" ht="27" x14ac:dyDescent="0.25">
      <c r="A3597" s="508">
        <v>89356</v>
      </c>
      <c r="B3597" s="509" t="s">
        <v>6069</v>
      </c>
      <c r="C3597" s="508" t="s">
        <v>5</v>
      </c>
      <c r="D3597" s="508">
        <v>24.96</v>
      </c>
      <c r="E3597" s="461" t="s">
        <v>174</v>
      </c>
    </row>
    <row r="3598" spans="1:5" ht="27" x14ac:dyDescent="0.25">
      <c r="A3598" s="508">
        <v>89357</v>
      </c>
      <c r="B3598" s="509" t="s">
        <v>6070</v>
      </c>
      <c r="C3598" s="508" t="s">
        <v>5</v>
      </c>
      <c r="D3598" s="508">
        <v>33.89</v>
      </c>
      <c r="E3598" s="461" t="s">
        <v>174</v>
      </c>
    </row>
    <row r="3599" spans="1:5" ht="27" x14ac:dyDescent="0.25">
      <c r="A3599" s="508">
        <v>89401</v>
      </c>
      <c r="B3599" s="509" t="s">
        <v>6071</v>
      </c>
      <c r="C3599" s="508" t="s">
        <v>5</v>
      </c>
      <c r="D3599" s="508">
        <v>11.22</v>
      </c>
      <c r="E3599" s="461" t="s">
        <v>174</v>
      </c>
    </row>
    <row r="3600" spans="1:5" ht="27" x14ac:dyDescent="0.25">
      <c r="A3600" s="508">
        <v>89402</v>
      </c>
      <c r="B3600" s="509" t="s">
        <v>6072</v>
      </c>
      <c r="C3600" s="508" t="s">
        <v>5</v>
      </c>
      <c r="D3600" s="508">
        <v>12.91</v>
      </c>
      <c r="E3600" s="461" t="s">
        <v>174</v>
      </c>
    </row>
    <row r="3601" spans="1:5" ht="27" x14ac:dyDescent="0.25">
      <c r="A3601" s="508">
        <v>89403</v>
      </c>
      <c r="B3601" s="509" t="s">
        <v>6073</v>
      </c>
      <c r="C3601" s="508" t="s">
        <v>5</v>
      </c>
      <c r="D3601" s="508">
        <v>19.510000000000002</v>
      </c>
      <c r="E3601" s="461" t="s">
        <v>174</v>
      </c>
    </row>
    <row r="3602" spans="1:5" ht="27" x14ac:dyDescent="0.25">
      <c r="A3602" s="508">
        <v>89446</v>
      </c>
      <c r="B3602" s="509" t="s">
        <v>6074</v>
      </c>
      <c r="C3602" s="508" t="s">
        <v>5</v>
      </c>
      <c r="D3602" s="508">
        <v>5.33</v>
      </c>
      <c r="E3602" s="461" t="s">
        <v>174</v>
      </c>
    </row>
    <row r="3603" spans="1:5" ht="27" x14ac:dyDescent="0.25">
      <c r="A3603" s="508">
        <v>89447</v>
      </c>
      <c r="B3603" s="509" t="s">
        <v>6075</v>
      </c>
      <c r="C3603" s="508" t="s">
        <v>5</v>
      </c>
      <c r="D3603" s="508">
        <v>10.5</v>
      </c>
      <c r="E3603" s="461" t="s">
        <v>174</v>
      </c>
    </row>
    <row r="3604" spans="1:5" ht="27" x14ac:dyDescent="0.25">
      <c r="A3604" s="508">
        <v>89448</v>
      </c>
      <c r="B3604" s="509" t="s">
        <v>6076</v>
      </c>
      <c r="C3604" s="508" t="s">
        <v>5</v>
      </c>
      <c r="D3604" s="508">
        <v>16.03</v>
      </c>
      <c r="E3604" s="461" t="s">
        <v>174</v>
      </c>
    </row>
    <row r="3605" spans="1:5" ht="27" x14ac:dyDescent="0.25">
      <c r="A3605" s="508">
        <v>89449</v>
      </c>
      <c r="B3605" s="509" t="s">
        <v>6077</v>
      </c>
      <c r="C3605" s="508" t="s">
        <v>5</v>
      </c>
      <c r="D3605" s="508">
        <v>17.739999999999998</v>
      </c>
      <c r="E3605" s="461" t="s">
        <v>174</v>
      </c>
    </row>
    <row r="3606" spans="1:5" ht="27" x14ac:dyDescent="0.25">
      <c r="A3606" s="508">
        <v>89450</v>
      </c>
      <c r="B3606" s="509" t="s">
        <v>6078</v>
      </c>
      <c r="C3606" s="508" t="s">
        <v>5</v>
      </c>
      <c r="D3606" s="508">
        <v>28.35</v>
      </c>
      <c r="E3606" s="461" t="s">
        <v>174</v>
      </c>
    </row>
    <row r="3607" spans="1:5" ht="27" x14ac:dyDescent="0.25">
      <c r="A3607" s="508">
        <v>89451</v>
      </c>
      <c r="B3607" s="509" t="s">
        <v>6079</v>
      </c>
      <c r="C3607" s="508" t="s">
        <v>5</v>
      </c>
      <c r="D3607" s="508">
        <v>46.04</v>
      </c>
      <c r="E3607" s="461" t="s">
        <v>174</v>
      </c>
    </row>
    <row r="3608" spans="1:5" ht="27" x14ac:dyDescent="0.25">
      <c r="A3608" s="508">
        <v>89452</v>
      </c>
      <c r="B3608" s="509" t="s">
        <v>6080</v>
      </c>
      <c r="C3608" s="508" t="s">
        <v>5</v>
      </c>
      <c r="D3608" s="508">
        <v>63.34</v>
      </c>
      <c r="E3608" s="461" t="s">
        <v>174</v>
      </c>
    </row>
    <row r="3609" spans="1:5" ht="27" x14ac:dyDescent="0.25">
      <c r="A3609" s="508">
        <v>89508</v>
      </c>
      <c r="B3609" s="509" t="s">
        <v>6081</v>
      </c>
      <c r="C3609" s="508" t="s">
        <v>5</v>
      </c>
      <c r="D3609" s="508">
        <v>15.89</v>
      </c>
      <c r="E3609" s="461" t="s">
        <v>174</v>
      </c>
    </row>
    <row r="3610" spans="1:5" ht="27" x14ac:dyDescent="0.25">
      <c r="A3610" s="508">
        <v>89509</v>
      </c>
      <c r="B3610" s="509" t="s">
        <v>6082</v>
      </c>
      <c r="C3610" s="508" t="s">
        <v>5</v>
      </c>
      <c r="D3610" s="508">
        <v>21.36</v>
      </c>
      <c r="E3610" s="461" t="s">
        <v>174</v>
      </c>
    </row>
    <row r="3611" spans="1:5" ht="27" x14ac:dyDescent="0.25">
      <c r="A3611" s="508">
        <v>89511</v>
      </c>
      <c r="B3611" s="509" t="s">
        <v>6083</v>
      </c>
      <c r="C3611" s="508" t="s">
        <v>5</v>
      </c>
      <c r="D3611" s="508">
        <v>36.04</v>
      </c>
      <c r="E3611" s="461" t="s">
        <v>174</v>
      </c>
    </row>
    <row r="3612" spans="1:5" ht="27" x14ac:dyDescent="0.25">
      <c r="A3612" s="508">
        <v>89512</v>
      </c>
      <c r="B3612" s="509" t="s">
        <v>6084</v>
      </c>
      <c r="C3612" s="508" t="s">
        <v>5</v>
      </c>
      <c r="D3612" s="508">
        <v>46.09</v>
      </c>
      <c r="E3612" s="461" t="s">
        <v>174</v>
      </c>
    </row>
    <row r="3613" spans="1:5" ht="27" x14ac:dyDescent="0.25">
      <c r="A3613" s="508">
        <v>89576</v>
      </c>
      <c r="B3613" s="509" t="s">
        <v>6085</v>
      </c>
      <c r="C3613" s="508" t="s">
        <v>5</v>
      </c>
      <c r="D3613" s="508">
        <v>22.8</v>
      </c>
      <c r="E3613" s="461" t="s">
        <v>174</v>
      </c>
    </row>
    <row r="3614" spans="1:5" ht="27" x14ac:dyDescent="0.25">
      <c r="A3614" s="508">
        <v>89578</v>
      </c>
      <c r="B3614" s="509" t="s">
        <v>6086</v>
      </c>
      <c r="C3614" s="508" t="s">
        <v>5</v>
      </c>
      <c r="D3614" s="508">
        <v>28.52</v>
      </c>
      <c r="E3614" s="461" t="s">
        <v>174</v>
      </c>
    </row>
    <row r="3615" spans="1:5" ht="27" x14ac:dyDescent="0.25">
      <c r="A3615" s="508">
        <v>89580</v>
      </c>
      <c r="B3615" s="509" t="s">
        <v>6087</v>
      </c>
      <c r="C3615" s="508" t="s">
        <v>5</v>
      </c>
      <c r="D3615" s="508">
        <v>58.65</v>
      </c>
      <c r="E3615" s="461" t="s">
        <v>174</v>
      </c>
    </row>
    <row r="3616" spans="1:5" ht="27" x14ac:dyDescent="0.25">
      <c r="A3616" s="508">
        <v>89633</v>
      </c>
      <c r="B3616" s="509" t="s">
        <v>6088</v>
      </c>
      <c r="C3616" s="508" t="s">
        <v>5</v>
      </c>
      <c r="D3616" s="508">
        <v>25.17</v>
      </c>
      <c r="E3616" s="461" t="s">
        <v>174</v>
      </c>
    </row>
    <row r="3617" spans="1:5" ht="27" x14ac:dyDescent="0.25">
      <c r="A3617" s="508">
        <v>89634</v>
      </c>
      <c r="B3617" s="509" t="s">
        <v>6089</v>
      </c>
      <c r="C3617" s="508" t="s">
        <v>5</v>
      </c>
      <c r="D3617" s="508">
        <v>35.26</v>
      </c>
      <c r="E3617" s="461" t="s">
        <v>174</v>
      </c>
    </row>
    <row r="3618" spans="1:5" ht="27" x14ac:dyDescent="0.25">
      <c r="A3618" s="508">
        <v>89635</v>
      </c>
      <c r="B3618" s="509" t="s">
        <v>6090</v>
      </c>
      <c r="C3618" s="508" t="s">
        <v>5</v>
      </c>
      <c r="D3618" s="508">
        <v>50.53</v>
      </c>
      <c r="E3618" s="461" t="s">
        <v>174</v>
      </c>
    </row>
    <row r="3619" spans="1:5" ht="27" x14ac:dyDescent="0.25">
      <c r="A3619" s="508">
        <v>89636</v>
      </c>
      <c r="B3619" s="509" t="s">
        <v>6091</v>
      </c>
      <c r="C3619" s="508" t="s">
        <v>5</v>
      </c>
      <c r="D3619" s="508">
        <v>63.14</v>
      </c>
      <c r="E3619" s="461" t="s">
        <v>174</v>
      </c>
    </row>
    <row r="3620" spans="1:5" ht="27" x14ac:dyDescent="0.25">
      <c r="A3620" s="508">
        <v>89711</v>
      </c>
      <c r="B3620" s="509" t="s">
        <v>6092</v>
      </c>
      <c r="C3620" s="508" t="s">
        <v>5</v>
      </c>
      <c r="D3620" s="508">
        <v>21.57</v>
      </c>
      <c r="E3620" s="461" t="s">
        <v>174</v>
      </c>
    </row>
    <row r="3621" spans="1:5" ht="27" x14ac:dyDescent="0.25">
      <c r="A3621" s="508">
        <v>89712</v>
      </c>
      <c r="B3621" s="509" t="s">
        <v>6093</v>
      </c>
      <c r="C3621" s="508" t="s">
        <v>5</v>
      </c>
      <c r="D3621" s="508">
        <v>26.69</v>
      </c>
      <c r="E3621" s="461" t="s">
        <v>174</v>
      </c>
    </row>
    <row r="3622" spans="1:5" ht="27" x14ac:dyDescent="0.25">
      <c r="A3622" s="508">
        <v>89713</v>
      </c>
      <c r="B3622" s="509" t="s">
        <v>6094</v>
      </c>
      <c r="C3622" s="508" t="s">
        <v>5</v>
      </c>
      <c r="D3622" s="508">
        <v>33.07</v>
      </c>
      <c r="E3622" s="461" t="s">
        <v>174</v>
      </c>
    </row>
    <row r="3623" spans="1:5" ht="27" x14ac:dyDescent="0.25">
      <c r="A3623" s="508">
        <v>89714</v>
      </c>
      <c r="B3623" s="509" t="s">
        <v>6095</v>
      </c>
      <c r="C3623" s="508" t="s">
        <v>5</v>
      </c>
      <c r="D3623" s="508">
        <v>37.19</v>
      </c>
      <c r="E3623" s="461" t="s">
        <v>174</v>
      </c>
    </row>
    <row r="3624" spans="1:5" ht="27" x14ac:dyDescent="0.25">
      <c r="A3624" s="508">
        <v>89716</v>
      </c>
      <c r="B3624" s="509" t="s">
        <v>6096</v>
      </c>
      <c r="C3624" s="508" t="s">
        <v>5</v>
      </c>
      <c r="D3624" s="508">
        <v>24.3</v>
      </c>
      <c r="E3624" s="461" t="s">
        <v>174</v>
      </c>
    </row>
    <row r="3625" spans="1:5" ht="27" x14ac:dyDescent="0.25">
      <c r="A3625" s="508">
        <v>89717</v>
      </c>
      <c r="B3625" s="509" t="s">
        <v>6097</v>
      </c>
      <c r="C3625" s="508" t="s">
        <v>5</v>
      </c>
      <c r="D3625" s="508">
        <v>37.6</v>
      </c>
      <c r="E3625" s="461" t="s">
        <v>174</v>
      </c>
    </row>
    <row r="3626" spans="1:5" ht="27" x14ac:dyDescent="0.25">
      <c r="A3626" s="508">
        <v>89770</v>
      </c>
      <c r="B3626" s="509" t="s">
        <v>6098</v>
      </c>
      <c r="C3626" s="508" t="s">
        <v>5</v>
      </c>
      <c r="D3626" s="508">
        <v>38.340000000000003</v>
      </c>
      <c r="E3626" s="461" t="s">
        <v>174</v>
      </c>
    </row>
    <row r="3627" spans="1:5" ht="27" x14ac:dyDescent="0.25">
      <c r="A3627" s="508">
        <v>89771</v>
      </c>
      <c r="B3627" s="509" t="s">
        <v>6099</v>
      </c>
      <c r="C3627" s="508" t="s">
        <v>5</v>
      </c>
      <c r="D3627" s="508">
        <v>51.14</v>
      </c>
      <c r="E3627" s="461" t="s">
        <v>174</v>
      </c>
    </row>
    <row r="3628" spans="1:5" ht="27" x14ac:dyDescent="0.25">
      <c r="A3628" s="508">
        <v>89773</v>
      </c>
      <c r="B3628" s="509" t="s">
        <v>6100</v>
      </c>
      <c r="C3628" s="508" t="s">
        <v>5</v>
      </c>
      <c r="D3628" s="508">
        <v>119.9</v>
      </c>
      <c r="E3628" s="461" t="s">
        <v>174</v>
      </c>
    </row>
    <row r="3629" spans="1:5" ht="27" x14ac:dyDescent="0.25">
      <c r="A3629" s="508">
        <v>89775</v>
      </c>
      <c r="B3629" s="509" t="s">
        <v>6101</v>
      </c>
      <c r="C3629" s="508" t="s">
        <v>5</v>
      </c>
      <c r="D3629" s="508">
        <v>187.25</v>
      </c>
      <c r="E3629" s="461" t="s">
        <v>174</v>
      </c>
    </row>
    <row r="3630" spans="1:5" ht="27" x14ac:dyDescent="0.25">
      <c r="A3630" s="508">
        <v>89798</v>
      </c>
      <c r="B3630" s="509" t="s">
        <v>6102</v>
      </c>
      <c r="C3630" s="508" t="s">
        <v>5</v>
      </c>
      <c r="D3630" s="508">
        <v>11.78</v>
      </c>
      <c r="E3630" s="461" t="s">
        <v>174</v>
      </c>
    </row>
    <row r="3631" spans="1:5" ht="27" x14ac:dyDescent="0.25">
      <c r="A3631" s="508">
        <v>89799</v>
      </c>
      <c r="B3631" s="509" t="s">
        <v>6103</v>
      </c>
      <c r="C3631" s="508" t="s">
        <v>5</v>
      </c>
      <c r="D3631" s="508">
        <v>20.69</v>
      </c>
      <c r="E3631" s="461" t="s">
        <v>174</v>
      </c>
    </row>
    <row r="3632" spans="1:5" ht="27" x14ac:dyDescent="0.25">
      <c r="A3632" s="508">
        <v>89800</v>
      </c>
      <c r="B3632" s="509" t="s">
        <v>6104</v>
      </c>
      <c r="C3632" s="508" t="s">
        <v>5</v>
      </c>
      <c r="D3632" s="508">
        <v>27.39</v>
      </c>
      <c r="E3632" s="461" t="s">
        <v>174</v>
      </c>
    </row>
    <row r="3633" spans="1:5" ht="27" x14ac:dyDescent="0.25">
      <c r="A3633" s="508">
        <v>89848</v>
      </c>
      <c r="B3633" s="509" t="s">
        <v>6105</v>
      </c>
      <c r="C3633" s="508" t="s">
        <v>5</v>
      </c>
      <c r="D3633" s="508">
        <v>26.11</v>
      </c>
      <c r="E3633" s="461" t="s">
        <v>174</v>
      </c>
    </row>
    <row r="3634" spans="1:5" ht="27" x14ac:dyDescent="0.25">
      <c r="A3634" s="508">
        <v>89849</v>
      </c>
      <c r="B3634" s="509" t="s">
        <v>6106</v>
      </c>
      <c r="C3634" s="508" t="s">
        <v>5</v>
      </c>
      <c r="D3634" s="508">
        <v>51.26</v>
      </c>
      <c r="E3634" s="461" t="s">
        <v>174</v>
      </c>
    </row>
    <row r="3635" spans="1:5" ht="27" x14ac:dyDescent="0.25">
      <c r="A3635" s="508">
        <v>89865</v>
      </c>
      <c r="B3635" s="509" t="s">
        <v>6107</v>
      </c>
      <c r="C3635" s="508" t="s">
        <v>5</v>
      </c>
      <c r="D3635" s="508">
        <v>18.100000000000001</v>
      </c>
      <c r="E3635" s="461" t="s">
        <v>174</v>
      </c>
    </row>
    <row r="3636" spans="1:5" ht="27" x14ac:dyDescent="0.25">
      <c r="A3636" s="508">
        <v>92275</v>
      </c>
      <c r="B3636" s="509" t="s">
        <v>6108</v>
      </c>
      <c r="C3636" s="508" t="s">
        <v>5</v>
      </c>
      <c r="D3636" s="508">
        <v>63.24</v>
      </c>
      <c r="E3636" s="461" t="s">
        <v>174</v>
      </c>
    </row>
    <row r="3637" spans="1:5" ht="27" x14ac:dyDescent="0.25">
      <c r="A3637" s="508">
        <v>92276</v>
      </c>
      <c r="B3637" s="509" t="s">
        <v>6109</v>
      </c>
      <c r="C3637" s="508" t="s">
        <v>5</v>
      </c>
      <c r="D3637" s="508">
        <v>80.319999999999993</v>
      </c>
      <c r="E3637" s="461" t="s">
        <v>174</v>
      </c>
    </row>
    <row r="3638" spans="1:5" ht="27" x14ac:dyDescent="0.25">
      <c r="A3638" s="508">
        <v>92277</v>
      </c>
      <c r="B3638" s="509" t="s">
        <v>6110</v>
      </c>
      <c r="C3638" s="508" t="s">
        <v>5</v>
      </c>
      <c r="D3638" s="508">
        <v>116.06</v>
      </c>
      <c r="E3638" s="461" t="s">
        <v>174</v>
      </c>
    </row>
    <row r="3639" spans="1:5" ht="27" x14ac:dyDescent="0.25">
      <c r="A3639" s="508">
        <v>92278</v>
      </c>
      <c r="B3639" s="509" t="s">
        <v>6111</v>
      </c>
      <c r="C3639" s="508" t="s">
        <v>5</v>
      </c>
      <c r="D3639" s="508">
        <v>156.21</v>
      </c>
      <c r="E3639" s="461" t="s">
        <v>174</v>
      </c>
    </row>
    <row r="3640" spans="1:5" ht="27" x14ac:dyDescent="0.25">
      <c r="A3640" s="508">
        <v>92279</v>
      </c>
      <c r="B3640" s="509" t="s">
        <v>6112</v>
      </c>
      <c r="C3640" s="508" t="s">
        <v>5</v>
      </c>
      <c r="D3640" s="508">
        <v>225.81</v>
      </c>
      <c r="E3640" s="461" t="s">
        <v>174</v>
      </c>
    </row>
    <row r="3641" spans="1:5" ht="27" x14ac:dyDescent="0.25">
      <c r="A3641" s="508">
        <v>92280</v>
      </c>
      <c r="B3641" s="509" t="s">
        <v>6113</v>
      </c>
      <c r="C3641" s="508" t="s">
        <v>5</v>
      </c>
      <c r="D3641" s="508">
        <v>317.02999999999997</v>
      </c>
      <c r="E3641" s="461" t="s">
        <v>174</v>
      </c>
    </row>
    <row r="3642" spans="1:5" ht="27" x14ac:dyDescent="0.25">
      <c r="A3642" s="508">
        <v>92281</v>
      </c>
      <c r="B3642" s="509" t="s">
        <v>6114</v>
      </c>
      <c r="C3642" s="508" t="s">
        <v>5</v>
      </c>
      <c r="D3642" s="508">
        <v>124.58</v>
      </c>
      <c r="E3642" s="461" t="s">
        <v>174</v>
      </c>
    </row>
    <row r="3643" spans="1:5" ht="27" x14ac:dyDescent="0.25">
      <c r="A3643" s="508">
        <v>92282</v>
      </c>
      <c r="B3643" s="509" t="s">
        <v>6115</v>
      </c>
      <c r="C3643" s="508" t="s">
        <v>5</v>
      </c>
      <c r="D3643" s="508">
        <v>144.16</v>
      </c>
      <c r="E3643" s="461" t="s">
        <v>174</v>
      </c>
    </row>
    <row r="3644" spans="1:5" ht="27" x14ac:dyDescent="0.25">
      <c r="A3644" s="508">
        <v>92283</v>
      </c>
      <c r="B3644" s="509" t="s">
        <v>6116</v>
      </c>
      <c r="C3644" s="508" t="s">
        <v>5</v>
      </c>
      <c r="D3644" s="508">
        <v>196.64</v>
      </c>
      <c r="E3644" s="461" t="s">
        <v>174</v>
      </c>
    </row>
    <row r="3645" spans="1:5" ht="27" x14ac:dyDescent="0.25">
      <c r="A3645" s="508">
        <v>92284</v>
      </c>
      <c r="B3645" s="509" t="s">
        <v>6117</v>
      </c>
      <c r="C3645" s="508" t="s">
        <v>5</v>
      </c>
      <c r="D3645" s="508">
        <v>248.01</v>
      </c>
      <c r="E3645" s="461" t="s">
        <v>174</v>
      </c>
    </row>
    <row r="3646" spans="1:5" ht="27" x14ac:dyDescent="0.25">
      <c r="A3646" s="508">
        <v>92285</v>
      </c>
      <c r="B3646" s="509" t="s">
        <v>6118</v>
      </c>
      <c r="C3646" s="508" t="s">
        <v>5</v>
      </c>
      <c r="D3646" s="508">
        <v>335.46</v>
      </c>
      <c r="E3646" s="461" t="s">
        <v>174</v>
      </c>
    </row>
    <row r="3647" spans="1:5" ht="27" x14ac:dyDescent="0.25">
      <c r="A3647" s="508">
        <v>92286</v>
      </c>
      <c r="B3647" s="509" t="s">
        <v>6119</v>
      </c>
      <c r="C3647" s="508" t="s">
        <v>5</v>
      </c>
      <c r="D3647" s="508">
        <v>428.22</v>
      </c>
      <c r="E3647" s="461" t="s">
        <v>174</v>
      </c>
    </row>
    <row r="3648" spans="1:5" ht="27" x14ac:dyDescent="0.25">
      <c r="A3648" s="508">
        <v>92305</v>
      </c>
      <c r="B3648" s="509" t="s">
        <v>6120</v>
      </c>
      <c r="C3648" s="508" t="s">
        <v>5</v>
      </c>
      <c r="D3648" s="508">
        <v>42.72</v>
      </c>
      <c r="E3648" s="461" t="s">
        <v>174</v>
      </c>
    </row>
    <row r="3649" spans="1:5" ht="27" x14ac:dyDescent="0.25">
      <c r="A3649" s="508">
        <v>92306</v>
      </c>
      <c r="B3649" s="509" t="s">
        <v>6121</v>
      </c>
      <c r="C3649" s="508" t="s">
        <v>5</v>
      </c>
      <c r="D3649" s="508">
        <v>69.33</v>
      </c>
      <c r="E3649" s="461" t="s">
        <v>174</v>
      </c>
    </row>
    <row r="3650" spans="1:5" ht="27" x14ac:dyDescent="0.25">
      <c r="A3650" s="508">
        <v>92307</v>
      </c>
      <c r="B3650" s="509" t="s">
        <v>6122</v>
      </c>
      <c r="C3650" s="508" t="s">
        <v>5</v>
      </c>
      <c r="D3650" s="508">
        <v>86.69</v>
      </c>
      <c r="E3650" s="461" t="s">
        <v>174</v>
      </c>
    </row>
    <row r="3651" spans="1:5" ht="27" x14ac:dyDescent="0.25">
      <c r="A3651" s="508">
        <v>92308</v>
      </c>
      <c r="B3651" s="509" t="s">
        <v>6123</v>
      </c>
      <c r="C3651" s="508" t="s">
        <v>5</v>
      </c>
      <c r="D3651" s="508">
        <v>59.05</v>
      </c>
      <c r="E3651" s="461" t="s">
        <v>174</v>
      </c>
    </row>
    <row r="3652" spans="1:5" ht="27" x14ac:dyDescent="0.25">
      <c r="A3652" s="508">
        <v>92309</v>
      </c>
      <c r="B3652" s="509" t="s">
        <v>6124</v>
      </c>
      <c r="C3652" s="508" t="s">
        <v>5</v>
      </c>
      <c r="D3652" s="508">
        <v>133.69999999999999</v>
      </c>
      <c r="E3652" s="461" t="s">
        <v>174</v>
      </c>
    </row>
    <row r="3653" spans="1:5" ht="27" x14ac:dyDescent="0.25">
      <c r="A3653" s="508">
        <v>92310</v>
      </c>
      <c r="B3653" s="509" t="s">
        <v>6125</v>
      </c>
      <c r="C3653" s="508" t="s">
        <v>5</v>
      </c>
      <c r="D3653" s="508">
        <v>153.57</v>
      </c>
      <c r="E3653" s="461" t="s">
        <v>174</v>
      </c>
    </row>
    <row r="3654" spans="1:5" ht="27" x14ac:dyDescent="0.25">
      <c r="A3654" s="508">
        <v>92320</v>
      </c>
      <c r="B3654" s="509" t="s">
        <v>6126</v>
      </c>
      <c r="C3654" s="508" t="s">
        <v>5</v>
      </c>
      <c r="D3654" s="508">
        <v>55.21</v>
      </c>
      <c r="E3654" s="461" t="s">
        <v>174</v>
      </c>
    </row>
    <row r="3655" spans="1:5" ht="27" x14ac:dyDescent="0.25">
      <c r="A3655" s="508">
        <v>92321</v>
      </c>
      <c r="B3655" s="509" t="s">
        <v>6127</v>
      </c>
      <c r="C3655" s="508" t="s">
        <v>5</v>
      </c>
      <c r="D3655" s="508">
        <v>90.87</v>
      </c>
      <c r="E3655" s="461" t="s">
        <v>174</v>
      </c>
    </row>
    <row r="3656" spans="1:5" ht="27" x14ac:dyDescent="0.25">
      <c r="A3656" s="508">
        <v>92322</v>
      </c>
      <c r="B3656" s="509" t="s">
        <v>6128</v>
      </c>
      <c r="C3656" s="508" t="s">
        <v>5</v>
      </c>
      <c r="D3656" s="508">
        <v>115.97</v>
      </c>
      <c r="E3656" s="461" t="s">
        <v>174</v>
      </c>
    </row>
    <row r="3657" spans="1:5" ht="27" x14ac:dyDescent="0.25">
      <c r="A3657" s="508">
        <v>92323</v>
      </c>
      <c r="B3657" s="509" t="s">
        <v>6129</v>
      </c>
      <c r="C3657" s="508" t="s">
        <v>5</v>
      </c>
      <c r="D3657" s="508">
        <v>68.55</v>
      </c>
      <c r="E3657" s="461" t="s">
        <v>174</v>
      </c>
    </row>
    <row r="3658" spans="1:5" ht="27" x14ac:dyDescent="0.25">
      <c r="A3658" s="508">
        <v>92324</v>
      </c>
      <c r="B3658" s="509" t="s">
        <v>6130</v>
      </c>
      <c r="C3658" s="508" t="s">
        <v>5</v>
      </c>
      <c r="D3658" s="508">
        <v>152.22999999999999</v>
      </c>
      <c r="E3658" s="461" t="s">
        <v>174</v>
      </c>
    </row>
    <row r="3659" spans="1:5" ht="27" x14ac:dyDescent="0.25">
      <c r="A3659" s="508">
        <v>92325</v>
      </c>
      <c r="B3659" s="509" t="s">
        <v>6131</v>
      </c>
      <c r="C3659" s="508" t="s">
        <v>5</v>
      </c>
      <c r="D3659" s="508">
        <v>179.85</v>
      </c>
      <c r="E3659" s="461" t="s">
        <v>174</v>
      </c>
    </row>
    <row r="3660" spans="1:5" ht="27" x14ac:dyDescent="0.25">
      <c r="A3660" s="508">
        <v>92335</v>
      </c>
      <c r="B3660" s="509" t="s">
        <v>2686</v>
      </c>
      <c r="C3660" s="508" t="s">
        <v>5</v>
      </c>
      <c r="D3660" s="508">
        <v>94.84</v>
      </c>
      <c r="E3660" s="461" t="s">
        <v>174</v>
      </c>
    </row>
    <row r="3661" spans="1:5" ht="27" x14ac:dyDescent="0.25">
      <c r="A3661" s="508">
        <v>92336</v>
      </c>
      <c r="B3661" s="509" t="s">
        <v>2687</v>
      </c>
      <c r="C3661" s="508" t="s">
        <v>5</v>
      </c>
      <c r="D3661" s="508">
        <v>116.45</v>
      </c>
      <c r="E3661" s="461" t="s">
        <v>174</v>
      </c>
    </row>
    <row r="3662" spans="1:5" ht="27" x14ac:dyDescent="0.25">
      <c r="A3662" s="508">
        <v>92337</v>
      </c>
      <c r="B3662" s="509" t="s">
        <v>2688</v>
      </c>
      <c r="C3662" s="508" t="s">
        <v>5</v>
      </c>
      <c r="D3662" s="508">
        <v>153.13999999999999</v>
      </c>
      <c r="E3662" s="461" t="s">
        <v>174</v>
      </c>
    </row>
    <row r="3663" spans="1:5" ht="27" x14ac:dyDescent="0.25">
      <c r="A3663" s="508">
        <v>92338</v>
      </c>
      <c r="B3663" s="509" t="s">
        <v>2689</v>
      </c>
      <c r="C3663" s="508" t="s">
        <v>5</v>
      </c>
      <c r="D3663" s="508">
        <v>145.63999999999999</v>
      </c>
      <c r="E3663" s="461" t="s">
        <v>174</v>
      </c>
    </row>
    <row r="3664" spans="1:5" ht="27" x14ac:dyDescent="0.25">
      <c r="A3664" s="508">
        <v>92339</v>
      </c>
      <c r="B3664" s="509" t="s">
        <v>2690</v>
      </c>
      <c r="C3664" s="508" t="s">
        <v>5</v>
      </c>
      <c r="D3664" s="508">
        <v>219.37</v>
      </c>
      <c r="E3664" s="461" t="s">
        <v>174</v>
      </c>
    </row>
    <row r="3665" spans="1:5" ht="27" x14ac:dyDescent="0.25">
      <c r="A3665" s="508">
        <v>92341</v>
      </c>
      <c r="B3665" s="509" t="s">
        <v>2691</v>
      </c>
      <c r="C3665" s="508" t="s">
        <v>5</v>
      </c>
      <c r="D3665" s="508">
        <v>106.31</v>
      </c>
      <c r="E3665" s="461" t="s">
        <v>174</v>
      </c>
    </row>
    <row r="3666" spans="1:5" ht="27" x14ac:dyDescent="0.25">
      <c r="A3666" s="508">
        <v>92342</v>
      </c>
      <c r="B3666" s="509" t="s">
        <v>2692</v>
      </c>
      <c r="C3666" s="508" t="s">
        <v>5</v>
      </c>
      <c r="D3666" s="508">
        <v>127.99</v>
      </c>
      <c r="E3666" s="461" t="s">
        <v>174</v>
      </c>
    </row>
    <row r="3667" spans="1:5" ht="27" x14ac:dyDescent="0.25">
      <c r="A3667" s="508">
        <v>92343</v>
      </c>
      <c r="B3667" s="509" t="s">
        <v>2693</v>
      </c>
      <c r="C3667" s="508" t="s">
        <v>5</v>
      </c>
      <c r="D3667" s="508">
        <v>164.8</v>
      </c>
      <c r="E3667" s="461" t="s">
        <v>174</v>
      </c>
    </row>
    <row r="3668" spans="1:5" ht="27" x14ac:dyDescent="0.25">
      <c r="A3668" s="508">
        <v>92359</v>
      </c>
      <c r="B3668" s="509" t="s">
        <v>2694</v>
      </c>
      <c r="C3668" s="508" t="s">
        <v>5</v>
      </c>
      <c r="D3668" s="508">
        <v>67.459999999999994</v>
      </c>
      <c r="E3668" s="461" t="s">
        <v>174</v>
      </c>
    </row>
    <row r="3669" spans="1:5" ht="27" x14ac:dyDescent="0.25">
      <c r="A3669" s="508">
        <v>92360</v>
      </c>
      <c r="B3669" s="509" t="s">
        <v>2695</v>
      </c>
      <c r="C3669" s="508" t="s">
        <v>5</v>
      </c>
      <c r="D3669" s="508">
        <v>90.14</v>
      </c>
      <c r="E3669" s="461" t="s">
        <v>174</v>
      </c>
    </row>
    <row r="3670" spans="1:5" ht="27" x14ac:dyDescent="0.25">
      <c r="A3670" s="508">
        <v>92361</v>
      </c>
      <c r="B3670" s="509" t="s">
        <v>2696</v>
      </c>
      <c r="C3670" s="508" t="s">
        <v>5</v>
      </c>
      <c r="D3670" s="508">
        <v>121.8</v>
      </c>
      <c r="E3670" s="461" t="s">
        <v>174</v>
      </c>
    </row>
    <row r="3671" spans="1:5" ht="27" x14ac:dyDescent="0.25">
      <c r="A3671" s="508">
        <v>92362</v>
      </c>
      <c r="B3671" s="509" t="s">
        <v>2697</v>
      </c>
      <c r="C3671" s="508" t="s">
        <v>5</v>
      </c>
      <c r="D3671" s="508">
        <v>194.59</v>
      </c>
      <c r="E3671" s="461" t="s">
        <v>174</v>
      </c>
    </row>
    <row r="3672" spans="1:5" ht="40.5" x14ac:dyDescent="0.25">
      <c r="A3672" s="508">
        <v>92364</v>
      </c>
      <c r="B3672" s="509" t="s">
        <v>2698</v>
      </c>
      <c r="C3672" s="508" t="s">
        <v>5</v>
      </c>
      <c r="D3672" s="508">
        <v>57.66</v>
      </c>
      <c r="E3672" s="461" t="s">
        <v>174</v>
      </c>
    </row>
    <row r="3673" spans="1:5" ht="40.5" x14ac:dyDescent="0.25">
      <c r="A3673" s="508">
        <v>92365</v>
      </c>
      <c r="B3673" s="509" t="s">
        <v>2699</v>
      </c>
      <c r="C3673" s="508" t="s">
        <v>5</v>
      </c>
      <c r="D3673" s="508">
        <v>66.3</v>
      </c>
      <c r="E3673" s="461" t="s">
        <v>174</v>
      </c>
    </row>
    <row r="3674" spans="1:5" ht="40.5" x14ac:dyDescent="0.25">
      <c r="A3674" s="508">
        <v>92366</v>
      </c>
      <c r="B3674" s="509" t="s">
        <v>2700</v>
      </c>
      <c r="C3674" s="508" t="s">
        <v>5</v>
      </c>
      <c r="D3674" s="508">
        <v>92.13</v>
      </c>
      <c r="E3674" s="461" t="s">
        <v>174</v>
      </c>
    </row>
    <row r="3675" spans="1:5" ht="40.5" x14ac:dyDescent="0.25">
      <c r="A3675" s="508">
        <v>92367</v>
      </c>
      <c r="B3675" s="509" t="s">
        <v>2701</v>
      </c>
      <c r="C3675" s="508" t="s">
        <v>5</v>
      </c>
      <c r="D3675" s="508">
        <v>113.15</v>
      </c>
      <c r="E3675" s="461" t="s">
        <v>174</v>
      </c>
    </row>
    <row r="3676" spans="1:5" ht="40.5" x14ac:dyDescent="0.25">
      <c r="A3676" s="508">
        <v>92368</v>
      </c>
      <c r="B3676" s="509" t="s">
        <v>2702</v>
      </c>
      <c r="C3676" s="508" t="s">
        <v>5</v>
      </c>
      <c r="D3676" s="508">
        <v>149.37</v>
      </c>
      <c r="E3676" s="461" t="s">
        <v>174</v>
      </c>
    </row>
    <row r="3677" spans="1:5" ht="27" x14ac:dyDescent="0.25">
      <c r="A3677" s="508">
        <v>92645</v>
      </c>
      <c r="B3677" s="509" t="s">
        <v>2703</v>
      </c>
      <c r="C3677" s="508" t="s">
        <v>5</v>
      </c>
      <c r="D3677" s="508">
        <v>71.75</v>
      </c>
      <c r="E3677" s="461" t="s">
        <v>174</v>
      </c>
    </row>
    <row r="3678" spans="1:5" ht="27" x14ac:dyDescent="0.25">
      <c r="A3678" s="508">
        <v>92646</v>
      </c>
      <c r="B3678" s="509" t="s">
        <v>2704</v>
      </c>
      <c r="C3678" s="508" t="s">
        <v>5</v>
      </c>
      <c r="D3678" s="508">
        <v>94.42</v>
      </c>
      <c r="E3678" s="461" t="s">
        <v>174</v>
      </c>
    </row>
    <row r="3679" spans="1:5" ht="27" x14ac:dyDescent="0.25">
      <c r="A3679" s="508">
        <v>92648</v>
      </c>
      <c r="B3679" s="509" t="s">
        <v>2705</v>
      </c>
      <c r="C3679" s="508" t="s">
        <v>5</v>
      </c>
      <c r="D3679" s="508">
        <v>103.41</v>
      </c>
      <c r="E3679" s="461" t="s">
        <v>174</v>
      </c>
    </row>
    <row r="3680" spans="1:5" ht="27" x14ac:dyDescent="0.25">
      <c r="A3680" s="508">
        <v>92649</v>
      </c>
      <c r="B3680" s="509" t="s">
        <v>2706</v>
      </c>
      <c r="C3680" s="508" t="s">
        <v>5</v>
      </c>
      <c r="D3680" s="508">
        <v>126.08</v>
      </c>
      <c r="E3680" s="461" t="s">
        <v>174</v>
      </c>
    </row>
    <row r="3681" spans="1:5" ht="27" x14ac:dyDescent="0.25">
      <c r="A3681" s="508">
        <v>92650</v>
      </c>
      <c r="B3681" s="509" t="s">
        <v>2707</v>
      </c>
      <c r="C3681" s="508" t="s">
        <v>5</v>
      </c>
      <c r="D3681" s="508">
        <v>198.87</v>
      </c>
      <c r="E3681" s="461" t="s">
        <v>174</v>
      </c>
    </row>
    <row r="3682" spans="1:5" ht="40.5" x14ac:dyDescent="0.25">
      <c r="A3682" s="508">
        <v>92652</v>
      </c>
      <c r="B3682" s="509" t="s">
        <v>2708</v>
      </c>
      <c r="C3682" s="508" t="s">
        <v>5</v>
      </c>
      <c r="D3682" s="508">
        <v>62.9</v>
      </c>
      <c r="E3682" s="461" t="s">
        <v>174</v>
      </c>
    </row>
    <row r="3683" spans="1:5" ht="40.5" x14ac:dyDescent="0.25">
      <c r="A3683" s="508">
        <v>92653</v>
      </c>
      <c r="B3683" s="509" t="s">
        <v>2709</v>
      </c>
      <c r="C3683" s="508" t="s">
        <v>5</v>
      </c>
      <c r="D3683" s="508">
        <v>71.58</v>
      </c>
      <c r="E3683" s="461" t="s">
        <v>174</v>
      </c>
    </row>
    <row r="3684" spans="1:5" ht="40.5" x14ac:dyDescent="0.25">
      <c r="A3684" s="508">
        <v>92654</v>
      </c>
      <c r="B3684" s="509" t="s">
        <v>2710</v>
      </c>
      <c r="C3684" s="508" t="s">
        <v>5</v>
      </c>
      <c r="D3684" s="508">
        <v>97.41</v>
      </c>
      <c r="E3684" s="461" t="s">
        <v>174</v>
      </c>
    </row>
    <row r="3685" spans="1:5" ht="40.5" x14ac:dyDescent="0.25">
      <c r="A3685" s="508">
        <v>92655</v>
      </c>
      <c r="B3685" s="509" t="s">
        <v>2711</v>
      </c>
      <c r="C3685" s="508" t="s">
        <v>5</v>
      </c>
      <c r="D3685" s="508">
        <v>118.55</v>
      </c>
      <c r="E3685" s="461" t="s">
        <v>174</v>
      </c>
    </row>
    <row r="3686" spans="1:5" ht="40.5" x14ac:dyDescent="0.25">
      <c r="A3686" s="508">
        <v>92656</v>
      </c>
      <c r="B3686" s="509" t="s">
        <v>2712</v>
      </c>
      <c r="C3686" s="508" t="s">
        <v>5</v>
      </c>
      <c r="D3686" s="508">
        <v>154.76</v>
      </c>
      <c r="E3686" s="461" t="s">
        <v>174</v>
      </c>
    </row>
    <row r="3687" spans="1:5" ht="27" x14ac:dyDescent="0.25">
      <c r="A3687" s="508">
        <v>92687</v>
      </c>
      <c r="B3687" s="509" t="s">
        <v>2713</v>
      </c>
      <c r="C3687" s="508" t="s">
        <v>5</v>
      </c>
      <c r="D3687" s="508">
        <v>29.63</v>
      </c>
      <c r="E3687" s="461" t="s">
        <v>174</v>
      </c>
    </row>
    <row r="3688" spans="1:5" ht="27" x14ac:dyDescent="0.25">
      <c r="A3688" s="508">
        <v>92688</v>
      </c>
      <c r="B3688" s="509" t="s">
        <v>2714</v>
      </c>
      <c r="C3688" s="508" t="s">
        <v>5</v>
      </c>
      <c r="D3688" s="508">
        <v>41.69</v>
      </c>
      <c r="E3688" s="461" t="s">
        <v>174</v>
      </c>
    </row>
    <row r="3689" spans="1:5" ht="27" x14ac:dyDescent="0.25">
      <c r="A3689" s="508">
        <v>92689</v>
      </c>
      <c r="B3689" s="509" t="s">
        <v>2715</v>
      </c>
      <c r="C3689" s="508" t="s">
        <v>5</v>
      </c>
      <c r="D3689" s="508">
        <v>50.91</v>
      </c>
      <c r="E3689" s="461" t="s">
        <v>174</v>
      </c>
    </row>
    <row r="3690" spans="1:5" ht="27" x14ac:dyDescent="0.25">
      <c r="A3690" s="508">
        <v>92690</v>
      </c>
      <c r="B3690" s="509" t="s">
        <v>2716</v>
      </c>
      <c r="C3690" s="508" t="s">
        <v>5</v>
      </c>
      <c r="D3690" s="508">
        <v>72.94</v>
      </c>
      <c r="E3690" s="461" t="s">
        <v>174</v>
      </c>
    </row>
    <row r="3691" spans="1:5" ht="27" x14ac:dyDescent="0.25">
      <c r="A3691" s="508">
        <v>92691</v>
      </c>
      <c r="B3691" s="509" t="s">
        <v>2717</v>
      </c>
      <c r="C3691" s="508" t="s">
        <v>5</v>
      </c>
      <c r="D3691" s="508">
        <v>95.93</v>
      </c>
      <c r="E3691" s="461" t="s">
        <v>174</v>
      </c>
    </row>
    <row r="3692" spans="1:5" ht="27" x14ac:dyDescent="0.25">
      <c r="A3692" s="508">
        <v>94462</v>
      </c>
      <c r="B3692" s="509" t="s">
        <v>6132</v>
      </c>
      <c r="C3692" s="508" t="s">
        <v>5</v>
      </c>
      <c r="D3692" s="508">
        <v>100.94</v>
      </c>
      <c r="E3692" s="461" t="s">
        <v>174</v>
      </c>
    </row>
    <row r="3693" spans="1:5" ht="40.5" x14ac:dyDescent="0.25">
      <c r="A3693" s="508">
        <v>94463</v>
      </c>
      <c r="B3693" s="509" t="s">
        <v>6133</v>
      </c>
      <c r="C3693" s="508" t="s">
        <v>5</v>
      </c>
      <c r="D3693" s="508">
        <v>123.79</v>
      </c>
      <c r="E3693" s="461" t="s">
        <v>174</v>
      </c>
    </row>
    <row r="3694" spans="1:5" ht="27" x14ac:dyDescent="0.25">
      <c r="A3694" s="508">
        <v>94464</v>
      </c>
      <c r="B3694" s="509" t="s">
        <v>6134</v>
      </c>
      <c r="C3694" s="508" t="s">
        <v>5</v>
      </c>
      <c r="D3694" s="508">
        <v>162.63</v>
      </c>
      <c r="E3694" s="461" t="s">
        <v>174</v>
      </c>
    </row>
    <row r="3695" spans="1:5" ht="27" x14ac:dyDescent="0.25">
      <c r="A3695" s="508">
        <v>94602</v>
      </c>
      <c r="B3695" s="509" t="s">
        <v>6135</v>
      </c>
      <c r="C3695" s="508" t="s">
        <v>5</v>
      </c>
      <c r="D3695" s="508">
        <v>246.5</v>
      </c>
      <c r="E3695" s="461" t="s">
        <v>174</v>
      </c>
    </row>
    <row r="3696" spans="1:5" ht="27" x14ac:dyDescent="0.25">
      <c r="A3696" s="508">
        <v>94603</v>
      </c>
      <c r="B3696" s="509" t="s">
        <v>6136</v>
      </c>
      <c r="C3696" s="508" t="s">
        <v>5</v>
      </c>
      <c r="D3696" s="508">
        <v>337.49</v>
      </c>
      <c r="E3696" s="461" t="s">
        <v>174</v>
      </c>
    </row>
    <row r="3697" spans="1:5" ht="27" x14ac:dyDescent="0.25">
      <c r="A3697" s="508">
        <v>94604</v>
      </c>
      <c r="B3697" s="509" t="s">
        <v>6137</v>
      </c>
      <c r="C3697" s="508" t="s">
        <v>5</v>
      </c>
      <c r="D3697" s="508">
        <v>481.76</v>
      </c>
      <c r="E3697" s="461" t="s">
        <v>174</v>
      </c>
    </row>
    <row r="3698" spans="1:5" ht="27" x14ac:dyDescent="0.25">
      <c r="A3698" s="508">
        <v>94605</v>
      </c>
      <c r="B3698" s="509" t="s">
        <v>6138</v>
      </c>
      <c r="C3698" s="508" t="s">
        <v>5</v>
      </c>
      <c r="D3698" s="508">
        <v>698.96</v>
      </c>
      <c r="E3698" s="461" t="s">
        <v>174</v>
      </c>
    </row>
    <row r="3699" spans="1:5" ht="27" x14ac:dyDescent="0.25">
      <c r="A3699" s="508">
        <v>94648</v>
      </c>
      <c r="B3699" s="509" t="s">
        <v>6139</v>
      </c>
      <c r="C3699" s="508" t="s">
        <v>5</v>
      </c>
      <c r="D3699" s="508">
        <v>6.78</v>
      </c>
      <c r="E3699" s="461" t="s">
        <v>174</v>
      </c>
    </row>
    <row r="3700" spans="1:5" ht="27" x14ac:dyDescent="0.25">
      <c r="A3700" s="508">
        <v>94649</v>
      </c>
      <c r="B3700" s="509" t="s">
        <v>6140</v>
      </c>
      <c r="C3700" s="508" t="s">
        <v>5</v>
      </c>
      <c r="D3700" s="508">
        <v>12.49</v>
      </c>
      <c r="E3700" s="461" t="s">
        <v>174</v>
      </c>
    </row>
    <row r="3701" spans="1:5" ht="27" x14ac:dyDescent="0.25">
      <c r="A3701" s="508">
        <v>94650</v>
      </c>
      <c r="B3701" s="509" t="s">
        <v>6141</v>
      </c>
      <c r="C3701" s="508" t="s">
        <v>5</v>
      </c>
      <c r="D3701" s="508">
        <v>18.88</v>
      </c>
      <c r="E3701" s="461" t="s">
        <v>174</v>
      </c>
    </row>
    <row r="3702" spans="1:5" ht="27" x14ac:dyDescent="0.25">
      <c r="A3702" s="508">
        <v>94651</v>
      </c>
      <c r="B3702" s="509" t="s">
        <v>6142</v>
      </c>
      <c r="C3702" s="508" t="s">
        <v>5</v>
      </c>
      <c r="D3702" s="508">
        <v>22</v>
      </c>
      <c r="E3702" s="461" t="s">
        <v>174</v>
      </c>
    </row>
    <row r="3703" spans="1:5" ht="27" x14ac:dyDescent="0.25">
      <c r="A3703" s="508">
        <v>94652</v>
      </c>
      <c r="B3703" s="509" t="s">
        <v>6143</v>
      </c>
      <c r="C3703" s="508" t="s">
        <v>5</v>
      </c>
      <c r="D3703" s="508">
        <v>34.39</v>
      </c>
      <c r="E3703" s="461" t="s">
        <v>174</v>
      </c>
    </row>
    <row r="3704" spans="1:5" ht="27" x14ac:dyDescent="0.25">
      <c r="A3704" s="508">
        <v>94653</v>
      </c>
      <c r="B3704" s="509" t="s">
        <v>6144</v>
      </c>
      <c r="C3704" s="508" t="s">
        <v>5</v>
      </c>
      <c r="D3704" s="508">
        <v>55.47</v>
      </c>
      <c r="E3704" s="461" t="s">
        <v>174</v>
      </c>
    </row>
    <row r="3705" spans="1:5" ht="27" x14ac:dyDescent="0.25">
      <c r="A3705" s="508">
        <v>94654</v>
      </c>
      <c r="B3705" s="509" t="s">
        <v>6145</v>
      </c>
      <c r="C3705" s="508" t="s">
        <v>5</v>
      </c>
      <c r="D3705" s="508">
        <v>75.510000000000005</v>
      </c>
      <c r="E3705" s="461" t="s">
        <v>174</v>
      </c>
    </row>
    <row r="3706" spans="1:5" ht="27" x14ac:dyDescent="0.25">
      <c r="A3706" s="508">
        <v>94655</v>
      </c>
      <c r="B3706" s="509" t="s">
        <v>6146</v>
      </c>
      <c r="C3706" s="508" t="s">
        <v>5</v>
      </c>
      <c r="D3706" s="508">
        <v>118.97</v>
      </c>
      <c r="E3706" s="461" t="s">
        <v>174</v>
      </c>
    </row>
    <row r="3707" spans="1:5" ht="27" x14ac:dyDescent="0.25">
      <c r="A3707" s="508">
        <v>94716</v>
      </c>
      <c r="B3707" s="509" t="s">
        <v>6147</v>
      </c>
      <c r="C3707" s="508" t="s">
        <v>5</v>
      </c>
      <c r="D3707" s="508">
        <v>18.68</v>
      </c>
      <c r="E3707" s="461" t="s">
        <v>174</v>
      </c>
    </row>
    <row r="3708" spans="1:5" ht="27" x14ac:dyDescent="0.25">
      <c r="A3708" s="508">
        <v>94717</v>
      </c>
      <c r="B3708" s="509" t="s">
        <v>6148</v>
      </c>
      <c r="C3708" s="508" t="s">
        <v>5</v>
      </c>
      <c r="D3708" s="508">
        <v>31.14</v>
      </c>
      <c r="E3708" s="461" t="s">
        <v>174</v>
      </c>
    </row>
    <row r="3709" spans="1:5" ht="27" x14ac:dyDescent="0.25">
      <c r="A3709" s="508">
        <v>94718</v>
      </c>
      <c r="B3709" s="509" t="s">
        <v>6149</v>
      </c>
      <c r="C3709" s="508" t="s">
        <v>5</v>
      </c>
      <c r="D3709" s="508">
        <v>40.659999999999997</v>
      </c>
      <c r="E3709" s="461" t="s">
        <v>174</v>
      </c>
    </row>
    <row r="3710" spans="1:5" ht="27" x14ac:dyDescent="0.25">
      <c r="A3710" s="508">
        <v>94719</v>
      </c>
      <c r="B3710" s="509" t="s">
        <v>6150</v>
      </c>
      <c r="C3710" s="508" t="s">
        <v>5</v>
      </c>
      <c r="D3710" s="508">
        <v>54.22</v>
      </c>
      <c r="E3710" s="461" t="s">
        <v>174</v>
      </c>
    </row>
    <row r="3711" spans="1:5" ht="27" x14ac:dyDescent="0.25">
      <c r="A3711" s="508">
        <v>94720</v>
      </c>
      <c r="B3711" s="509" t="s">
        <v>6151</v>
      </c>
      <c r="C3711" s="508" t="s">
        <v>5</v>
      </c>
      <c r="D3711" s="508">
        <v>79.41</v>
      </c>
      <c r="E3711" s="461" t="s">
        <v>174</v>
      </c>
    </row>
    <row r="3712" spans="1:5" ht="27" x14ac:dyDescent="0.25">
      <c r="A3712" s="508">
        <v>94721</v>
      </c>
      <c r="B3712" s="509" t="s">
        <v>6152</v>
      </c>
      <c r="C3712" s="508" t="s">
        <v>5</v>
      </c>
      <c r="D3712" s="508">
        <v>128.80000000000001</v>
      </c>
      <c r="E3712" s="461" t="s">
        <v>174</v>
      </c>
    </row>
    <row r="3713" spans="1:5" ht="27" x14ac:dyDescent="0.25">
      <c r="A3713" s="508">
        <v>94722</v>
      </c>
      <c r="B3713" s="509" t="s">
        <v>6153</v>
      </c>
      <c r="C3713" s="508" t="s">
        <v>5</v>
      </c>
      <c r="D3713" s="508">
        <v>200.58</v>
      </c>
      <c r="E3713" s="461" t="s">
        <v>174</v>
      </c>
    </row>
    <row r="3714" spans="1:5" ht="27" x14ac:dyDescent="0.25">
      <c r="A3714" s="508">
        <v>94723</v>
      </c>
      <c r="B3714" s="509" t="s">
        <v>6154</v>
      </c>
      <c r="C3714" s="508" t="s">
        <v>5</v>
      </c>
      <c r="D3714" s="508">
        <v>376.58</v>
      </c>
      <c r="E3714" s="461" t="s">
        <v>174</v>
      </c>
    </row>
    <row r="3715" spans="1:5" ht="27" x14ac:dyDescent="0.25">
      <c r="A3715" s="508">
        <v>95697</v>
      </c>
      <c r="B3715" s="509" t="s">
        <v>2718</v>
      </c>
      <c r="C3715" s="508" t="s">
        <v>5</v>
      </c>
      <c r="D3715" s="508">
        <v>99.12</v>
      </c>
      <c r="E3715" s="461" t="s">
        <v>174</v>
      </c>
    </row>
    <row r="3716" spans="1:5" ht="27" x14ac:dyDescent="0.25">
      <c r="A3716" s="508">
        <v>96635</v>
      </c>
      <c r="B3716" s="509" t="s">
        <v>6155</v>
      </c>
      <c r="C3716" s="508" t="s">
        <v>5</v>
      </c>
      <c r="D3716" s="508">
        <v>44.62</v>
      </c>
      <c r="E3716" s="461" t="s">
        <v>174</v>
      </c>
    </row>
    <row r="3717" spans="1:5" ht="27" x14ac:dyDescent="0.25">
      <c r="A3717" s="508">
        <v>96636</v>
      </c>
      <c r="B3717" s="509" t="s">
        <v>6156</v>
      </c>
      <c r="C3717" s="508" t="s">
        <v>5</v>
      </c>
      <c r="D3717" s="508">
        <v>47.33</v>
      </c>
      <c r="E3717" s="461" t="s">
        <v>174</v>
      </c>
    </row>
    <row r="3718" spans="1:5" ht="27" x14ac:dyDescent="0.25">
      <c r="A3718" s="508">
        <v>96644</v>
      </c>
      <c r="B3718" s="509" t="s">
        <v>6157</v>
      </c>
      <c r="C3718" s="508" t="s">
        <v>5</v>
      </c>
      <c r="D3718" s="508">
        <v>24.63</v>
      </c>
      <c r="E3718" s="461" t="s">
        <v>174</v>
      </c>
    </row>
    <row r="3719" spans="1:5" ht="27" x14ac:dyDescent="0.25">
      <c r="A3719" s="508">
        <v>96645</v>
      </c>
      <c r="B3719" s="509" t="s">
        <v>6158</v>
      </c>
      <c r="C3719" s="508" t="s">
        <v>5</v>
      </c>
      <c r="D3719" s="508">
        <v>21.79</v>
      </c>
      <c r="E3719" s="461" t="s">
        <v>174</v>
      </c>
    </row>
    <row r="3720" spans="1:5" ht="27" x14ac:dyDescent="0.25">
      <c r="A3720" s="508">
        <v>96646</v>
      </c>
      <c r="B3720" s="509" t="s">
        <v>6159</v>
      </c>
      <c r="C3720" s="508" t="s">
        <v>5</v>
      </c>
      <c r="D3720" s="508">
        <v>26.71</v>
      </c>
      <c r="E3720" s="461" t="s">
        <v>174</v>
      </c>
    </row>
    <row r="3721" spans="1:5" ht="27" x14ac:dyDescent="0.25">
      <c r="A3721" s="508">
        <v>96647</v>
      </c>
      <c r="B3721" s="509" t="s">
        <v>6160</v>
      </c>
      <c r="C3721" s="508" t="s">
        <v>5</v>
      </c>
      <c r="D3721" s="508">
        <v>26.78</v>
      </c>
      <c r="E3721" s="461" t="s">
        <v>174</v>
      </c>
    </row>
    <row r="3722" spans="1:5" ht="27" x14ac:dyDescent="0.25">
      <c r="A3722" s="508">
        <v>96648</v>
      </c>
      <c r="B3722" s="509" t="s">
        <v>6161</v>
      </c>
      <c r="C3722" s="508" t="s">
        <v>5</v>
      </c>
      <c r="D3722" s="508">
        <v>33.07</v>
      </c>
      <c r="E3722" s="461" t="s">
        <v>174</v>
      </c>
    </row>
    <row r="3723" spans="1:5" ht="27" x14ac:dyDescent="0.25">
      <c r="A3723" s="508">
        <v>96649</v>
      </c>
      <c r="B3723" s="509" t="s">
        <v>6162</v>
      </c>
      <c r="C3723" s="508" t="s">
        <v>5</v>
      </c>
      <c r="D3723" s="508">
        <v>43.84</v>
      </c>
      <c r="E3723" s="461" t="s">
        <v>174</v>
      </c>
    </row>
    <row r="3724" spans="1:5" ht="27" x14ac:dyDescent="0.25">
      <c r="A3724" s="508">
        <v>96668</v>
      </c>
      <c r="B3724" s="509" t="s">
        <v>6163</v>
      </c>
      <c r="C3724" s="508" t="s">
        <v>5</v>
      </c>
      <c r="D3724" s="508">
        <v>19.32</v>
      </c>
      <c r="E3724" s="461" t="s">
        <v>174</v>
      </c>
    </row>
    <row r="3725" spans="1:5" ht="27" x14ac:dyDescent="0.25">
      <c r="A3725" s="508">
        <v>96669</v>
      </c>
      <c r="B3725" s="509" t="s">
        <v>6164</v>
      </c>
      <c r="C3725" s="508" t="s">
        <v>5</v>
      </c>
      <c r="D3725" s="508">
        <v>18.96</v>
      </c>
      <c r="E3725" s="461" t="s">
        <v>174</v>
      </c>
    </row>
    <row r="3726" spans="1:5" ht="27" x14ac:dyDescent="0.25">
      <c r="A3726" s="508">
        <v>96670</v>
      </c>
      <c r="B3726" s="509" t="s">
        <v>6165</v>
      </c>
      <c r="C3726" s="508" t="s">
        <v>5</v>
      </c>
      <c r="D3726" s="508">
        <v>24.67</v>
      </c>
      <c r="E3726" s="461" t="s">
        <v>174</v>
      </c>
    </row>
    <row r="3727" spans="1:5" ht="27" x14ac:dyDescent="0.25">
      <c r="A3727" s="508">
        <v>96671</v>
      </c>
      <c r="B3727" s="509" t="s">
        <v>6166</v>
      </c>
      <c r="C3727" s="508" t="s">
        <v>5</v>
      </c>
      <c r="D3727" s="508">
        <v>37.39</v>
      </c>
      <c r="E3727" s="461" t="s">
        <v>174</v>
      </c>
    </row>
    <row r="3728" spans="1:5" ht="27" x14ac:dyDescent="0.25">
      <c r="A3728" s="508">
        <v>96672</v>
      </c>
      <c r="B3728" s="509" t="s">
        <v>6167</v>
      </c>
      <c r="C3728" s="508" t="s">
        <v>5</v>
      </c>
      <c r="D3728" s="508">
        <v>57.04</v>
      </c>
      <c r="E3728" s="461" t="s">
        <v>174</v>
      </c>
    </row>
    <row r="3729" spans="1:5" ht="27" x14ac:dyDescent="0.25">
      <c r="A3729" s="508">
        <v>96673</v>
      </c>
      <c r="B3729" s="509" t="s">
        <v>6168</v>
      </c>
      <c r="C3729" s="508" t="s">
        <v>5</v>
      </c>
      <c r="D3729" s="508">
        <v>71.91</v>
      </c>
      <c r="E3729" s="461" t="s">
        <v>174</v>
      </c>
    </row>
    <row r="3730" spans="1:5" ht="27" x14ac:dyDescent="0.25">
      <c r="A3730" s="508">
        <v>96674</v>
      </c>
      <c r="B3730" s="509" t="s">
        <v>6169</v>
      </c>
      <c r="C3730" s="508" t="s">
        <v>5</v>
      </c>
      <c r="D3730" s="508">
        <v>116.43</v>
      </c>
      <c r="E3730" s="461" t="s">
        <v>174</v>
      </c>
    </row>
    <row r="3731" spans="1:5" ht="27" x14ac:dyDescent="0.25">
      <c r="A3731" s="508">
        <v>96675</v>
      </c>
      <c r="B3731" s="509" t="s">
        <v>6170</v>
      </c>
      <c r="C3731" s="508" t="s">
        <v>5</v>
      </c>
      <c r="D3731" s="508">
        <v>169.37</v>
      </c>
      <c r="E3731" s="461" t="s">
        <v>174</v>
      </c>
    </row>
    <row r="3732" spans="1:5" ht="27" x14ac:dyDescent="0.25">
      <c r="A3732" s="508">
        <v>96676</v>
      </c>
      <c r="B3732" s="509" t="s">
        <v>6171</v>
      </c>
      <c r="C3732" s="508" t="s">
        <v>5</v>
      </c>
      <c r="D3732" s="508">
        <v>24.34</v>
      </c>
      <c r="E3732" s="461" t="s">
        <v>174</v>
      </c>
    </row>
    <row r="3733" spans="1:5" ht="27" x14ac:dyDescent="0.25">
      <c r="A3733" s="508">
        <v>96677</v>
      </c>
      <c r="B3733" s="509" t="s">
        <v>6172</v>
      </c>
      <c r="C3733" s="508" t="s">
        <v>5</v>
      </c>
      <c r="D3733" s="508">
        <v>31.71</v>
      </c>
      <c r="E3733" s="461" t="s">
        <v>174</v>
      </c>
    </row>
    <row r="3734" spans="1:5" ht="27" x14ac:dyDescent="0.25">
      <c r="A3734" s="508">
        <v>96678</v>
      </c>
      <c r="B3734" s="509" t="s">
        <v>6173</v>
      </c>
      <c r="C3734" s="508" t="s">
        <v>5</v>
      </c>
      <c r="D3734" s="508">
        <v>43.7</v>
      </c>
      <c r="E3734" s="461" t="s">
        <v>174</v>
      </c>
    </row>
    <row r="3735" spans="1:5" ht="27" x14ac:dyDescent="0.25">
      <c r="A3735" s="508">
        <v>96679</v>
      </c>
      <c r="B3735" s="509" t="s">
        <v>6174</v>
      </c>
      <c r="C3735" s="508" t="s">
        <v>5</v>
      </c>
      <c r="D3735" s="508">
        <v>65.22</v>
      </c>
      <c r="E3735" s="461" t="s">
        <v>174</v>
      </c>
    </row>
    <row r="3736" spans="1:5" ht="27" x14ac:dyDescent="0.25">
      <c r="A3736" s="508">
        <v>96680</v>
      </c>
      <c r="B3736" s="509" t="s">
        <v>6175</v>
      </c>
      <c r="C3736" s="508" t="s">
        <v>5</v>
      </c>
      <c r="D3736" s="508">
        <v>108</v>
      </c>
      <c r="E3736" s="461" t="s">
        <v>174</v>
      </c>
    </row>
    <row r="3737" spans="1:5" ht="27" x14ac:dyDescent="0.25">
      <c r="A3737" s="508">
        <v>96681</v>
      </c>
      <c r="B3737" s="509" t="s">
        <v>6176</v>
      </c>
      <c r="C3737" s="508" t="s">
        <v>5</v>
      </c>
      <c r="D3737" s="508">
        <v>145.35</v>
      </c>
      <c r="E3737" s="461" t="s">
        <v>174</v>
      </c>
    </row>
    <row r="3738" spans="1:5" ht="27" x14ac:dyDescent="0.25">
      <c r="A3738" s="508">
        <v>96682</v>
      </c>
      <c r="B3738" s="509" t="s">
        <v>6177</v>
      </c>
      <c r="C3738" s="508" t="s">
        <v>5</v>
      </c>
      <c r="D3738" s="508">
        <v>240.05</v>
      </c>
      <c r="E3738" s="461" t="s">
        <v>174</v>
      </c>
    </row>
    <row r="3739" spans="1:5" ht="27" x14ac:dyDescent="0.25">
      <c r="A3739" s="508">
        <v>96683</v>
      </c>
      <c r="B3739" s="509" t="s">
        <v>6178</v>
      </c>
      <c r="C3739" s="508" t="s">
        <v>5</v>
      </c>
      <c r="D3739" s="508">
        <v>329.59</v>
      </c>
      <c r="E3739" s="461" t="s">
        <v>174</v>
      </c>
    </row>
    <row r="3740" spans="1:5" ht="27" x14ac:dyDescent="0.25">
      <c r="A3740" s="508">
        <v>96718</v>
      </c>
      <c r="B3740" s="509" t="s">
        <v>6179</v>
      </c>
      <c r="C3740" s="508" t="s">
        <v>5</v>
      </c>
      <c r="D3740" s="508">
        <v>15.71</v>
      </c>
      <c r="E3740" s="461" t="s">
        <v>174</v>
      </c>
    </row>
    <row r="3741" spans="1:5" ht="27" x14ac:dyDescent="0.25">
      <c r="A3741" s="508">
        <v>96719</v>
      </c>
      <c r="B3741" s="509" t="s">
        <v>6180</v>
      </c>
      <c r="C3741" s="508" t="s">
        <v>5</v>
      </c>
      <c r="D3741" s="508">
        <v>20.18</v>
      </c>
      <c r="E3741" s="461" t="s">
        <v>174</v>
      </c>
    </row>
    <row r="3742" spans="1:5" ht="27" x14ac:dyDescent="0.25">
      <c r="A3742" s="508">
        <v>96720</v>
      </c>
      <c r="B3742" s="509" t="s">
        <v>6181</v>
      </c>
      <c r="C3742" s="508" t="s">
        <v>5</v>
      </c>
      <c r="D3742" s="508">
        <v>18.2</v>
      </c>
      <c r="E3742" s="461" t="s">
        <v>174</v>
      </c>
    </row>
    <row r="3743" spans="1:5" ht="27" x14ac:dyDescent="0.25">
      <c r="A3743" s="508">
        <v>96721</v>
      </c>
      <c r="B3743" s="509" t="s">
        <v>6182</v>
      </c>
      <c r="C3743" s="508" t="s">
        <v>5</v>
      </c>
      <c r="D3743" s="508">
        <v>23.71</v>
      </c>
      <c r="E3743" s="461" t="s">
        <v>174</v>
      </c>
    </row>
    <row r="3744" spans="1:5" ht="27" x14ac:dyDescent="0.25">
      <c r="A3744" s="508">
        <v>96722</v>
      </c>
      <c r="B3744" s="509" t="s">
        <v>6183</v>
      </c>
      <c r="C3744" s="508" t="s">
        <v>5</v>
      </c>
      <c r="D3744" s="508">
        <v>36.520000000000003</v>
      </c>
      <c r="E3744" s="461" t="s">
        <v>174</v>
      </c>
    </row>
    <row r="3745" spans="1:5" ht="27" x14ac:dyDescent="0.25">
      <c r="A3745" s="508">
        <v>96723</v>
      </c>
      <c r="B3745" s="509" t="s">
        <v>6184</v>
      </c>
      <c r="C3745" s="508" t="s">
        <v>5</v>
      </c>
      <c r="D3745" s="508">
        <v>56.87</v>
      </c>
      <c r="E3745" s="461" t="s">
        <v>174</v>
      </c>
    </row>
    <row r="3746" spans="1:5" ht="27" x14ac:dyDescent="0.25">
      <c r="A3746" s="508">
        <v>96724</v>
      </c>
      <c r="B3746" s="509" t="s">
        <v>6185</v>
      </c>
      <c r="C3746" s="508" t="s">
        <v>5</v>
      </c>
      <c r="D3746" s="508">
        <v>72.98</v>
      </c>
      <c r="E3746" s="461" t="s">
        <v>174</v>
      </c>
    </row>
    <row r="3747" spans="1:5" ht="27" x14ac:dyDescent="0.25">
      <c r="A3747" s="508">
        <v>96725</v>
      </c>
      <c r="B3747" s="509" t="s">
        <v>6186</v>
      </c>
      <c r="C3747" s="508" t="s">
        <v>5</v>
      </c>
      <c r="D3747" s="508">
        <v>119.81</v>
      </c>
      <c r="E3747" s="461" t="s">
        <v>174</v>
      </c>
    </row>
    <row r="3748" spans="1:5" ht="27" x14ac:dyDescent="0.25">
      <c r="A3748" s="508">
        <v>96726</v>
      </c>
      <c r="B3748" s="509" t="s">
        <v>6187</v>
      </c>
      <c r="C3748" s="508" t="s">
        <v>5</v>
      </c>
      <c r="D3748" s="508">
        <v>177.2</v>
      </c>
      <c r="E3748" s="461" t="s">
        <v>174</v>
      </c>
    </row>
    <row r="3749" spans="1:5" ht="27" x14ac:dyDescent="0.25">
      <c r="A3749" s="508">
        <v>96727</v>
      </c>
      <c r="B3749" s="509" t="s">
        <v>6188</v>
      </c>
      <c r="C3749" s="508" t="s">
        <v>5</v>
      </c>
      <c r="D3749" s="508">
        <v>17.84</v>
      </c>
      <c r="E3749" s="461" t="s">
        <v>174</v>
      </c>
    </row>
    <row r="3750" spans="1:5" ht="27" x14ac:dyDescent="0.25">
      <c r="A3750" s="508">
        <v>96728</v>
      </c>
      <c r="B3750" s="509" t="s">
        <v>6189</v>
      </c>
      <c r="C3750" s="508" t="s">
        <v>5</v>
      </c>
      <c r="D3750" s="508">
        <v>23.15</v>
      </c>
      <c r="E3750" s="461" t="s">
        <v>174</v>
      </c>
    </row>
    <row r="3751" spans="1:5" ht="27" x14ac:dyDescent="0.25">
      <c r="A3751" s="508">
        <v>96729</v>
      </c>
      <c r="B3751" s="509" t="s">
        <v>6190</v>
      </c>
      <c r="C3751" s="508" t="s">
        <v>5</v>
      </c>
      <c r="D3751" s="508">
        <v>29.91</v>
      </c>
      <c r="E3751" s="461" t="s">
        <v>174</v>
      </c>
    </row>
    <row r="3752" spans="1:5" ht="27" x14ac:dyDescent="0.25">
      <c r="A3752" s="508">
        <v>96730</v>
      </c>
      <c r="B3752" s="509" t="s">
        <v>6191</v>
      </c>
      <c r="C3752" s="508" t="s">
        <v>5</v>
      </c>
      <c r="D3752" s="508">
        <v>41.47</v>
      </c>
      <c r="E3752" s="461" t="s">
        <v>174</v>
      </c>
    </row>
    <row r="3753" spans="1:5" ht="27" x14ac:dyDescent="0.25">
      <c r="A3753" s="508">
        <v>96731</v>
      </c>
      <c r="B3753" s="509" t="s">
        <v>6192</v>
      </c>
      <c r="C3753" s="508" t="s">
        <v>5</v>
      </c>
      <c r="D3753" s="508">
        <v>62.87</v>
      </c>
      <c r="E3753" s="461" t="s">
        <v>174</v>
      </c>
    </row>
    <row r="3754" spans="1:5" ht="27" x14ac:dyDescent="0.25">
      <c r="A3754" s="508">
        <v>96732</v>
      </c>
      <c r="B3754" s="509" t="s">
        <v>6193</v>
      </c>
      <c r="C3754" s="508" t="s">
        <v>5</v>
      </c>
      <c r="D3754" s="508">
        <v>106.24</v>
      </c>
      <c r="E3754" s="461" t="s">
        <v>174</v>
      </c>
    </row>
    <row r="3755" spans="1:5" ht="27" x14ac:dyDescent="0.25">
      <c r="A3755" s="508">
        <v>96733</v>
      </c>
      <c r="B3755" s="509" t="s">
        <v>6194</v>
      </c>
      <c r="C3755" s="508" t="s">
        <v>5</v>
      </c>
      <c r="D3755" s="508">
        <v>144.82</v>
      </c>
      <c r="E3755" s="461" t="s">
        <v>174</v>
      </c>
    </row>
    <row r="3756" spans="1:5" ht="27" x14ac:dyDescent="0.25">
      <c r="A3756" s="508">
        <v>96734</v>
      </c>
      <c r="B3756" s="509" t="s">
        <v>6195</v>
      </c>
      <c r="C3756" s="508" t="s">
        <v>5</v>
      </c>
      <c r="D3756" s="508">
        <v>242.05</v>
      </c>
      <c r="E3756" s="461" t="s">
        <v>174</v>
      </c>
    </row>
    <row r="3757" spans="1:5" ht="27" x14ac:dyDescent="0.25">
      <c r="A3757" s="508">
        <v>96735</v>
      </c>
      <c r="B3757" s="509" t="s">
        <v>6196</v>
      </c>
      <c r="C3757" s="508" t="s">
        <v>5</v>
      </c>
      <c r="D3757" s="508">
        <v>336.6</v>
      </c>
      <c r="E3757" s="461" t="s">
        <v>174</v>
      </c>
    </row>
    <row r="3758" spans="1:5" ht="27" x14ac:dyDescent="0.25">
      <c r="A3758" s="508">
        <v>96798</v>
      </c>
      <c r="B3758" s="509" t="s">
        <v>6197</v>
      </c>
      <c r="C3758" s="508" t="s">
        <v>5</v>
      </c>
      <c r="D3758" s="508">
        <v>8.2200000000000006</v>
      </c>
      <c r="E3758" s="461" t="s">
        <v>174</v>
      </c>
    </row>
    <row r="3759" spans="1:5" ht="27" x14ac:dyDescent="0.25">
      <c r="A3759" s="508">
        <v>96799</v>
      </c>
      <c r="B3759" s="509" t="s">
        <v>6198</v>
      </c>
      <c r="C3759" s="508" t="s">
        <v>5</v>
      </c>
      <c r="D3759" s="508">
        <v>10.52</v>
      </c>
      <c r="E3759" s="461" t="s">
        <v>174</v>
      </c>
    </row>
    <row r="3760" spans="1:5" ht="27" x14ac:dyDescent="0.25">
      <c r="A3760" s="508">
        <v>96800</v>
      </c>
      <c r="B3760" s="509" t="s">
        <v>6199</v>
      </c>
      <c r="C3760" s="508" t="s">
        <v>5</v>
      </c>
      <c r="D3760" s="508">
        <v>14.31</v>
      </c>
      <c r="E3760" s="461" t="s">
        <v>174</v>
      </c>
    </row>
    <row r="3761" spans="1:5" ht="27" x14ac:dyDescent="0.25">
      <c r="A3761" s="508">
        <v>96801</v>
      </c>
      <c r="B3761" s="509" t="s">
        <v>6200</v>
      </c>
      <c r="C3761" s="508" t="s">
        <v>5</v>
      </c>
      <c r="D3761" s="508">
        <v>21.65</v>
      </c>
      <c r="E3761" s="461" t="s">
        <v>174</v>
      </c>
    </row>
    <row r="3762" spans="1:5" ht="27" x14ac:dyDescent="0.25">
      <c r="A3762" s="508">
        <v>97327</v>
      </c>
      <c r="B3762" s="509" t="s">
        <v>6201</v>
      </c>
      <c r="C3762" s="508" t="s">
        <v>5</v>
      </c>
      <c r="D3762" s="508">
        <v>29.51</v>
      </c>
      <c r="E3762" s="461" t="s">
        <v>174</v>
      </c>
    </row>
    <row r="3763" spans="1:5" ht="27" x14ac:dyDescent="0.25">
      <c r="A3763" s="508">
        <v>97328</v>
      </c>
      <c r="B3763" s="509" t="s">
        <v>6202</v>
      </c>
      <c r="C3763" s="508" t="s">
        <v>5</v>
      </c>
      <c r="D3763" s="508">
        <v>48.46</v>
      </c>
      <c r="E3763" s="461" t="s">
        <v>174</v>
      </c>
    </row>
    <row r="3764" spans="1:5" ht="27" x14ac:dyDescent="0.25">
      <c r="A3764" s="508">
        <v>97329</v>
      </c>
      <c r="B3764" s="509" t="s">
        <v>6203</v>
      </c>
      <c r="C3764" s="508" t="s">
        <v>5</v>
      </c>
      <c r="D3764" s="508">
        <v>62.04</v>
      </c>
      <c r="E3764" s="461" t="s">
        <v>174</v>
      </c>
    </row>
    <row r="3765" spans="1:5" ht="27" x14ac:dyDescent="0.25">
      <c r="A3765" s="508">
        <v>97330</v>
      </c>
      <c r="B3765" s="509" t="s">
        <v>6204</v>
      </c>
      <c r="C3765" s="508" t="s">
        <v>5</v>
      </c>
      <c r="D3765" s="508">
        <v>75.92</v>
      </c>
      <c r="E3765" s="461" t="s">
        <v>174</v>
      </c>
    </row>
    <row r="3766" spans="1:5" ht="27" x14ac:dyDescent="0.25">
      <c r="A3766" s="508">
        <v>97331</v>
      </c>
      <c r="B3766" s="509" t="s">
        <v>6205</v>
      </c>
      <c r="C3766" s="508" t="s">
        <v>5</v>
      </c>
      <c r="D3766" s="508">
        <v>29.89</v>
      </c>
      <c r="E3766" s="461" t="s">
        <v>174</v>
      </c>
    </row>
    <row r="3767" spans="1:5" ht="27" x14ac:dyDescent="0.25">
      <c r="A3767" s="508">
        <v>97332</v>
      </c>
      <c r="B3767" s="509" t="s">
        <v>6206</v>
      </c>
      <c r="C3767" s="508" t="s">
        <v>5</v>
      </c>
      <c r="D3767" s="508">
        <v>48.9</v>
      </c>
      <c r="E3767" s="461" t="s">
        <v>174</v>
      </c>
    </row>
    <row r="3768" spans="1:5" ht="27" x14ac:dyDescent="0.25">
      <c r="A3768" s="508">
        <v>97333</v>
      </c>
      <c r="B3768" s="509" t="s">
        <v>6207</v>
      </c>
      <c r="C3768" s="508" t="s">
        <v>5</v>
      </c>
      <c r="D3768" s="508">
        <v>62.57</v>
      </c>
      <c r="E3768" s="461" t="s">
        <v>174</v>
      </c>
    </row>
    <row r="3769" spans="1:5" ht="27" x14ac:dyDescent="0.25">
      <c r="A3769" s="508">
        <v>97334</v>
      </c>
      <c r="B3769" s="509" t="s">
        <v>6208</v>
      </c>
      <c r="C3769" s="508" t="s">
        <v>5</v>
      </c>
      <c r="D3769" s="508">
        <v>76.510000000000005</v>
      </c>
      <c r="E3769" s="461" t="s">
        <v>174</v>
      </c>
    </row>
    <row r="3770" spans="1:5" ht="27" x14ac:dyDescent="0.25">
      <c r="A3770" s="508">
        <v>97335</v>
      </c>
      <c r="B3770" s="509" t="s">
        <v>6209</v>
      </c>
      <c r="C3770" s="508" t="s">
        <v>5</v>
      </c>
      <c r="D3770" s="508">
        <v>91.04</v>
      </c>
      <c r="E3770" s="461" t="s">
        <v>174</v>
      </c>
    </row>
    <row r="3771" spans="1:5" ht="27" x14ac:dyDescent="0.25">
      <c r="A3771" s="508">
        <v>97336</v>
      </c>
      <c r="B3771" s="509" t="s">
        <v>6210</v>
      </c>
      <c r="C3771" s="508" t="s">
        <v>5</v>
      </c>
      <c r="D3771" s="508">
        <v>115.85</v>
      </c>
      <c r="E3771" s="461" t="s">
        <v>174</v>
      </c>
    </row>
    <row r="3772" spans="1:5" ht="27" x14ac:dyDescent="0.25">
      <c r="A3772" s="508">
        <v>97337</v>
      </c>
      <c r="B3772" s="509" t="s">
        <v>6211</v>
      </c>
      <c r="C3772" s="508" t="s">
        <v>5</v>
      </c>
      <c r="D3772" s="508">
        <v>174.22</v>
      </c>
      <c r="E3772" s="461" t="s">
        <v>174</v>
      </c>
    </row>
    <row r="3773" spans="1:5" ht="27" x14ac:dyDescent="0.25">
      <c r="A3773" s="508">
        <v>97338</v>
      </c>
      <c r="B3773" s="509" t="s">
        <v>6212</v>
      </c>
      <c r="C3773" s="508" t="s">
        <v>5</v>
      </c>
      <c r="D3773" s="508">
        <v>209.65</v>
      </c>
      <c r="E3773" s="461" t="s">
        <v>174</v>
      </c>
    </row>
    <row r="3774" spans="1:5" ht="27" x14ac:dyDescent="0.25">
      <c r="A3774" s="508">
        <v>97339</v>
      </c>
      <c r="B3774" s="509" t="s">
        <v>6213</v>
      </c>
      <c r="C3774" s="508" t="s">
        <v>5</v>
      </c>
      <c r="D3774" s="508">
        <v>225.81</v>
      </c>
      <c r="E3774" s="461" t="s">
        <v>174</v>
      </c>
    </row>
    <row r="3775" spans="1:5" ht="27" x14ac:dyDescent="0.25">
      <c r="A3775" s="508">
        <v>97340</v>
      </c>
      <c r="B3775" s="509" t="s">
        <v>6214</v>
      </c>
      <c r="C3775" s="508" t="s">
        <v>5</v>
      </c>
      <c r="D3775" s="508">
        <v>227.18</v>
      </c>
      <c r="E3775" s="461" t="s">
        <v>174</v>
      </c>
    </row>
    <row r="3776" spans="1:5" ht="27" x14ac:dyDescent="0.25">
      <c r="A3776" s="508">
        <v>97347</v>
      </c>
      <c r="B3776" s="509" t="s">
        <v>6215</v>
      </c>
      <c r="C3776" s="508" t="s">
        <v>5</v>
      </c>
      <c r="D3776" s="508">
        <v>109.69</v>
      </c>
      <c r="E3776" s="461" t="s">
        <v>174</v>
      </c>
    </row>
    <row r="3777" spans="1:5" ht="27" x14ac:dyDescent="0.25">
      <c r="A3777" s="508">
        <v>97348</v>
      </c>
      <c r="B3777" s="509" t="s">
        <v>6216</v>
      </c>
      <c r="C3777" s="508" t="s">
        <v>5</v>
      </c>
      <c r="D3777" s="508">
        <v>151.47</v>
      </c>
      <c r="E3777" s="461" t="s">
        <v>174</v>
      </c>
    </row>
    <row r="3778" spans="1:5" ht="27" x14ac:dyDescent="0.25">
      <c r="A3778" s="508">
        <v>97349</v>
      </c>
      <c r="B3778" s="509" t="s">
        <v>6217</v>
      </c>
      <c r="C3778" s="508" t="s">
        <v>5</v>
      </c>
      <c r="D3778" s="508">
        <v>218.28</v>
      </c>
      <c r="E3778" s="461" t="s">
        <v>174</v>
      </c>
    </row>
    <row r="3779" spans="1:5" ht="27" x14ac:dyDescent="0.25">
      <c r="A3779" s="508">
        <v>97350</v>
      </c>
      <c r="B3779" s="509" t="s">
        <v>6218</v>
      </c>
      <c r="C3779" s="508" t="s">
        <v>5</v>
      </c>
      <c r="D3779" s="508">
        <v>265.02999999999997</v>
      </c>
      <c r="E3779" s="461" t="s">
        <v>174</v>
      </c>
    </row>
    <row r="3780" spans="1:5" ht="27" x14ac:dyDescent="0.25">
      <c r="A3780" s="508">
        <v>97351</v>
      </c>
      <c r="B3780" s="509" t="s">
        <v>6219</v>
      </c>
      <c r="C3780" s="508" t="s">
        <v>5</v>
      </c>
      <c r="D3780" s="508">
        <v>366.42</v>
      </c>
      <c r="E3780" s="461" t="s">
        <v>174</v>
      </c>
    </row>
    <row r="3781" spans="1:5" ht="27" x14ac:dyDescent="0.25">
      <c r="A3781" s="508">
        <v>97352</v>
      </c>
      <c r="B3781" s="509" t="s">
        <v>6220</v>
      </c>
      <c r="C3781" s="508" t="s">
        <v>5</v>
      </c>
      <c r="D3781" s="508">
        <v>474.81</v>
      </c>
      <c r="E3781" s="461" t="s">
        <v>174</v>
      </c>
    </row>
    <row r="3782" spans="1:5" ht="27" x14ac:dyDescent="0.25">
      <c r="A3782" s="508">
        <v>97353</v>
      </c>
      <c r="B3782" s="509" t="s">
        <v>6221</v>
      </c>
      <c r="C3782" s="508" t="s">
        <v>5</v>
      </c>
      <c r="D3782" s="508">
        <v>72.48</v>
      </c>
      <c r="E3782" s="461" t="s">
        <v>174</v>
      </c>
    </row>
    <row r="3783" spans="1:5" ht="27" x14ac:dyDescent="0.25">
      <c r="A3783" s="508">
        <v>97354</v>
      </c>
      <c r="B3783" s="509" t="s">
        <v>6222</v>
      </c>
      <c r="C3783" s="508" t="s">
        <v>5</v>
      </c>
      <c r="D3783" s="508">
        <v>114.92</v>
      </c>
      <c r="E3783" s="461" t="s">
        <v>174</v>
      </c>
    </row>
    <row r="3784" spans="1:5" ht="27" x14ac:dyDescent="0.25">
      <c r="A3784" s="508">
        <v>97355</v>
      </c>
      <c r="B3784" s="509" t="s">
        <v>6223</v>
      </c>
      <c r="C3784" s="508" t="s">
        <v>5</v>
      </c>
      <c r="D3784" s="508">
        <v>157.09</v>
      </c>
      <c r="E3784" s="461" t="s">
        <v>174</v>
      </c>
    </row>
    <row r="3785" spans="1:5" ht="27" x14ac:dyDescent="0.25">
      <c r="A3785" s="508">
        <v>97356</v>
      </c>
      <c r="B3785" s="509" t="s">
        <v>6224</v>
      </c>
      <c r="C3785" s="508" t="s">
        <v>5</v>
      </c>
      <c r="D3785" s="508">
        <v>83.97</v>
      </c>
      <c r="E3785" s="461" t="s">
        <v>174</v>
      </c>
    </row>
    <row r="3786" spans="1:5" ht="27" x14ac:dyDescent="0.25">
      <c r="A3786" s="508">
        <v>97357</v>
      </c>
      <c r="B3786" s="509" t="s">
        <v>6225</v>
      </c>
      <c r="C3786" s="508" t="s">
        <v>5</v>
      </c>
      <c r="D3786" s="508">
        <v>134.66999999999999</v>
      </c>
      <c r="E3786" s="461" t="s">
        <v>174</v>
      </c>
    </row>
    <row r="3787" spans="1:5" ht="27" x14ac:dyDescent="0.25">
      <c r="A3787" s="508">
        <v>97358</v>
      </c>
      <c r="B3787" s="509" t="s">
        <v>6226</v>
      </c>
      <c r="C3787" s="508" t="s">
        <v>5</v>
      </c>
      <c r="D3787" s="508">
        <v>184.01</v>
      </c>
      <c r="E3787" s="461" t="s">
        <v>174</v>
      </c>
    </row>
    <row r="3788" spans="1:5" ht="40.5" x14ac:dyDescent="0.25">
      <c r="A3788" s="508">
        <v>97498</v>
      </c>
      <c r="B3788" s="509" t="s">
        <v>2719</v>
      </c>
      <c r="C3788" s="508" t="s">
        <v>5</v>
      </c>
      <c r="D3788" s="508">
        <v>46.91</v>
      </c>
      <c r="E3788" s="461" t="s">
        <v>174</v>
      </c>
    </row>
    <row r="3789" spans="1:5" ht="40.5" x14ac:dyDescent="0.25">
      <c r="A3789" s="508">
        <v>97535</v>
      </c>
      <c r="B3789" s="509" t="s">
        <v>2720</v>
      </c>
      <c r="C3789" s="508" t="s">
        <v>5</v>
      </c>
      <c r="D3789" s="508">
        <v>52.14</v>
      </c>
      <c r="E3789" s="461" t="s">
        <v>174</v>
      </c>
    </row>
    <row r="3790" spans="1:5" ht="27" x14ac:dyDescent="0.25">
      <c r="A3790" s="508">
        <v>97536</v>
      </c>
      <c r="B3790" s="509" t="s">
        <v>2721</v>
      </c>
      <c r="C3790" s="508" t="s">
        <v>5</v>
      </c>
      <c r="D3790" s="508">
        <v>64.17</v>
      </c>
      <c r="E3790" s="461" t="s">
        <v>174</v>
      </c>
    </row>
    <row r="3791" spans="1:5" ht="27" x14ac:dyDescent="0.25">
      <c r="A3791" s="508">
        <v>100788</v>
      </c>
      <c r="B3791" s="509" t="s">
        <v>2001</v>
      </c>
      <c r="C3791" s="508" t="s">
        <v>107</v>
      </c>
      <c r="D3791" s="508">
        <v>791.61</v>
      </c>
      <c r="E3791" s="461" t="s">
        <v>174</v>
      </c>
    </row>
    <row r="3792" spans="1:5" ht="27" x14ac:dyDescent="0.25">
      <c r="A3792" s="508">
        <v>100791</v>
      </c>
      <c r="B3792" s="509" t="s">
        <v>2002</v>
      </c>
      <c r="C3792" s="508" t="s">
        <v>5</v>
      </c>
      <c r="D3792" s="508">
        <v>18.010000000000002</v>
      </c>
      <c r="E3792" s="461" t="s">
        <v>174</v>
      </c>
    </row>
    <row r="3793" spans="1:5" ht="27" x14ac:dyDescent="0.25">
      <c r="A3793" s="508">
        <v>100792</v>
      </c>
      <c r="B3793" s="509" t="s">
        <v>2003</v>
      </c>
      <c r="C3793" s="508" t="s">
        <v>5</v>
      </c>
      <c r="D3793" s="508">
        <v>25.63</v>
      </c>
      <c r="E3793" s="461" t="s">
        <v>174</v>
      </c>
    </row>
    <row r="3794" spans="1:5" ht="27" x14ac:dyDescent="0.25">
      <c r="A3794" s="508">
        <v>100793</v>
      </c>
      <c r="B3794" s="509" t="s">
        <v>2004</v>
      </c>
      <c r="C3794" s="508" t="s">
        <v>5</v>
      </c>
      <c r="D3794" s="508">
        <v>33.6</v>
      </c>
      <c r="E3794" s="461" t="s">
        <v>174</v>
      </c>
    </row>
    <row r="3795" spans="1:5" ht="27" x14ac:dyDescent="0.25">
      <c r="A3795" s="508">
        <v>100794</v>
      </c>
      <c r="B3795" s="509" t="s">
        <v>2005</v>
      </c>
      <c r="C3795" s="508" t="s">
        <v>5</v>
      </c>
      <c r="D3795" s="508">
        <v>44.87</v>
      </c>
      <c r="E3795" s="461" t="s">
        <v>174</v>
      </c>
    </row>
    <row r="3796" spans="1:5" ht="27" x14ac:dyDescent="0.25">
      <c r="A3796" s="508">
        <v>100799</v>
      </c>
      <c r="B3796" s="509" t="s">
        <v>3588</v>
      </c>
      <c r="C3796" s="508" t="s">
        <v>5</v>
      </c>
      <c r="D3796" s="508">
        <v>18.54</v>
      </c>
      <c r="E3796" s="461" t="s">
        <v>174</v>
      </c>
    </row>
    <row r="3797" spans="1:5" ht="27" x14ac:dyDescent="0.25">
      <c r="A3797" s="508">
        <v>100800</v>
      </c>
      <c r="B3797" s="509" t="s">
        <v>3589</v>
      </c>
      <c r="C3797" s="508" t="s">
        <v>5</v>
      </c>
      <c r="D3797" s="508">
        <v>26.17</v>
      </c>
      <c r="E3797" s="461" t="s">
        <v>174</v>
      </c>
    </row>
    <row r="3798" spans="1:5" ht="27" x14ac:dyDescent="0.25">
      <c r="A3798" s="508">
        <v>100801</v>
      </c>
      <c r="B3798" s="509" t="s">
        <v>3590</v>
      </c>
      <c r="C3798" s="508" t="s">
        <v>5</v>
      </c>
      <c r="D3798" s="508">
        <v>34.14</v>
      </c>
      <c r="E3798" s="461" t="s">
        <v>174</v>
      </c>
    </row>
    <row r="3799" spans="1:5" ht="27" x14ac:dyDescent="0.25">
      <c r="A3799" s="508">
        <v>100802</v>
      </c>
      <c r="B3799" s="509" t="s">
        <v>3591</v>
      </c>
      <c r="C3799" s="508" t="s">
        <v>5</v>
      </c>
      <c r="D3799" s="508">
        <v>45.41</v>
      </c>
      <c r="E3799" s="461" t="s">
        <v>174</v>
      </c>
    </row>
    <row r="3800" spans="1:5" ht="27" x14ac:dyDescent="0.25">
      <c r="A3800" s="508">
        <v>100803</v>
      </c>
      <c r="B3800" s="509" t="s">
        <v>2006</v>
      </c>
      <c r="C3800" s="508" t="s">
        <v>5</v>
      </c>
      <c r="D3800" s="508">
        <v>16.89</v>
      </c>
      <c r="E3800" s="461" t="s">
        <v>174</v>
      </c>
    </row>
    <row r="3801" spans="1:5" ht="27" x14ac:dyDescent="0.25">
      <c r="A3801" s="508">
        <v>100804</v>
      </c>
      <c r="B3801" s="509" t="s">
        <v>2007</v>
      </c>
      <c r="C3801" s="508" t="s">
        <v>5</v>
      </c>
      <c r="D3801" s="508">
        <v>24.32</v>
      </c>
      <c r="E3801" s="461" t="s">
        <v>174</v>
      </c>
    </row>
    <row r="3802" spans="1:5" ht="27" x14ac:dyDescent="0.25">
      <c r="A3802" s="508">
        <v>100805</v>
      </c>
      <c r="B3802" s="509" t="s">
        <v>2008</v>
      </c>
      <c r="C3802" s="508" t="s">
        <v>5</v>
      </c>
      <c r="D3802" s="508">
        <v>32.03</v>
      </c>
      <c r="E3802" s="461" t="s">
        <v>174</v>
      </c>
    </row>
    <row r="3803" spans="1:5" ht="27" x14ac:dyDescent="0.25">
      <c r="A3803" s="508">
        <v>100806</v>
      </c>
      <c r="B3803" s="509" t="s">
        <v>2009</v>
      </c>
      <c r="C3803" s="508" t="s">
        <v>5</v>
      </c>
      <c r="D3803" s="508">
        <v>42.93</v>
      </c>
      <c r="E3803" s="461" t="s">
        <v>174</v>
      </c>
    </row>
    <row r="3804" spans="1:5" ht="27" x14ac:dyDescent="0.25">
      <c r="A3804" s="508">
        <v>100807</v>
      </c>
      <c r="B3804" s="509" t="s">
        <v>3592</v>
      </c>
      <c r="C3804" s="508" t="s">
        <v>5</v>
      </c>
      <c r="D3804" s="508">
        <v>24.85</v>
      </c>
      <c r="E3804" s="461" t="s">
        <v>174</v>
      </c>
    </row>
    <row r="3805" spans="1:5" ht="27" x14ac:dyDescent="0.25">
      <c r="A3805" s="508">
        <v>100808</v>
      </c>
      <c r="B3805" s="509" t="s">
        <v>3593</v>
      </c>
      <c r="C3805" s="508" t="s">
        <v>5</v>
      </c>
      <c r="D3805" s="508">
        <v>33.659999999999997</v>
      </c>
      <c r="E3805" s="461" t="s">
        <v>174</v>
      </c>
    </row>
    <row r="3806" spans="1:5" ht="27" x14ac:dyDescent="0.25">
      <c r="A3806" s="508">
        <v>100809</v>
      </c>
      <c r="B3806" s="509" t="s">
        <v>3594</v>
      </c>
      <c r="C3806" s="508" t="s">
        <v>5</v>
      </c>
      <c r="D3806" s="508">
        <v>43.11</v>
      </c>
      <c r="E3806" s="461" t="s">
        <v>174</v>
      </c>
    </row>
    <row r="3807" spans="1:5" ht="27" x14ac:dyDescent="0.25">
      <c r="A3807" s="508">
        <v>100810</v>
      </c>
      <c r="B3807" s="509" t="s">
        <v>3595</v>
      </c>
      <c r="C3807" s="508" t="s">
        <v>5</v>
      </c>
      <c r="D3807" s="508">
        <v>56.43</v>
      </c>
      <c r="E3807" s="461" t="s">
        <v>174</v>
      </c>
    </row>
    <row r="3808" spans="1:5" ht="27" x14ac:dyDescent="0.25">
      <c r="A3808" s="508">
        <v>101918</v>
      </c>
      <c r="B3808" s="509" t="s">
        <v>2722</v>
      </c>
      <c r="C3808" s="508" t="s">
        <v>5</v>
      </c>
      <c r="D3808" s="508">
        <v>218.76</v>
      </c>
      <c r="E3808" s="461" t="s">
        <v>174</v>
      </c>
    </row>
    <row r="3809" spans="1:5" ht="27" x14ac:dyDescent="0.25">
      <c r="A3809" s="508">
        <v>101919</v>
      </c>
      <c r="B3809" s="509" t="s">
        <v>2723</v>
      </c>
      <c r="C3809" s="508" t="s">
        <v>107</v>
      </c>
      <c r="D3809" s="508">
        <v>455.5</v>
      </c>
      <c r="E3809" s="461" t="s">
        <v>174</v>
      </c>
    </row>
    <row r="3810" spans="1:5" ht="27" x14ac:dyDescent="0.25">
      <c r="A3810" s="508">
        <v>101920</v>
      </c>
      <c r="B3810" s="509" t="s">
        <v>2724</v>
      </c>
      <c r="C3810" s="508" t="s">
        <v>107</v>
      </c>
      <c r="D3810" s="508">
        <v>216.53</v>
      </c>
      <c r="E3810" s="461" t="s">
        <v>174</v>
      </c>
    </row>
    <row r="3811" spans="1:5" ht="27" x14ac:dyDescent="0.25">
      <c r="A3811" s="508">
        <v>101921</v>
      </c>
      <c r="B3811" s="509" t="s">
        <v>2725</v>
      </c>
      <c r="C3811" s="508" t="s">
        <v>107</v>
      </c>
      <c r="D3811" s="508">
        <v>247.3</v>
      </c>
      <c r="E3811" s="461" t="s">
        <v>174</v>
      </c>
    </row>
    <row r="3812" spans="1:5" ht="27" x14ac:dyDescent="0.25">
      <c r="A3812" s="508">
        <v>101922</v>
      </c>
      <c r="B3812" s="509" t="s">
        <v>2726</v>
      </c>
      <c r="C3812" s="508" t="s">
        <v>107</v>
      </c>
      <c r="D3812" s="508">
        <v>247.3</v>
      </c>
      <c r="E3812" s="461" t="s">
        <v>174</v>
      </c>
    </row>
    <row r="3813" spans="1:5" ht="27" x14ac:dyDescent="0.25">
      <c r="A3813" s="508">
        <v>101923</v>
      </c>
      <c r="B3813" s="509" t="s">
        <v>2727</v>
      </c>
      <c r="C3813" s="508" t="s">
        <v>107</v>
      </c>
      <c r="D3813" s="508">
        <v>247.3</v>
      </c>
      <c r="E3813" s="461" t="s">
        <v>174</v>
      </c>
    </row>
    <row r="3814" spans="1:5" ht="27" x14ac:dyDescent="0.25">
      <c r="A3814" s="508">
        <v>101924</v>
      </c>
      <c r="B3814" s="509" t="s">
        <v>2728</v>
      </c>
      <c r="C3814" s="508" t="s">
        <v>107</v>
      </c>
      <c r="D3814" s="508">
        <v>203.65</v>
      </c>
      <c r="E3814" s="461" t="s">
        <v>174</v>
      </c>
    </row>
    <row r="3815" spans="1:5" ht="27" x14ac:dyDescent="0.25">
      <c r="A3815" s="508">
        <v>101925</v>
      </c>
      <c r="B3815" s="509" t="s">
        <v>2729</v>
      </c>
      <c r="C3815" s="508" t="s">
        <v>107</v>
      </c>
      <c r="D3815" s="508">
        <v>340.91</v>
      </c>
      <c r="E3815" s="461" t="s">
        <v>174</v>
      </c>
    </row>
    <row r="3816" spans="1:5" ht="27" x14ac:dyDescent="0.25">
      <c r="A3816" s="508">
        <v>101926</v>
      </c>
      <c r="B3816" s="509" t="s">
        <v>2730</v>
      </c>
      <c r="C3816" s="508" t="s">
        <v>107</v>
      </c>
      <c r="D3816" s="508">
        <v>439.42</v>
      </c>
      <c r="E3816" s="461" t="s">
        <v>174</v>
      </c>
    </row>
    <row r="3817" spans="1:5" ht="40.5" x14ac:dyDescent="0.25">
      <c r="A3817" s="508">
        <v>101927</v>
      </c>
      <c r="B3817" s="509" t="s">
        <v>2731</v>
      </c>
      <c r="C3817" s="508" t="s">
        <v>5</v>
      </c>
      <c r="D3817" s="508">
        <v>202.43</v>
      </c>
      <c r="E3817" s="461" t="s">
        <v>174</v>
      </c>
    </row>
    <row r="3818" spans="1:5" ht="27" x14ac:dyDescent="0.25">
      <c r="A3818" s="508">
        <v>101928</v>
      </c>
      <c r="B3818" s="509" t="s">
        <v>2732</v>
      </c>
      <c r="C3818" s="508" t="s">
        <v>107</v>
      </c>
      <c r="D3818" s="508">
        <v>461.75</v>
      </c>
      <c r="E3818" s="461" t="s">
        <v>174</v>
      </c>
    </row>
    <row r="3819" spans="1:5" ht="27" x14ac:dyDescent="0.25">
      <c r="A3819" s="508">
        <v>101929</v>
      </c>
      <c r="B3819" s="509" t="s">
        <v>2733</v>
      </c>
      <c r="C3819" s="508" t="s">
        <v>107</v>
      </c>
      <c r="D3819" s="508">
        <v>222.78</v>
      </c>
      <c r="E3819" s="461" t="s">
        <v>174</v>
      </c>
    </row>
    <row r="3820" spans="1:5" ht="27" x14ac:dyDescent="0.25">
      <c r="A3820" s="508">
        <v>101930</v>
      </c>
      <c r="B3820" s="509" t="s">
        <v>2734</v>
      </c>
      <c r="C3820" s="508" t="s">
        <v>107</v>
      </c>
      <c r="D3820" s="508">
        <v>253.55</v>
      </c>
      <c r="E3820" s="461" t="s">
        <v>174</v>
      </c>
    </row>
    <row r="3821" spans="1:5" ht="27" x14ac:dyDescent="0.25">
      <c r="A3821" s="508">
        <v>101931</v>
      </c>
      <c r="B3821" s="509" t="s">
        <v>2735</v>
      </c>
      <c r="C3821" s="508" t="s">
        <v>107</v>
      </c>
      <c r="D3821" s="508">
        <v>253.55</v>
      </c>
      <c r="E3821" s="461" t="s">
        <v>174</v>
      </c>
    </row>
    <row r="3822" spans="1:5" ht="27" x14ac:dyDescent="0.25">
      <c r="A3822" s="508">
        <v>101932</v>
      </c>
      <c r="B3822" s="509" t="s">
        <v>2736</v>
      </c>
      <c r="C3822" s="508" t="s">
        <v>107</v>
      </c>
      <c r="D3822" s="508">
        <v>253.55</v>
      </c>
      <c r="E3822" s="461" t="s">
        <v>174</v>
      </c>
    </row>
    <row r="3823" spans="1:5" ht="27" x14ac:dyDescent="0.25">
      <c r="A3823" s="508">
        <v>101933</v>
      </c>
      <c r="B3823" s="509" t="s">
        <v>2737</v>
      </c>
      <c r="C3823" s="508" t="s">
        <v>107</v>
      </c>
      <c r="D3823" s="508">
        <v>209.9</v>
      </c>
      <c r="E3823" s="461" t="s">
        <v>174</v>
      </c>
    </row>
    <row r="3824" spans="1:5" ht="27" x14ac:dyDescent="0.25">
      <c r="A3824" s="508">
        <v>101934</v>
      </c>
      <c r="B3824" s="509" t="s">
        <v>2738</v>
      </c>
      <c r="C3824" s="508" t="s">
        <v>107</v>
      </c>
      <c r="D3824" s="508">
        <v>350.29</v>
      </c>
      <c r="E3824" s="461" t="s">
        <v>174</v>
      </c>
    </row>
    <row r="3825" spans="1:5" ht="27" x14ac:dyDescent="0.25">
      <c r="A3825" s="508">
        <v>101935</v>
      </c>
      <c r="B3825" s="509" t="s">
        <v>2739</v>
      </c>
      <c r="C3825" s="508" t="s">
        <v>107</v>
      </c>
      <c r="D3825" s="508">
        <v>451.91</v>
      </c>
      <c r="E3825" s="461" t="s">
        <v>174</v>
      </c>
    </row>
    <row r="3826" spans="1:5" ht="27" x14ac:dyDescent="0.25">
      <c r="A3826" s="508">
        <v>103802</v>
      </c>
      <c r="B3826" s="509" t="s">
        <v>6227</v>
      </c>
      <c r="C3826" s="508" t="s">
        <v>5</v>
      </c>
      <c r="D3826" s="508">
        <v>45.11</v>
      </c>
      <c r="E3826" s="461" t="s">
        <v>174</v>
      </c>
    </row>
    <row r="3827" spans="1:5" ht="27" x14ac:dyDescent="0.25">
      <c r="A3827" s="508">
        <v>103803</v>
      </c>
      <c r="B3827" s="509" t="s">
        <v>6228</v>
      </c>
      <c r="C3827" s="508" t="s">
        <v>5</v>
      </c>
      <c r="D3827" s="508">
        <v>77.55</v>
      </c>
      <c r="E3827" s="461" t="s">
        <v>174</v>
      </c>
    </row>
    <row r="3828" spans="1:5" ht="27" x14ac:dyDescent="0.25">
      <c r="A3828" s="508">
        <v>103804</v>
      </c>
      <c r="B3828" s="509" t="s">
        <v>6229</v>
      </c>
      <c r="C3828" s="508" t="s">
        <v>5</v>
      </c>
      <c r="D3828" s="508">
        <v>93.95</v>
      </c>
      <c r="E3828" s="461" t="s">
        <v>174</v>
      </c>
    </row>
    <row r="3829" spans="1:5" ht="27" x14ac:dyDescent="0.25">
      <c r="A3829" s="508">
        <v>103835</v>
      </c>
      <c r="B3829" s="509" t="s">
        <v>6230</v>
      </c>
      <c r="C3829" s="508" t="s">
        <v>5</v>
      </c>
      <c r="D3829" s="508">
        <v>70.489999999999995</v>
      </c>
      <c r="E3829" s="461" t="s">
        <v>174</v>
      </c>
    </row>
    <row r="3830" spans="1:5" ht="27" x14ac:dyDescent="0.25">
      <c r="A3830" s="508">
        <v>103836</v>
      </c>
      <c r="B3830" s="509" t="s">
        <v>6231</v>
      </c>
      <c r="C3830" s="508" t="s">
        <v>5</v>
      </c>
      <c r="D3830" s="508">
        <v>109.58</v>
      </c>
      <c r="E3830" s="461" t="s">
        <v>174</v>
      </c>
    </row>
    <row r="3831" spans="1:5" ht="27" x14ac:dyDescent="0.25">
      <c r="A3831" s="508">
        <v>103837</v>
      </c>
      <c r="B3831" s="509" t="s">
        <v>6232</v>
      </c>
      <c r="C3831" s="508" t="s">
        <v>5</v>
      </c>
      <c r="D3831" s="508">
        <v>138.19999999999999</v>
      </c>
      <c r="E3831" s="461" t="s">
        <v>174</v>
      </c>
    </row>
    <row r="3832" spans="1:5" ht="27" x14ac:dyDescent="0.25">
      <c r="A3832" s="508">
        <v>103868</v>
      </c>
      <c r="B3832" s="509" t="s">
        <v>6233</v>
      </c>
      <c r="C3832" s="508" t="s">
        <v>5</v>
      </c>
      <c r="D3832" s="508">
        <v>55.9</v>
      </c>
      <c r="E3832" s="461" t="s">
        <v>174</v>
      </c>
    </row>
    <row r="3833" spans="1:5" ht="27" x14ac:dyDescent="0.25">
      <c r="A3833" s="508">
        <v>103869</v>
      </c>
      <c r="B3833" s="509" t="s">
        <v>6234</v>
      </c>
      <c r="C3833" s="508" t="s">
        <v>5</v>
      </c>
      <c r="D3833" s="508">
        <v>85.09</v>
      </c>
      <c r="E3833" s="461" t="s">
        <v>174</v>
      </c>
    </row>
    <row r="3834" spans="1:5" ht="27" x14ac:dyDescent="0.25">
      <c r="A3834" s="508">
        <v>103870</v>
      </c>
      <c r="B3834" s="509" t="s">
        <v>6235</v>
      </c>
      <c r="C3834" s="508" t="s">
        <v>5</v>
      </c>
      <c r="D3834" s="508">
        <v>104.68</v>
      </c>
      <c r="E3834" s="461" t="s">
        <v>174</v>
      </c>
    </row>
    <row r="3835" spans="1:5" ht="27" x14ac:dyDescent="0.25">
      <c r="A3835" s="508">
        <v>103871</v>
      </c>
      <c r="B3835" s="509" t="s">
        <v>6236</v>
      </c>
      <c r="C3835" s="508" t="s">
        <v>5</v>
      </c>
      <c r="D3835" s="508">
        <v>69.11</v>
      </c>
      <c r="E3835" s="461" t="s">
        <v>174</v>
      </c>
    </row>
    <row r="3836" spans="1:5" ht="27" x14ac:dyDescent="0.25">
      <c r="A3836" s="508">
        <v>103872</v>
      </c>
      <c r="B3836" s="509" t="s">
        <v>6237</v>
      </c>
      <c r="C3836" s="508" t="s">
        <v>5</v>
      </c>
      <c r="D3836" s="508">
        <v>146.34</v>
      </c>
      <c r="E3836" s="461" t="s">
        <v>174</v>
      </c>
    </row>
    <row r="3837" spans="1:5" ht="27" x14ac:dyDescent="0.25">
      <c r="A3837" s="508">
        <v>103873</v>
      </c>
      <c r="B3837" s="509" t="s">
        <v>6238</v>
      </c>
      <c r="C3837" s="508" t="s">
        <v>5</v>
      </c>
      <c r="D3837" s="508">
        <v>168.43</v>
      </c>
      <c r="E3837" s="461" t="s">
        <v>174</v>
      </c>
    </row>
    <row r="3838" spans="1:5" ht="27" x14ac:dyDescent="0.25">
      <c r="A3838" s="508">
        <v>103978</v>
      </c>
      <c r="B3838" s="509" t="s">
        <v>6239</v>
      </c>
      <c r="C3838" s="508" t="s">
        <v>5</v>
      </c>
      <c r="D3838" s="508">
        <v>26.64</v>
      </c>
      <c r="E3838" s="461" t="s">
        <v>174</v>
      </c>
    </row>
    <row r="3839" spans="1:5" ht="27" x14ac:dyDescent="0.25">
      <c r="A3839" s="508">
        <v>103979</v>
      </c>
      <c r="B3839" s="509" t="s">
        <v>6240</v>
      </c>
      <c r="C3839" s="508" t="s">
        <v>5</v>
      </c>
      <c r="D3839" s="508">
        <v>30.39</v>
      </c>
      <c r="E3839" s="461" t="s">
        <v>174</v>
      </c>
    </row>
    <row r="3840" spans="1:5" ht="27" x14ac:dyDescent="0.25">
      <c r="A3840" s="508">
        <v>104021</v>
      </c>
      <c r="B3840" s="509" t="s">
        <v>6241</v>
      </c>
      <c r="C3840" s="508" t="s">
        <v>5</v>
      </c>
      <c r="D3840" s="508">
        <v>62.12</v>
      </c>
      <c r="E3840" s="461" t="s">
        <v>174</v>
      </c>
    </row>
    <row r="3841" spans="1:5" ht="27" x14ac:dyDescent="0.25">
      <c r="A3841" s="508">
        <v>104166</v>
      </c>
      <c r="B3841" s="509" t="s">
        <v>6242</v>
      </c>
      <c r="C3841" s="508" t="s">
        <v>5</v>
      </c>
      <c r="D3841" s="508">
        <v>65.12</v>
      </c>
      <c r="E3841" s="461" t="s">
        <v>174</v>
      </c>
    </row>
    <row r="3842" spans="1:5" ht="27" x14ac:dyDescent="0.25">
      <c r="A3842" s="508">
        <v>104194</v>
      </c>
      <c r="B3842" s="509" t="s">
        <v>6243</v>
      </c>
      <c r="C3842" s="508" t="s">
        <v>5</v>
      </c>
      <c r="D3842" s="508">
        <v>23.6</v>
      </c>
      <c r="E3842" s="461" t="s">
        <v>174</v>
      </c>
    </row>
    <row r="3843" spans="1:5" ht="27" x14ac:dyDescent="0.25">
      <c r="A3843" s="508">
        <v>104195</v>
      </c>
      <c r="B3843" s="509" t="s">
        <v>6244</v>
      </c>
      <c r="C3843" s="508" t="s">
        <v>5</v>
      </c>
      <c r="D3843" s="508">
        <v>25.07</v>
      </c>
      <c r="E3843" s="461" t="s">
        <v>174</v>
      </c>
    </row>
    <row r="3844" spans="1:5" ht="27" x14ac:dyDescent="0.25">
      <c r="A3844" s="508">
        <v>104315</v>
      </c>
      <c r="B3844" s="509" t="s">
        <v>6245</v>
      </c>
      <c r="C3844" s="508" t="s">
        <v>5</v>
      </c>
      <c r="D3844" s="508">
        <v>16.899999999999999</v>
      </c>
      <c r="E3844" s="461" t="s">
        <v>174</v>
      </c>
    </row>
    <row r="3845" spans="1:5" ht="27" x14ac:dyDescent="0.25">
      <c r="A3845" s="508">
        <v>104316</v>
      </c>
      <c r="B3845" s="509" t="s">
        <v>6246</v>
      </c>
      <c r="C3845" s="508" t="s">
        <v>5</v>
      </c>
      <c r="D3845" s="508">
        <v>24.02</v>
      </c>
      <c r="E3845" s="461" t="s">
        <v>174</v>
      </c>
    </row>
    <row r="3846" spans="1:5" ht="27" x14ac:dyDescent="0.25">
      <c r="A3846" s="508">
        <v>105138</v>
      </c>
      <c r="B3846" s="509" t="s">
        <v>6247</v>
      </c>
      <c r="C3846" s="508" t="s">
        <v>107</v>
      </c>
      <c r="D3846" s="508">
        <v>16.899999999999999</v>
      </c>
      <c r="E3846" s="461" t="s">
        <v>174</v>
      </c>
    </row>
    <row r="3847" spans="1:5" ht="27" x14ac:dyDescent="0.25">
      <c r="A3847" s="508">
        <v>105139</v>
      </c>
      <c r="B3847" s="509" t="s">
        <v>6248</v>
      </c>
      <c r="C3847" s="508" t="s">
        <v>107</v>
      </c>
      <c r="D3847" s="508">
        <v>19.829999999999998</v>
      </c>
      <c r="E3847" s="461" t="s">
        <v>174</v>
      </c>
    </row>
    <row r="3848" spans="1:5" ht="27" x14ac:dyDescent="0.25">
      <c r="A3848" s="508">
        <v>105140</v>
      </c>
      <c r="B3848" s="509" t="s">
        <v>6249</v>
      </c>
      <c r="C3848" s="508" t="s">
        <v>107</v>
      </c>
      <c r="D3848" s="508">
        <v>25.48</v>
      </c>
      <c r="E3848" s="461" t="s">
        <v>174</v>
      </c>
    </row>
    <row r="3849" spans="1:5" ht="27" x14ac:dyDescent="0.25">
      <c r="A3849" s="508">
        <v>105141</v>
      </c>
      <c r="B3849" s="509" t="s">
        <v>6250</v>
      </c>
      <c r="C3849" s="508" t="s">
        <v>107</v>
      </c>
      <c r="D3849" s="508">
        <v>30.36</v>
      </c>
      <c r="E3849" s="461" t="s">
        <v>174</v>
      </c>
    </row>
    <row r="3850" spans="1:5" ht="27" x14ac:dyDescent="0.25">
      <c r="A3850" s="508">
        <v>105142</v>
      </c>
      <c r="B3850" s="509" t="s">
        <v>6251</v>
      </c>
      <c r="C3850" s="508" t="s">
        <v>107</v>
      </c>
      <c r="D3850" s="508">
        <v>6.75</v>
      </c>
      <c r="E3850" s="461" t="s">
        <v>174</v>
      </c>
    </row>
    <row r="3851" spans="1:5" ht="27" x14ac:dyDescent="0.25">
      <c r="A3851" s="508">
        <v>105143</v>
      </c>
      <c r="B3851" s="509" t="s">
        <v>6252</v>
      </c>
      <c r="C3851" s="508" t="s">
        <v>107</v>
      </c>
      <c r="D3851" s="508">
        <v>10.07</v>
      </c>
      <c r="E3851" s="461" t="s">
        <v>174</v>
      </c>
    </row>
    <row r="3852" spans="1:5" ht="27" x14ac:dyDescent="0.25">
      <c r="A3852" s="508">
        <v>105144</v>
      </c>
      <c r="B3852" s="509" t="s">
        <v>6253</v>
      </c>
      <c r="C3852" s="508" t="s">
        <v>107</v>
      </c>
      <c r="D3852" s="508">
        <v>21.28</v>
      </c>
      <c r="E3852" s="461" t="s">
        <v>174</v>
      </c>
    </row>
    <row r="3853" spans="1:5" ht="27" x14ac:dyDescent="0.25">
      <c r="A3853" s="508">
        <v>105145</v>
      </c>
      <c r="B3853" s="509" t="s">
        <v>6254</v>
      </c>
      <c r="C3853" s="508" t="s">
        <v>107</v>
      </c>
      <c r="D3853" s="508">
        <v>11.65</v>
      </c>
      <c r="E3853" s="461" t="s">
        <v>174</v>
      </c>
    </row>
    <row r="3854" spans="1:5" ht="27" x14ac:dyDescent="0.25">
      <c r="A3854" s="508">
        <v>105153</v>
      </c>
      <c r="B3854" s="509" t="s">
        <v>6255</v>
      </c>
      <c r="C3854" s="508" t="s">
        <v>107</v>
      </c>
      <c r="D3854" s="508">
        <v>56.26</v>
      </c>
      <c r="E3854" s="461" t="s">
        <v>174</v>
      </c>
    </row>
    <row r="3855" spans="1:5" ht="27" x14ac:dyDescent="0.25">
      <c r="A3855" s="508">
        <v>89358</v>
      </c>
      <c r="B3855" s="509" t="s">
        <v>6256</v>
      </c>
      <c r="C3855" s="508" t="s">
        <v>107</v>
      </c>
      <c r="D3855" s="508">
        <v>8.48</v>
      </c>
      <c r="E3855" s="461" t="s">
        <v>174</v>
      </c>
    </row>
    <row r="3856" spans="1:5" ht="27" x14ac:dyDescent="0.25">
      <c r="A3856" s="508">
        <v>89359</v>
      </c>
      <c r="B3856" s="509" t="s">
        <v>6257</v>
      </c>
      <c r="C3856" s="508" t="s">
        <v>107</v>
      </c>
      <c r="D3856" s="508">
        <v>9.01</v>
      </c>
      <c r="E3856" s="461" t="s">
        <v>174</v>
      </c>
    </row>
    <row r="3857" spans="1:5" ht="27" x14ac:dyDescent="0.25">
      <c r="A3857" s="508">
        <v>89360</v>
      </c>
      <c r="B3857" s="509" t="s">
        <v>6258</v>
      </c>
      <c r="C3857" s="508" t="s">
        <v>107</v>
      </c>
      <c r="D3857" s="508">
        <v>9.9700000000000006</v>
      </c>
      <c r="E3857" s="461" t="s">
        <v>174</v>
      </c>
    </row>
    <row r="3858" spans="1:5" ht="27" x14ac:dyDescent="0.25">
      <c r="A3858" s="508">
        <v>89361</v>
      </c>
      <c r="B3858" s="509" t="s">
        <v>6259</v>
      </c>
      <c r="C3858" s="508" t="s">
        <v>107</v>
      </c>
      <c r="D3858" s="508">
        <v>10.050000000000001</v>
      </c>
      <c r="E3858" s="461" t="s">
        <v>174</v>
      </c>
    </row>
    <row r="3859" spans="1:5" ht="27" x14ac:dyDescent="0.25">
      <c r="A3859" s="508">
        <v>89362</v>
      </c>
      <c r="B3859" s="509" t="s">
        <v>6260</v>
      </c>
      <c r="C3859" s="508" t="s">
        <v>107</v>
      </c>
      <c r="D3859" s="508">
        <v>10.09</v>
      </c>
      <c r="E3859" s="461" t="s">
        <v>174</v>
      </c>
    </row>
    <row r="3860" spans="1:5" ht="27" x14ac:dyDescent="0.25">
      <c r="A3860" s="508">
        <v>89363</v>
      </c>
      <c r="B3860" s="509" t="s">
        <v>6261</v>
      </c>
      <c r="C3860" s="508" t="s">
        <v>107</v>
      </c>
      <c r="D3860" s="508">
        <v>10.85</v>
      </c>
      <c r="E3860" s="461" t="s">
        <v>174</v>
      </c>
    </row>
    <row r="3861" spans="1:5" ht="27" x14ac:dyDescent="0.25">
      <c r="A3861" s="508">
        <v>89364</v>
      </c>
      <c r="B3861" s="509" t="s">
        <v>6262</v>
      </c>
      <c r="C3861" s="508" t="s">
        <v>107</v>
      </c>
      <c r="D3861" s="508">
        <v>12.31</v>
      </c>
      <c r="E3861" s="461" t="s">
        <v>174</v>
      </c>
    </row>
    <row r="3862" spans="1:5" ht="27" x14ac:dyDescent="0.25">
      <c r="A3862" s="508">
        <v>89365</v>
      </c>
      <c r="B3862" s="509" t="s">
        <v>6263</v>
      </c>
      <c r="C3862" s="508" t="s">
        <v>107</v>
      </c>
      <c r="D3862" s="508">
        <v>11.79</v>
      </c>
      <c r="E3862" s="461" t="s">
        <v>174</v>
      </c>
    </row>
    <row r="3863" spans="1:5" ht="27" x14ac:dyDescent="0.25">
      <c r="A3863" s="508">
        <v>89366</v>
      </c>
      <c r="B3863" s="509" t="s">
        <v>6264</v>
      </c>
      <c r="C3863" s="508" t="s">
        <v>107</v>
      </c>
      <c r="D3863" s="508">
        <v>16.559999999999999</v>
      </c>
      <c r="E3863" s="461" t="s">
        <v>174</v>
      </c>
    </row>
    <row r="3864" spans="1:5" ht="27" x14ac:dyDescent="0.25">
      <c r="A3864" s="508">
        <v>89367</v>
      </c>
      <c r="B3864" s="509" t="s">
        <v>6265</v>
      </c>
      <c r="C3864" s="508" t="s">
        <v>107</v>
      </c>
      <c r="D3864" s="508">
        <v>13.73</v>
      </c>
      <c r="E3864" s="461" t="s">
        <v>174</v>
      </c>
    </row>
    <row r="3865" spans="1:5" ht="27" x14ac:dyDescent="0.25">
      <c r="A3865" s="508">
        <v>89368</v>
      </c>
      <c r="B3865" s="509" t="s">
        <v>6266</v>
      </c>
      <c r="C3865" s="508" t="s">
        <v>107</v>
      </c>
      <c r="D3865" s="508">
        <v>15.42</v>
      </c>
      <c r="E3865" s="461" t="s">
        <v>174</v>
      </c>
    </row>
    <row r="3866" spans="1:5" ht="27" x14ac:dyDescent="0.25">
      <c r="A3866" s="508">
        <v>89369</v>
      </c>
      <c r="B3866" s="509" t="s">
        <v>6267</v>
      </c>
      <c r="C3866" s="508" t="s">
        <v>107</v>
      </c>
      <c r="D3866" s="508">
        <v>17.690000000000001</v>
      </c>
      <c r="E3866" s="461" t="s">
        <v>174</v>
      </c>
    </row>
    <row r="3867" spans="1:5" ht="27" x14ac:dyDescent="0.25">
      <c r="A3867" s="508">
        <v>89370</v>
      </c>
      <c r="B3867" s="509" t="s">
        <v>6268</v>
      </c>
      <c r="C3867" s="508" t="s">
        <v>107</v>
      </c>
      <c r="D3867" s="508">
        <v>15.74</v>
      </c>
      <c r="E3867" s="461" t="s">
        <v>174</v>
      </c>
    </row>
    <row r="3868" spans="1:5" ht="27" x14ac:dyDescent="0.25">
      <c r="A3868" s="508">
        <v>89371</v>
      </c>
      <c r="B3868" s="509" t="s">
        <v>6269</v>
      </c>
      <c r="C3868" s="508" t="s">
        <v>107</v>
      </c>
      <c r="D3868" s="508">
        <v>6.31</v>
      </c>
      <c r="E3868" s="461" t="s">
        <v>174</v>
      </c>
    </row>
    <row r="3869" spans="1:5" ht="27" x14ac:dyDescent="0.25">
      <c r="A3869" s="508">
        <v>89372</v>
      </c>
      <c r="B3869" s="509" t="s">
        <v>6270</v>
      </c>
      <c r="C3869" s="508" t="s">
        <v>107</v>
      </c>
      <c r="D3869" s="508">
        <v>15.96</v>
      </c>
      <c r="E3869" s="461" t="s">
        <v>174</v>
      </c>
    </row>
    <row r="3870" spans="1:5" ht="27" x14ac:dyDescent="0.25">
      <c r="A3870" s="508">
        <v>89373</v>
      </c>
      <c r="B3870" s="509" t="s">
        <v>6271</v>
      </c>
      <c r="C3870" s="508" t="s">
        <v>107</v>
      </c>
      <c r="D3870" s="508">
        <v>7.47</v>
      </c>
      <c r="E3870" s="461" t="s">
        <v>174</v>
      </c>
    </row>
    <row r="3871" spans="1:5" ht="27" x14ac:dyDescent="0.25">
      <c r="A3871" s="508">
        <v>89374</v>
      </c>
      <c r="B3871" s="509" t="s">
        <v>6272</v>
      </c>
      <c r="C3871" s="508" t="s">
        <v>107</v>
      </c>
      <c r="D3871" s="508">
        <v>10.25</v>
      </c>
      <c r="E3871" s="461" t="s">
        <v>174</v>
      </c>
    </row>
    <row r="3872" spans="1:5" ht="27" x14ac:dyDescent="0.25">
      <c r="A3872" s="508">
        <v>89375</v>
      </c>
      <c r="B3872" s="509" t="s">
        <v>6273</v>
      </c>
      <c r="C3872" s="508" t="s">
        <v>107</v>
      </c>
      <c r="D3872" s="508">
        <v>12.06</v>
      </c>
      <c r="E3872" s="461" t="s">
        <v>174</v>
      </c>
    </row>
    <row r="3873" spans="1:5" ht="27" x14ac:dyDescent="0.25">
      <c r="A3873" s="508">
        <v>89376</v>
      </c>
      <c r="B3873" s="509" t="s">
        <v>6274</v>
      </c>
      <c r="C3873" s="508" t="s">
        <v>107</v>
      </c>
      <c r="D3873" s="508">
        <v>5.98</v>
      </c>
      <c r="E3873" s="461" t="s">
        <v>174</v>
      </c>
    </row>
    <row r="3874" spans="1:5" ht="27" x14ac:dyDescent="0.25">
      <c r="A3874" s="508">
        <v>89377</v>
      </c>
      <c r="B3874" s="509" t="s">
        <v>6275</v>
      </c>
      <c r="C3874" s="508" t="s">
        <v>107</v>
      </c>
      <c r="D3874" s="508">
        <v>10.39</v>
      </c>
      <c r="E3874" s="461" t="s">
        <v>174</v>
      </c>
    </row>
    <row r="3875" spans="1:5" ht="27" x14ac:dyDescent="0.25">
      <c r="A3875" s="508">
        <v>89378</v>
      </c>
      <c r="B3875" s="509" t="s">
        <v>6276</v>
      </c>
      <c r="C3875" s="508" t="s">
        <v>107</v>
      </c>
      <c r="D3875" s="508">
        <v>7.44</v>
      </c>
      <c r="E3875" s="461" t="s">
        <v>174</v>
      </c>
    </row>
    <row r="3876" spans="1:5" ht="27" x14ac:dyDescent="0.25">
      <c r="A3876" s="508">
        <v>89379</v>
      </c>
      <c r="B3876" s="509" t="s">
        <v>920</v>
      </c>
      <c r="C3876" s="508" t="s">
        <v>107</v>
      </c>
      <c r="D3876" s="508">
        <v>18.760000000000002</v>
      </c>
      <c r="E3876" s="461" t="s">
        <v>174</v>
      </c>
    </row>
    <row r="3877" spans="1:5" ht="27" x14ac:dyDescent="0.25">
      <c r="A3877" s="508">
        <v>89380</v>
      </c>
      <c r="B3877" s="509" t="s">
        <v>6277</v>
      </c>
      <c r="C3877" s="508" t="s">
        <v>107</v>
      </c>
      <c r="D3877" s="508">
        <v>10.41</v>
      </c>
      <c r="E3877" s="461" t="s">
        <v>174</v>
      </c>
    </row>
    <row r="3878" spans="1:5" ht="27" x14ac:dyDescent="0.25">
      <c r="A3878" s="508">
        <v>89381</v>
      </c>
      <c r="B3878" s="509" t="s">
        <v>6278</v>
      </c>
      <c r="C3878" s="508" t="s">
        <v>107</v>
      </c>
      <c r="D3878" s="508">
        <v>12.54</v>
      </c>
      <c r="E3878" s="461" t="s">
        <v>174</v>
      </c>
    </row>
    <row r="3879" spans="1:5" ht="27" x14ac:dyDescent="0.25">
      <c r="A3879" s="508">
        <v>89382</v>
      </c>
      <c r="B3879" s="509" t="s">
        <v>6279</v>
      </c>
      <c r="C3879" s="508" t="s">
        <v>107</v>
      </c>
      <c r="D3879" s="508">
        <v>14.49</v>
      </c>
      <c r="E3879" s="461" t="s">
        <v>174</v>
      </c>
    </row>
    <row r="3880" spans="1:5" ht="27" x14ac:dyDescent="0.25">
      <c r="A3880" s="508">
        <v>89383</v>
      </c>
      <c r="B3880" s="509" t="s">
        <v>6280</v>
      </c>
      <c r="C3880" s="508" t="s">
        <v>107</v>
      </c>
      <c r="D3880" s="508">
        <v>6.96</v>
      </c>
      <c r="E3880" s="461" t="s">
        <v>174</v>
      </c>
    </row>
    <row r="3881" spans="1:5" ht="27" x14ac:dyDescent="0.25">
      <c r="A3881" s="508">
        <v>89384</v>
      </c>
      <c r="B3881" s="509" t="s">
        <v>6281</v>
      </c>
      <c r="C3881" s="508" t="s">
        <v>107</v>
      </c>
      <c r="D3881" s="508">
        <v>13.2</v>
      </c>
      <c r="E3881" s="461" t="s">
        <v>174</v>
      </c>
    </row>
    <row r="3882" spans="1:5" ht="27" x14ac:dyDescent="0.25">
      <c r="A3882" s="508">
        <v>89385</v>
      </c>
      <c r="B3882" s="509" t="s">
        <v>6282</v>
      </c>
      <c r="C3882" s="508" t="s">
        <v>107</v>
      </c>
      <c r="D3882" s="508">
        <v>7.58</v>
      </c>
      <c r="E3882" s="461" t="s">
        <v>174</v>
      </c>
    </row>
    <row r="3883" spans="1:5" ht="27" x14ac:dyDescent="0.25">
      <c r="A3883" s="508">
        <v>89386</v>
      </c>
      <c r="B3883" s="509" t="s">
        <v>6283</v>
      </c>
      <c r="C3883" s="508" t="s">
        <v>107</v>
      </c>
      <c r="D3883" s="508">
        <v>10.050000000000001</v>
      </c>
      <c r="E3883" s="461" t="s">
        <v>174</v>
      </c>
    </row>
    <row r="3884" spans="1:5" ht="27" x14ac:dyDescent="0.25">
      <c r="A3884" s="508">
        <v>89387</v>
      </c>
      <c r="B3884" s="509" t="s">
        <v>6284</v>
      </c>
      <c r="C3884" s="508" t="s">
        <v>107</v>
      </c>
      <c r="D3884" s="508">
        <v>29.61</v>
      </c>
      <c r="E3884" s="461" t="s">
        <v>174</v>
      </c>
    </row>
    <row r="3885" spans="1:5" ht="27" x14ac:dyDescent="0.25">
      <c r="A3885" s="508">
        <v>89389</v>
      </c>
      <c r="B3885" s="509" t="s">
        <v>6285</v>
      </c>
      <c r="C3885" s="508" t="s">
        <v>107</v>
      </c>
      <c r="D3885" s="508">
        <v>11.78</v>
      </c>
      <c r="E3885" s="461" t="s">
        <v>174</v>
      </c>
    </row>
    <row r="3886" spans="1:5" ht="27" x14ac:dyDescent="0.25">
      <c r="A3886" s="508">
        <v>89390</v>
      </c>
      <c r="B3886" s="509" t="s">
        <v>6286</v>
      </c>
      <c r="C3886" s="508" t="s">
        <v>107</v>
      </c>
      <c r="D3886" s="508">
        <v>21.31</v>
      </c>
      <c r="E3886" s="461" t="s">
        <v>174</v>
      </c>
    </row>
    <row r="3887" spans="1:5" ht="27" x14ac:dyDescent="0.25">
      <c r="A3887" s="508">
        <v>89391</v>
      </c>
      <c r="B3887" s="509" t="s">
        <v>6287</v>
      </c>
      <c r="C3887" s="508" t="s">
        <v>107</v>
      </c>
      <c r="D3887" s="508">
        <v>9.1199999999999992</v>
      </c>
      <c r="E3887" s="461" t="s">
        <v>174</v>
      </c>
    </row>
    <row r="3888" spans="1:5" ht="27" x14ac:dyDescent="0.25">
      <c r="A3888" s="508">
        <v>89392</v>
      </c>
      <c r="B3888" s="509" t="s">
        <v>6288</v>
      </c>
      <c r="C3888" s="508" t="s">
        <v>107</v>
      </c>
      <c r="D3888" s="508">
        <v>24.3</v>
      </c>
      <c r="E3888" s="461" t="s">
        <v>174</v>
      </c>
    </row>
    <row r="3889" spans="1:5" ht="27" x14ac:dyDescent="0.25">
      <c r="A3889" s="508">
        <v>89393</v>
      </c>
      <c r="B3889" s="509" t="s">
        <v>6289</v>
      </c>
      <c r="C3889" s="508" t="s">
        <v>107</v>
      </c>
      <c r="D3889" s="508">
        <v>11.75</v>
      </c>
      <c r="E3889" s="461" t="s">
        <v>174</v>
      </c>
    </row>
    <row r="3890" spans="1:5" ht="27" x14ac:dyDescent="0.25">
      <c r="A3890" s="508">
        <v>89394</v>
      </c>
      <c r="B3890" s="509" t="s">
        <v>6290</v>
      </c>
      <c r="C3890" s="508" t="s">
        <v>107</v>
      </c>
      <c r="D3890" s="508">
        <v>18.96</v>
      </c>
      <c r="E3890" s="461" t="s">
        <v>174</v>
      </c>
    </row>
    <row r="3891" spans="1:5" ht="27" x14ac:dyDescent="0.25">
      <c r="A3891" s="508">
        <v>89395</v>
      </c>
      <c r="B3891" s="509" t="s">
        <v>6291</v>
      </c>
      <c r="C3891" s="508" t="s">
        <v>107</v>
      </c>
      <c r="D3891" s="508">
        <v>13.87</v>
      </c>
      <c r="E3891" s="461" t="s">
        <v>174</v>
      </c>
    </row>
    <row r="3892" spans="1:5" ht="27" x14ac:dyDescent="0.25">
      <c r="A3892" s="508">
        <v>89396</v>
      </c>
      <c r="B3892" s="509" t="s">
        <v>6292</v>
      </c>
      <c r="C3892" s="508" t="s">
        <v>107</v>
      </c>
      <c r="D3892" s="508">
        <v>20.78</v>
      </c>
      <c r="E3892" s="461" t="s">
        <v>174</v>
      </c>
    </row>
    <row r="3893" spans="1:5" ht="27" x14ac:dyDescent="0.25">
      <c r="A3893" s="508">
        <v>89397</v>
      </c>
      <c r="B3893" s="509" t="s">
        <v>6293</v>
      </c>
      <c r="C3893" s="508" t="s">
        <v>107</v>
      </c>
      <c r="D3893" s="508">
        <v>15.46</v>
      </c>
      <c r="E3893" s="461" t="s">
        <v>174</v>
      </c>
    </row>
    <row r="3894" spans="1:5" ht="27" x14ac:dyDescent="0.25">
      <c r="A3894" s="508">
        <v>89398</v>
      </c>
      <c r="B3894" s="509" t="s">
        <v>6294</v>
      </c>
      <c r="C3894" s="508" t="s">
        <v>107</v>
      </c>
      <c r="D3894" s="508">
        <v>19.12</v>
      </c>
      <c r="E3894" s="461" t="s">
        <v>174</v>
      </c>
    </row>
    <row r="3895" spans="1:5" ht="27" x14ac:dyDescent="0.25">
      <c r="A3895" s="508">
        <v>89399</v>
      </c>
      <c r="B3895" s="509" t="s">
        <v>6295</v>
      </c>
      <c r="C3895" s="508" t="s">
        <v>107</v>
      </c>
      <c r="D3895" s="508">
        <v>25.14</v>
      </c>
      <c r="E3895" s="461" t="s">
        <v>174</v>
      </c>
    </row>
    <row r="3896" spans="1:5" ht="27" x14ac:dyDescent="0.25">
      <c r="A3896" s="508">
        <v>89400</v>
      </c>
      <c r="B3896" s="509" t="s">
        <v>6296</v>
      </c>
      <c r="C3896" s="508" t="s">
        <v>107</v>
      </c>
      <c r="D3896" s="508">
        <v>20.61</v>
      </c>
      <c r="E3896" s="461" t="s">
        <v>174</v>
      </c>
    </row>
    <row r="3897" spans="1:5" ht="27" x14ac:dyDescent="0.25">
      <c r="A3897" s="508">
        <v>89404</v>
      </c>
      <c r="B3897" s="509" t="s">
        <v>6297</v>
      </c>
      <c r="C3897" s="508" t="s">
        <v>107</v>
      </c>
      <c r="D3897" s="508">
        <v>7.72</v>
      </c>
      <c r="E3897" s="461" t="s">
        <v>174</v>
      </c>
    </row>
    <row r="3898" spans="1:5" ht="27" x14ac:dyDescent="0.25">
      <c r="A3898" s="508">
        <v>89405</v>
      </c>
      <c r="B3898" s="509" t="s">
        <v>6298</v>
      </c>
      <c r="C3898" s="508" t="s">
        <v>107</v>
      </c>
      <c r="D3898" s="508">
        <v>8.25</v>
      </c>
      <c r="E3898" s="461" t="s">
        <v>174</v>
      </c>
    </row>
    <row r="3899" spans="1:5" ht="27" x14ac:dyDescent="0.25">
      <c r="A3899" s="508">
        <v>89406</v>
      </c>
      <c r="B3899" s="509" t="s">
        <v>6299</v>
      </c>
      <c r="C3899" s="508" t="s">
        <v>107</v>
      </c>
      <c r="D3899" s="508">
        <v>9.2100000000000009</v>
      </c>
      <c r="E3899" s="461" t="s">
        <v>174</v>
      </c>
    </row>
    <row r="3900" spans="1:5" ht="27" x14ac:dyDescent="0.25">
      <c r="A3900" s="508">
        <v>89407</v>
      </c>
      <c r="B3900" s="509" t="s">
        <v>6300</v>
      </c>
      <c r="C3900" s="508" t="s">
        <v>107</v>
      </c>
      <c r="D3900" s="508">
        <v>9.2899999999999991</v>
      </c>
      <c r="E3900" s="461" t="s">
        <v>174</v>
      </c>
    </row>
    <row r="3901" spans="1:5" ht="27" x14ac:dyDescent="0.25">
      <c r="A3901" s="508">
        <v>89408</v>
      </c>
      <c r="B3901" s="509" t="s">
        <v>6301</v>
      </c>
      <c r="C3901" s="508" t="s">
        <v>107</v>
      </c>
      <c r="D3901" s="508">
        <v>9.2100000000000009</v>
      </c>
      <c r="E3901" s="461" t="s">
        <v>174</v>
      </c>
    </row>
    <row r="3902" spans="1:5" ht="27" x14ac:dyDescent="0.25">
      <c r="A3902" s="508">
        <v>89409</v>
      </c>
      <c r="B3902" s="509" t="s">
        <v>6302</v>
      </c>
      <c r="C3902" s="508" t="s">
        <v>107</v>
      </c>
      <c r="D3902" s="508">
        <v>9.9700000000000006</v>
      </c>
      <c r="E3902" s="461" t="s">
        <v>174</v>
      </c>
    </row>
    <row r="3903" spans="1:5" ht="27" x14ac:dyDescent="0.25">
      <c r="A3903" s="508">
        <v>89410</v>
      </c>
      <c r="B3903" s="509" t="s">
        <v>6303</v>
      </c>
      <c r="C3903" s="508" t="s">
        <v>107</v>
      </c>
      <c r="D3903" s="508">
        <v>11.43</v>
      </c>
      <c r="E3903" s="461" t="s">
        <v>174</v>
      </c>
    </row>
    <row r="3904" spans="1:5" ht="27" x14ac:dyDescent="0.25">
      <c r="A3904" s="508">
        <v>89411</v>
      </c>
      <c r="B3904" s="509" t="s">
        <v>6304</v>
      </c>
      <c r="C3904" s="508" t="s">
        <v>107</v>
      </c>
      <c r="D3904" s="508">
        <v>10.91</v>
      </c>
      <c r="E3904" s="461" t="s">
        <v>174</v>
      </c>
    </row>
    <row r="3905" spans="1:5" ht="27" x14ac:dyDescent="0.25">
      <c r="A3905" s="508">
        <v>89412</v>
      </c>
      <c r="B3905" s="509" t="s">
        <v>6305</v>
      </c>
      <c r="C3905" s="508" t="s">
        <v>107</v>
      </c>
      <c r="D3905" s="508">
        <v>10.199999999999999</v>
      </c>
      <c r="E3905" s="461" t="s">
        <v>174</v>
      </c>
    </row>
    <row r="3906" spans="1:5" ht="27" x14ac:dyDescent="0.25">
      <c r="A3906" s="508">
        <v>89413</v>
      </c>
      <c r="B3906" s="509" t="s">
        <v>6306</v>
      </c>
      <c r="C3906" s="508" t="s">
        <v>107</v>
      </c>
      <c r="D3906" s="508">
        <v>12.69</v>
      </c>
      <c r="E3906" s="461" t="s">
        <v>174</v>
      </c>
    </row>
    <row r="3907" spans="1:5" ht="27" x14ac:dyDescent="0.25">
      <c r="A3907" s="508">
        <v>89414</v>
      </c>
      <c r="B3907" s="509" t="s">
        <v>6307</v>
      </c>
      <c r="C3907" s="508" t="s">
        <v>107</v>
      </c>
      <c r="D3907" s="508">
        <v>14.38</v>
      </c>
      <c r="E3907" s="461" t="s">
        <v>174</v>
      </c>
    </row>
    <row r="3908" spans="1:5" ht="27" x14ac:dyDescent="0.25">
      <c r="A3908" s="508">
        <v>89415</v>
      </c>
      <c r="B3908" s="509" t="s">
        <v>6308</v>
      </c>
      <c r="C3908" s="508" t="s">
        <v>107</v>
      </c>
      <c r="D3908" s="508">
        <v>16.649999999999999</v>
      </c>
      <c r="E3908" s="461" t="s">
        <v>174</v>
      </c>
    </row>
    <row r="3909" spans="1:5" ht="27" x14ac:dyDescent="0.25">
      <c r="A3909" s="508">
        <v>89416</v>
      </c>
      <c r="B3909" s="509" t="s">
        <v>6309</v>
      </c>
      <c r="C3909" s="508" t="s">
        <v>107</v>
      </c>
      <c r="D3909" s="508">
        <v>14.7</v>
      </c>
      <c r="E3909" s="461" t="s">
        <v>174</v>
      </c>
    </row>
    <row r="3910" spans="1:5" ht="27" x14ac:dyDescent="0.25">
      <c r="A3910" s="508">
        <v>89417</v>
      </c>
      <c r="B3910" s="509" t="s">
        <v>6310</v>
      </c>
      <c r="C3910" s="508" t="s">
        <v>107</v>
      </c>
      <c r="D3910" s="508">
        <v>5.79</v>
      </c>
      <c r="E3910" s="461" t="s">
        <v>174</v>
      </c>
    </row>
    <row r="3911" spans="1:5" ht="27" x14ac:dyDescent="0.25">
      <c r="A3911" s="508">
        <v>89418</v>
      </c>
      <c r="B3911" s="509" t="s">
        <v>6311</v>
      </c>
      <c r="C3911" s="508" t="s">
        <v>107</v>
      </c>
      <c r="D3911" s="508">
        <v>15.44</v>
      </c>
      <c r="E3911" s="461" t="s">
        <v>174</v>
      </c>
    </row>
    <row r="3912" spans="1:5" ht="27" x14ac:dyDescent="0.25">
      <c r="A3912" s="508">
        <v>89419</v>
      </c>
      <c r="B3912" s="509" t="s">
        <v>6312</v>
      </c>
      <c r="C3912" s="508" t="s">
        <v>107</v>
      </c>
      <c r="D3912" s="508">
        <v>6.92</v>
      </c>
      <c r="E3912" s="461" t="s">
        <v>174</v>
      </c>
    </row>
    <row r="3913" spans="1:5" ht="27" x14ac:dyDescent="0.25">
      <c r="A3913" s="508">
        <v>89421</v>
      </c>
      <c r="B3913" s="509" t="s">
        <v>6313</v>
      </c>
      <c r="C3913" s="508" t="s">
        <v>107</v>
      </c>
      <c r="D3913" s="508">
        <v>11.54</v>
      </c>
      <c r="E3913" s="461" t="s">
        <v>174</v>
      </c>
    </row>
    <row r="3914" spans="1:5" ht="27" x14ac:dyDescent="0.25">
      <c r="A3914" s="508">
        <v>89423</v>
      </c>
      <c r="B3914" s="509" t="s">
        <v>6314</v>
      </c>
      <c r="C3914" s="508" t="s">
        <v>107</v>
      </c>
      <c r="D3914" s="508">
        <v>9.8699999999999992</v>
      </c>
      <c r="E3914" s="461" t="s">
        <v>174</v>
      </c>
    </row>
    <row r="3915" spans="1:5" ht="27" x14ac:dyDescent="0.25">
      <c r="A3915" s="508">
        <v>89424</v>
      </c>
      <c r="B3915" s="509" t="s">
        <v>6315</v>
      </c>
      <c r="C3915" s="508" t="s">
        <v>107</v>
      </c>
      <c r="D3915" s="508">
        <v>6.85</v>
      </c>
      <c r="E3915" s="461" t="s">
        <v>174</v>
      </c>
    </row>
    <row r="3916" spans="1:5" ht="27" x14ac:dyDescent="0.25">
      <c r="A3916" s="508">
        <v>89425</v>
      </c>
      <c r="B3916" s="509" t="s">
        <v>6316</v>
      </c>
      <c r="C3916" s="508" t="s">
        <v>107</v>
      </c>
      <c r="D3916" s="508">
        <v>18.170000000000002</v>
      </c>
      <c r="E3916" s="461" t="s">
        <v>174</v>
      </c>
    </row>
    <row r="3917" spans="1:5" ht="27" x14ac:dyDescent="0.25">
      <c r="A3917" s="508">
        <v>89426</v>
      </c>
      <c r="B3917" s="509" t="s">
        <v>6317</v>
      </c>
      <c r="C3917" s="508" t="s">
        <v>107</v>
      </c>
      <c r="D3917" s="508">
        <v>9.77</v>
      </c>
      <c r="E3917" s="461" t="s">
        <v>174</v>
      </c>
    </row>
    <row r="3918" spans="1:5" ht="27" x14ac:dyDescent="0.25">
      <c r="A3918" s="508">
        <v>89427</v>
      </c>
      <c r="B3918" s="509" t="s">
        <v>6318</v>
      </c>
      <c r="C3918" s="508" t="s">
        <v>107</v>
      </c>
      <c r="D3918" s="508">
        <v>11.99</v>
      </c>
      <c r="E3918" s="461" t="s">
        <v>174</v>
      </c>
    </row>
    <row r="3919" spans="1:5" ht="27" x14ac:dyDescent="0.25">
      <c r="A3919" s="508">
        <v>89428</v>
      </c>
      <c r="B3919" s="509" t="s">
        <v>6319</v>
      </c>
      <c r="C3919" s="508" t="s">
        <v>107</v>
      </c>
      <c r="D3919" s="508">
        <v>13.9</v>
      </c>
      <c r="E3919" s="461" t="s">
        <v>174</v>
      </c>
    </row>
    <row r="3920" spans="1:5" ht="27" x14ac:dyDescent="0.25">
      <c r="A3920" s="508">
        <v>89429</v>
      </c>
      <c r="B3920" s="509" t="s">
        <v>6320</v>
      </c>
      <c r="C3920" s="508" t="s">
        <v>107</v>
      </c>
      <c r="D3920" s="508">
        <v>6.41</v>
      </c>
      <c r="E3920" s="461" t="s">
        <v>174</v>
      </c>
    </row>
    <row r="3921" spans="1:5" ht="27" x14ac:dyDescent="0.25">
      <c r="A3921" s="508">
        <v>89430</v>
      </c>
      <c r="B3921" s="509" t="s">
        <v>6321</v>
      </c>
      <c r="C3921" s="508" t="s">
        <v>107</v>
      </c>
      <c r="D3921" s="508">
        <v>12.61</v>
      </c>
      <c r="E3921" s="461" t="s">
        <v>174</v>
      </c>
    </row>
    <row r="3922" spans="1:5" ht="27" x14ac:dyDescent="0.25">
      <c r="A3922" s="508">
        <v>89431</v>
      </c>
      <c r="B3922" s="509" t="s">
        <v>6322</v>
      </c>
      <c r="C3922" s="508" t="s">
        <v>107</v>
      </c>
      <c r="D3922" s="508">
        <v>9.35</v>
      </c>
      <c r="E3922" s="461" t="s">
        <v>174</v>
      </c>
    </row>
    <row r="3923" spans="1:5" ht="27" x14ac:dyDescent="0.25">
      <c r="A3923" s="508">
        <v>89432</v>
      </c>
      <c r="B3923" s="509" t="s">
        <v>6323</v>
      </c>
      <c r="C3923" s="508" t="s">
        <v>107</v>
      </c>
      <c r="D3923" s="508">
        <v>28.91</v>
      </c>
      <c r="E3923" s="461" t="s">
        <v>174</v>
      </c>
    </row>
    <row r="3924" spans="1:5" ht="27" x14ac:dyDescent="0.25">
      <c r="A3924" s="508">
        <v>89433</v>
      </c>
      <c r="B3924" s="509" t="s">
        <v>6324</v>
      </c>
      <c r="C3924" s="508" t="s">
        <v>107</v>
      </c>
      <c r="D3924" s="508">
        <v>13.35</v>
      </c>
      <c r="E3924" s="461" t="s">
        <v>174</v>
      </c>
    </row>
    <row r="3925" spans="1:5" ht="27" x14ac:dyDescent="0.25">
      <c r="A3925" s="508">
        <v>89434</v>
      </c>
      <c r="B3925" s="509" t="s">
        <v>6325</v>
      </c>
      <c r="C3925" s="508" t="s">
        <v>107</v>
      </c>
      <c r="D3925" s="508">
        <v>11.14</v>
      </c>
      <c r="E3925" s="461" t="s">
        <v>174</v>
      </c>
    </row>
    <row r="3926" spans="1:5" ht="27" x14ac:dyDescent="0.25">
      <c r="A3926" s="508">
        <v>89435</v>
      </c>
      <c r="B3926" s="509" t="s">
        <v>6326</v>
      </c>
      <c r="C3926" s="508" t="s">
        <v>107</v>
      </c>
      <c r="D3926" s="508">
        <v>20.61</v>
      </c>
      <c r="E3926" s="461" t="s">
        <v>174</v>
      </c>
    </row>
    <row r="3927" spans="1:5" ht="27" x14ac:dyDescent="0.25">
      <c r="A3927" s="508">
        <v>89436</v>
      </c>
      <c r="B3927" s="509" t="s">
        <v>6327</v>
      </c>
      <c r="C3927" s="508" t="s">
        <v>107</v>
      </c>
      <c r="D3927" s="508">
        <v>8.48</v>
      </c>
      <c r="E3927" s="461" t="s">
        <v>174</v>
      </c>
    </row>
    <row r="3928" spans="1:5" ht="27" x14ac:dyDescent="0.25">
      <c r="A3928" s="508">
        <v>89437</v>
      </c>
      <c r="B3928" s="509" t="s">
        <v>6328</v>
      </c>
      <c r="C3928" s="508" t="s">
        <v>107</v>
      </c>
      <c r="D3928" s="508">
        <v>23.6</v>
      </c>
      <c r="E3928" s="461" t="s">
        <v>174</v>
      </c>
    </row>
    <row r="3929" spans="1:5" ht="27" x14ac:dyDescent="0.25">
      <c r="A3929" s="508">
        <v>89438</v>
      </c>
      <c r="B3929" s="509" t="s">
        <v>6329</v>
      </c>
      <c r="C3929" s="508" t="s">
        <v>107</v>
      </c>
      <c r="D3929" s="508">
        <v>10.74</v>
      </c>
      <c r="E3929" s="461" t="s">
        <v>174</v>
      </c>
    </row>
    <row r="3930" spans="1:5" ht="27" x14ac:dyDescent="0.25">
      <c r="A3930" s="508">
        <v>89439</v>
      </c>
      <c r="B3930" s="509" t="s">
        <v>6330</v>
      </c>
      <c r="C3930" s="508" t="s">
        <v>107</v>
      </c>
      <c r="D3930" s="508">
        <v>12.19</v>
      </c>
      <c r="E3930" s="461" t="s">
        <v>174</v>
      </c>
    </row>
    <row r="3931" spans="1:5" ht="27" x14ac:dyDescent="0.25">
      <c r="A3931" s="508">
        <v>89440</v>
      </c>
      <c r="B3931" s="509" t="s">
        <v>6331</v>
      </c>
      <c r="C3931" s="508" t="s">
        <v>107</v>
      </c>
      <c r="D3931" s="508">
        <v>12.7</v>
      </c>
      <c r="E3931" s="461" t="s">
        <v>174</v>
      </c>
    </row>
    <row r="3932" spans="1:5" ht="27" x14ac:dyDescent="0.25">
      <c r="A3932" s="508">
        <v>89442</v>
      </c>
      <c r="B3932" s="509" t="s">
        <v>6332</v>
      </c>
      <c r="C3932" s="508" t="s">
        <v>107</v>
      </c>
      <c r="D3932" s="508">
        <v>14.37</v>
      </c>
      <c r="E3932" s="461" t="s">
        <v>174</v>
      </c>
    </row>
    <row r="3933" spans="1:5" ht="27" x14ac:dyDescent="0.25">
      <c r="A3933" s="508">
        <v>89443</v>
      </c>
      <c r="B3933" s="509" t="s">
        <v>6333</v>
      </c>
      <c r="C3933" s="508" t="s">
        <v>107</v>
      </c>
      <c r="D3933" s="508">
        <v>17.73</v>
      </c>
      <c r="E3933" s="461" t="s">
        <v>174</v>
      </c>
    </row>
    <row r="3934" spans="1:5" ht="27" x14ac:dyDescent="0.25">
      <c r="A3934" s="508">
        <v>89444</v>
      </c>
      <c r="B3934" s="509" t="s">
        <v>6334</v>
      </c>
      <c r="C3934" s="508" t="s">
        <v>107</v>
      </c>
      <c r="D3934" s="508">
        <v>24.44</v>
      </c>
      <c r="E3934" s="461" t="s">
        <v>174</v>
      </c>
    </row>
    <row r="3935" spans="1:5" ht="27" x14ac:dyDescent="0.25">
      <c r="A3935" s="508">
        <v>89445</v>
      </c>
      <c r="B3935" s="509" t="s">
        <v>6335</v>
      </c>
      <c r="C3935" s="508" t="s">
        <v>107</v>
      </c>
      <c r="D3935" s="508">
        <v>19.34</v>
      </c>
      <c r="E3935" s="461" t="s">
        <v>174</v>
      </c>
    </row>
    <row r="3936" spans="1:5" ht="27" x14ac:dyDescent="0.25">
      <c r="A3936" s="508">
        <v>89481</v>
      </c>
      <c r="B3936" s="509" t="s">
        <v>6336</v>
      </c>
      <c r="C3936" s="508" t="s">
        <v>107</v>
      </c>
      <c r="D3936" s="508">
        <v>5.64</v>
      </c>
      <c r="E3936" s="461" t="s">
        <v>174</v>
      </c>
    </row>
    <row r="3937" spans="1:5" ht="27" x14ac:dyDescent="0.25">
      <c r="A3937" s="508">
        <v>89485</v>
      </c>
      <c r="B3937" s="509" t="s">
        <v>6337</v>
      </c>
      <c r="C3937" s="508" t="s">
        <v>107</v>
      </c>
      <c r="D3937" s="508">
        <v>6.4</v>
      </c>
      <c r="E3937" s="461" t="s">
        <v>174</v>
      </c>
    </row>
    <row r="3938" spans="1:5" ht="27" x14ac:dyDescent="0.25">
      <c r="A3938" s="508">
        <v>89489</v>
      </c>
      <c r="B3938" s="509" t="s">
        <v>6338</v>
      </c>
      <c r="C3938" s="508" t="s">
        <v>107</v>
      </c>
      <c r="D3938" s="508">
        <v>7.86</v>
      </c>
      <c r="E3938" s="461" t="s">
        <v>174</v>
      </c>
    </row>
    <row r="3939" spans="1:5" ht="27" x14ac:dyDescent="0.25">
      <c r="A3939" s="508">
        <v>89490</v>
      </c>
      <c r="B3939" s="509" t="s">
        <v>6339</v>
      </c>
      <c r="C3939" s="508" t="s">
        <v>107</v>
      </c>
      <c r="D3939" s="508">
        <v>7.34</v>
      </c>
      <c r="E3939" s="461" t="s">
        <v>174</v>
      </c>
    </row>
    <row r="3940" spans="1:5" ht="27" x14ac:dyDescent="0.25">
      <c r="A3940" s="508">
        <v>89492</v>
      </c>
      <c r="B3940" s="509" t="s">
        <v>6340</v>
      </c>
      <c r="C3940" s="508" t="s">
        <v>107</v>
      </c>
      <c r="D3940" s="508">
        <v>8.52</v>
      </c>
      <c r="E3940" s="461" t="s">
        <v>174</v>
      </c>
    </row>
    <row r="3941" spans="1:5" ht="27" x14ac:dyDescent="0.25">
      <c r="A3941" s="508">
        <v>89493</v>
      </c>
      <c r="B3941" s="509" t="s">
        <v>6341</v>
      </c>
      <c r="C3941" s="508" t="s">
        <v>107</v>
      </c>
      <c r="D3941" s="508">
        <v>10.210000000000001</v>
      </c>
      <c r="E3941" s="461" t="s">
        <v>174</v>
      </c>
    </row>
    <row r="3942" spans="1:5" ht="27" x14ac:dyDescent="0.25">
      <c r="A3942" s="508">
        <v>89494</v>
      </c>
      <c r="B3942" s="509" t="s">
        <v>6342</v>
      </c>
      <c r="C3942" s="508" t="s">
        <v>107</v>
      </c>
      <c r="D3942" s="508">
        <v>12.48</v>
      </c>
      <c r="E3942" s="461" t="s">
        <v>174</v>
      </c>
    </row>
    <row r="3943" spans="1:5" ht="27" x14ac:dyDescent="0.25">
      <c r="A3943" s="508">
        <v>89496</v>
      </c>
      <c r="B3943" s="509" t="s">
        <v>6343</v>
      </c>
      <c r="C3943" s="508" t="s">
        <v>107</v>
      </c>
      <c r="D3943" s="508">
        <v>10.53</v>
      </c>
      <c r="E3943" s="461" t="s">
        <v>174</v>
      </c>
    </row>
    <row r="3944" spans="1:5" ht="27" x14ac:dyDescent="0.25">
      <c r="A3944" s="508">
        <v>89497</v>
      </c>
      <c r="B3944" s="509" t="s">
        <v>6344</v>
      </c>
      <c r="C3944" s="508" t="s">
        <v>107</v>
      </c>
      <c r="D3944" s="508">
        <v>13.37</v>
      </c>
      <c r="E3944" s="461" t="s">
        <v>174</v>
      </c>
    </row>
    <row r="3945" spans="1:5" ht="27" x14ac:dyDescent="0.25">
      <c r="A3945" s="508">
        <v>89498</v>
      </c>
      <c r="B3945" s="509" t="s">
        <v>6345</v>
      </c>
      <c r="C3945" s="508" t="s">
        <v>107</v>
      </c>
      <c r="D3945" s="508">
        <v>13.42</v>
      </c>
      <c r="E3945" s="461" t="s">
        <v>174</v>
      </c>
    </row>
    <row r="3946" spans="1:5" ht="27" x14ac:dyDescent="0.25">
      <c r="A3946" s="508">
        <v>89499</v>
      </c>
      <c r="B3946" s="509" t="s">
        <v>6346</v>
      </c>
      <c r="C3946" s="508" t="s">
        <v>107</v>
      </c>
      <c r="D3946" s="508">
        <v>19.38</v>
      </c>
      <c r="E3946" s="461" t="s">
        <v>174</v>
      </c>
    </row>
    <row r="3947" spans="1:5" ht="27" x14ac:dyDescent="0.25">
      <c r="A3947" s="508">
        <v>89500</v>
      </c>
      <c r="B3947" s="509" t="s">
        <v>6347</v>
      </c>
      <c r="C3947" s="508" t="s">
        <v>107</v>
      </c>
      <c r="D3947" s="508">
        <v>12.89</v>
      </c>
      <c r="E3947" s="461" t="s">
        <v>174</v>
      </c>
    </row>
    <row r="3948" spans="1:5" ht="27" x14ac:dyDescent="0.25">
      <c r="A3948" s="508">
        <v>89501</v>
      </c>
      <c r="B3948" s="509" t="s">
        <v>6348</v>
      </c>
      <c r="C3948" s="508" t="s">
        <v>107</v>
      </c>
      <c r="D3948" s="508">
        <v>14.64</v>
      </c>
      <c r="E3948" s="461" t="s">
        <v>174</v>
      </c>
    </row>
    <row r="3949" spans="1:5" ht="27" x14ac:dyDescent="0.25">
      <c r="A3949" s="508">
        <v>89502</v>
      </c>
      <c r="B3949" s="509" t="s">
        <v>6349</v>
      </c>
      <c r="C3949" s="508" t="s">
        <v>107</v>
      </c>
      <c r="D3949" s="508">
        <v>17.09</v>
      </c>
      <c r="E3949" s="461" t="s">
        <v>174</v>
      </c>
    </row>
    <row r="3950" spans="1:5" ht="27" x14ac:dyDescent="0.25">
      <c r="A3950" s="508">
        <v>89503</v>
      </c>
      <c r="B3950" s="509" t="s">
        <v>6350</v>
      </c>
      <c r="C3950" s="508" t="s">
        <v>107</v>
      </c>
      <c r="D3950" s="508">
        <v>22.55</v>
      </c>
      <c r="E3950" s="461" t="s">
        <v>174</v>
      </c>
    </row>
    <row r="3951" spans="1:5" ht="27" x14ac:dyDescent="0.25">
      <c r="A3951" s="508">
        <v>89504</v>
      </c>
      <c r="B3951" s="509" t="s">
        <v>6351</v>
      </c>
      <c r="C3951" s="508" t="s">
        <v>107</v>
      </c>
      <c r="D3951" s="508">
        <v>18.850000000000001</v>
      </c>
      <c r="E3951" s="461" t="s">
        <v>174</v>
      </c>
    </row>
    <row r="3952" spans="1:5" ht="27" x14ac:dyDescent="0.25">
      <c r="A3952" s="508">
        <v>89505</v>
      </c>
      <c r="B3952" s="509" t="s">
        <v>6352</v>
      </c>
      <c r="C3952" s="508" t="s">
        <v>107</v>
      </c>
      <c r="D3952" s="508">
        <v>40.39</v>
      </c>
      <c r="E3952" s="461" t="s">
        <v>174</v>
      </c>
    </row>
    <row r="3953" spans="1:5" ht="27" x14ac:dyDescent="0.25">
      <c r="A3953" s="508">
        <v>89506</v>
      </c>
      <c r="B3953" s="509" t="s">
        <v>6353</v>
      </c>
      <c r="C3953" s="508" t="s">
        <v>107</v>
      </c>
      <c r="D3953" s="508">
        <v>38.67</v>
      </c>
      <c r="E3953" s="461" t="s">
        <v>174</v>
      </c>
    </row>
    <row r="3954" spans="1:5" ht="27" x14ac:dyDescent="0.25">
      <c r="A3954" s="508">
        <v>89507</v>
      </c>
      <c r="B3954" s="509" t="s">
        <v>6354</v>
      </c>
      <c r="C3954" s="508" t="s">
        <v>107</v>
      </c>
      <c r="D3954" s="508">
        <v>45.44</v>
      </c>
      <c r="E3954" s="461" t="s">
        <v>174</v>
      </c>
    </row>
    <row r="3955" spans="1:5" ht="27" x14ac:dyDescent="0.25">
      <c r="A3955" s="508">
        <v>89510</v>
      </c>
      <c r="B3955" s="509" t="s">
        <v>6355</v>
      </c>
      <c r="C3955" s="508" t="s">
        <v>107</v>
      </c>
      <c r="D3955" s="508">
        <v>26.65</v>
      </c>
      <c r="E3955" s="461" t="s">
        <v>174</v>
      </c>
    </row>
    <row r="3956" spans="1:5" ht="27" x14ac:dyDescent="0.25">
      <c r="A3956" s="508">
        <v>89513</v>
      </c>
      <c r="B3956" s="509" t="s">
        <v>6356</v>
      </c>
      <c r="C3956" s="508" t="s">
        <v>107</v>
      </c>
      <c r="D3956" s="508">
        <v>99.58</v>
      </c>
      <c r="E3956" s="461" t="s">
        <v>174</v>
      </c>
    </row>
    <row r="3957" spans="1:5" ht="27" x14ac:dyDescent="0.25">
      <c r="A3957" s="508">
        <v>89514</v>
      </c>
      <c r="B3957" s="509" t="s">
        <v>6357</v>
      </c>
      <c r="C3957" s="508" t="s">
        <v>107</v>
      </c>
      <c r="D3957" s="508">
        <v>7.75</v>
      </c>
      <c r="E3957" s="461" t="s">
        <v>174</v>
      </c>
    </row>
    <row r="3958" spans="1:5" ht="27" x14ac:dyDescent="0.25">
      <c r="A3958" s="508">
        <v>89515</v>
      </c>
      <c r="B3958" s="509" t="s">
        <v>6358</v>
      </c>
      <c r="C3958" s="508" t="s">
        <v>107</v>
      </c>
      <c r="D3958" s="508">
        <v>79.78</v>
      </c>
      <c r="E3958" s="461" t="s">
        <v>174</v>
      </c>
    </row>
    <row r="3959" spans="1:5" ht="27" x14ac:dyDescent="0.25">
      <c r="A3959" s="508">
        <v>89516</v>
      </c>
      <c r="B3959" s="509" t="s">
        <v>6359</v>
      </c>
      <c r="C3959" s="508" t="s">
        <v>107</v>
      </c>
      <c r="D3959" s="508">
        <v>7.82</v>
      </c>
      <c r="E3959" s="461" t="s">
        <v>174</v>
      </c>
    </row>
    <row r="3960" spans="1:5" ht="27" x14ac:dyDescent="0.25">
      <c r="A3960" s="508">
        <v>89517</v>
      </c>
      <c r="B3960" s="509" t="s">
        <v>6360</v>
      </c>
      <c r="C3960" s="508" t="s">
        <v>107</v>
      </c>
      <c r="D3960" s="508">
        <v>67.14</v>
      </c>
      <c r="E3960" s="461" t="s">
        <v>174</v>
      </c>
    </row>
    <row r="3961" spans="1:5" ht="27" x14ac:dyDescent="0.25">
      <c r="A3961" s="508">
        <v>89518</v>
      </c>
      <c r="B3961" s="509" t="s">
        <v>6361</v>
      </c>
      <c r="C3961" s="508" t="s">
        <v>107</v>
      </c>
      <c r="D3961" s="508">
        <v>14.11</v>
      </c>
      <c r="E3961" s="461" t="s">
        <v>174</v>
      </c>
    </row>
    <row r="3962" spans="1:5" ht="27" x14ac:dyDescent="0.25">
      <c r="A3962" s="508">
        <v>89519</v>
      </c>
      <c r="B3962" s="509" t="s">
        <v>6362</v>
      </c>
      <c r="C3962" s="508" t="s">
        <v>107</v>
      </c>
      <c r="D3962" s="508">
        <v>46.12</v>
      </c>
      <c r="E3962" s="461" t="s">
        <v>174</v>
      </c>
    </row>
    <row r="3963" spans="1:5" ht="27" x14ac:dyDescent="0.25">
      <c r="A3963" s="508">
        <v>89520</v>
      </c>
      <c r="B3963" s="509" t="s">
        <v>6363</v>
      </c>
      <c r="C3963" s="508" t="s">
        <v>107</v>
      </c>
      <c r="D3963" s="508">
        <v>14.71</v>
      </c>
      <c r="E3963" s="461" t="s">
        <v>174</v>
      </c>
    </row>
    <row r="3964" spans="1:5" ht="27" x14ac:dyDescent="0.25">
      <c r="A3964" s="508">
        <v>89521</v>
      </c>
      <c r="B3964" s="509" t="s">
        <v>6364</v>
      </c>
      <c r="C3964" s="508" t="s">
        <v>107</v>
      </c>
      <c r="D3964" s="508">
        <v>118.62</v>
      </c>
      <c r="E3964" s="461" t="s">
        <v>174</v>
      </c>
    </row>
    <row r="3965" spans="1:5" ht="27" x14ac:dyDescent="0.25">
      <c r="A3965" s="508">
        <v>89522</v>
      </c>
      <c r="B3965" s="509" t="s">
        <v>6365</v>
      </c>
      <c r="C3965" s="508" t="s">
        <v>107</v>
      </c>
      <c r="D3965" s="508">
        <v>26.67</v>
      </c>
      <c r="E3965" s="461" t="s">
        <v>174</v>
      </c>
    </row>
    <row r="3966" spans="1:5" ht="27" x14ac:dyDescent="0.25">
      <c r="A3966" s="508">
        <v>89523</v>
      </c>
      <c r="B3966" s="509" t="s">
        <v>6366</v>
      </c>
      <c r="C3966" s="508" t="s">
        <v>107</v>
      </c>
      <c r="D3966" s="508">
        <v>97.42</v>
      </c>
      <c r="E3966" s="461" t="s">
        <v>174</v>
      </c>
    </row>
    <row r="3967" spans="1:5" ht="27" x14ac:dyDescent="0.25">
      <c r="A3967" s="508">
        <v>89524</v>
      </c>
      <c r="B3967" s="509" t="s">
        <v>6367</v>
      </c>
      <c r="C3967" s="508" t="s">
        <v>107</v>
      </c>
      <c r="D3967" s="508">
        <v>27.05</v>
      </c>
      <c r="E3967" s="461" t="s">
        <v>174</v>
      </c>
    </row>
    <row r="3968" spans="1:5" ht="27" x14ac:dyDescent="0.25">
      <c r="A3968" s="508">
        <v>89525</v>
      </c>
      <c r="B3968" s="509" t="s">
        <v>6368</v>
      </c>
      <c r="C3968" s="508" t="s">
        <v>107</v>
      </c>
      <c r="D3968" s="508">
        <v>84.24</v>
      </c>
      <c r="E3968" s="461" t="s">
        <v>174</v>
      </c>
    </row>
    <row r="3969" spans="1:5" ht="27" x14ac:dyDescent="0.25">
      <c r="A3969" s="508">
        <v>89526</v>
      </c>
      <c r="B3969" s="509" t="s">
        <v>6369</v>
      </c>
      <c r="C3969" s="508" t="s">
        <v>107</v>
      </c>
      <c r="D3969" s="508">
        <v>34.1</v>
      </c>
      <c r="E3969" s="461" t="s">
        <v>174</v>
      </c>
    </row>
    <row r="3970" spans="1:5" ht="27" x14ac:dyDescent="0.25">
      <c r="A3970" s="508">
        <v>89527</v>
      </c>
      <c r="B3970" s="509" t="s">
        <v>6370</v>
      </c>
      <c r="C3970" s="508" t="s">
        <v>107</v>
      </c>
      <c r="D3970" s="508">
        <v>55.47</v>
      </c>
      <c r="E3970" s="461" t="s">
        <v>174</v>
      </c>
    </row>
    <row r="3971" spans="1:5" ht="27" x14ac:dyDescent="0.25">
      <c r="A3971" s="508">
        <v>89528</v>
      </c>
      <c r="B3971" s="509" t="s">
        <v>6371</v>
      </c>
      <c r="C3971" s="508" t="s">
        <v>107</v>
      </c>
      <c r="D3971" s="508">
        <v>4.46</v>
      </c>
      <c r="E3971" s="461" t="s">
        <v>174</v>
      </c>
    </row>
    <row r="3972" spans="1:5" ht="27" x14ac:dyDescent="0.25">
      <c r="A3972" s="508">
        <v>89529</v>
      </c>
      <c r="B3972" s="509" t="s">
        <v>6372</v>
      </c>
      <c r="C3972" s="508" t="s">
        <v>107</v>
      </c>
      <c r="D3972" s="508">
        <v>33.43</v>
      </c>
      <c r="E3972" s="461" t="s">
        <v>174</v>
      </c>
    </row>
    <row r="3973" spans="1:5" ht="27" x14ac:dyDescent="0.25">
      <c r="A3973" s="508">
        <v>89530</v>
      </c>
      <c r="B3973" s="509" t="s">
        <v>6373</v>
      </c>
      <c r="C3973" s="508" t="s">
        <v>107</v>
      </c>
      <c r="D3973" s="508">
        <v>15.78</v>
      </c>
      <c r="E3973" s="461" t="s">
        <v>174</v>
      </c>
    </row>
    <row r="3974" spans="1:5" ht="27" x14ac:dyDescent="0.25">
      <c r="A3974" s="508">
        <v>89531</v>
      </c>
      <c r="B3974" s="509" t="s">
        <v>6374</v>
      </c>
      <c r="C3974" s="508" t="s">
        <v>107</v>
      </c>
      <c r="D3974" s="508">
        <v>34.29</v>
      </c>
      <c r="E3974" s="461" t="s">
        <v>174</v>
      </c>
    </row>
    <row r="3975" spans="1:5" ht="27" x14ac:dyDescent="0.25">
      <c r="A3975" s="508">
        <v>89532</v>
      </c>
      <c r="B3975" s="509" t="s">
        <v>6375</v>
      </c>
      <c r="C3975" s="508" t="s">
        <v>107</v>
      </c>
      <c r="D3975" s="508">
        <v>7.18</v>
      </c>
      <c r="E3975" s="461" t="s">
        <v>174</v>
      </c>
    </row>
    <row r="3976" spans="1:5" ht="27" x14ac:dyDescent="0.25">
      <c r="A3976" s="508">
        <v>89535</v>
      </c>
      <c r="B3976" s="509" t="s">
        <v>6376</v>
      </c>
      <c r="C3976" s="508" t="s">
        <v>107</v>
      </c>
      <c r="D3976" s="508">
        <v>37.979999999999997</v>
      </c>
      <c r="E3976" s="461" t="s">
        <v>174</v>
      </c>
    </row>
    <row r="3977" spans="1:5" ht="27" x14ac:dyDescent="0.25">
      <c r="A3977" s="508">
        <v>89536</v>
      </c>
      <c r="B3977" s="509" t="s">
        <v>6377</v>
      </c>
      <c r="C3977" s="508" t="s">
        <v>107</v>
      </c>
      <c r="D3977" s="508">
        <v>11.51</v>
      </c>
      <c r="E3977" s="461" t="s">
        <v>174</v>
      </c>
    </row>
    <row r="3978" spans="1:5" ht="27" x14ac:dyDescent="0.25">
      <c r="A3978" s="508">
        <v>89540</v>
      </c>
      <c r="B3978" s="509" t="s">
        <v>6378</v>
      </c>
      <c r="C3978" s="508" t="s">
        <v>107</v>
      </c>
      <c r="D3978" s="508">
        <v>10.220000000000001</v>
      </c>
      <c r="E3978" s="461" t="s">
        <v>174</v>
      </c>
    </row>
    <row r="3979" spans="1:5" ht="27" x14ac:dyDescent="0.25">
      <c r="A3979" s="508">
        <v>89541</v>
      </c>
      <c r="B3979" s="509" t="s">
        <v>6379</v>
      </c>
      <c r="C3979" s="508" t="s">
        <v>107</v>
      </c>
      <c r="D3979" s="508">
        <v>6.59</v>
      </c>
      <c r="E3979" s="461" t="s">
        <v>174</v>
      </c>
    </row>
    <row r="3980" spans="1:5" ht="27" x14ac:dyDescent="0.25">
      <c r="A3980" s="508">
        <v>89542</v>
      </c>
      <c r="B3980" s="509" t="s">
        <v>6380</v>
      </c>
      <c r="C3980" s="508" t="s">
        <v>107</v>
      </c>
      <c r="D3980" s="508">
        <v>26.15</v>
      </c>
      <c r="E3980" s="461" t="s">
        <v>174</v>
      </c>
    </row>
    <row r="3981" spans="1:5" ht="27" x14ac:dyDescent="0.25">
      <c r="A3981" s="508">
        <v>89544</v>
      </c>
      <c r="B3981" s="509" t="s">
        <v>6381</v>
      </c>
      <c r="C3981" s="508" t="s">
        <v>107</v>
      </c>
      <c r="D3981" s="508">
        <v>7.71</v>
      </c>
      <c r="E3981" s="461" t="s">
        <v>174</v>
      </c>
    </row>
    <row r="3982" spans="1:5" ht="27" x14ac:dyDescent="0.25">
      <c r="A3982" s="508">
        <v>89545</v>
      </c>
      <c r="B3982" s="509" t="s">
        <v>6382</v>
      </c>
      <c r="C3982" s="508" t="s">
        <v>107</v>
      </c>
      <c r="D3982" s="508">
        <v>14.96</v>
      </c>
      <c r="E3982" s="461" t="s">
        <v>174</v>
      </c>
    </row>
    <row r="3983" spans="1:5" ht="27" x14ac:dyDescent="0.25">
      <c r="A3983" s="508">
        <v>89546</v>
      </c>
      <c r="B3983" s="509" t="s">
        <v>6383</v>
      </c>
      <c r="C3983" s="508" t="s">
        <v>107</v>
      </c>
      <c r="D3983" s="508">
        <v>10.220000000000001</v>
      </c>
      <c r="E3983" s="461" t="s">
        <v>174</v>
      </c>
    </row>
    <row r="3984" spans="1:5" ht="27" x14ac:dyDescent="0.25">
      <c r="A3984" s="508">
        <v>89547</v>
      </c>
      <c r="B3984" s="509" t="s">
        <v>6384</v>
      </c>
      <c r="C3984" s="508" t="s">
        <v>107</v>
      </c>
      <c r="D3984" s="508">
        <v>20.260000000000002</v>
      </c>
      <c r="E3984" s="461" t="s">
        <v>174</v>
      </c>
    </row>
    <row r="3985" spans="1:5" ht="27" x14ac:dyDescent="0.25">
      <c r="A3985" s="508">
        <v>89548</v>
      </c>
      <c r="B3985" s="509" t="s">
        <v>6385</v>
      </c>
      <c r="C3985" s="508" t="s">
        <v>107</v>
      </c>
      <c r="D3985" s="508">
        <v>20.73</v>
      </c>
      <c r="E3985" s="461" t="s">
        <v>174</v>
      </c>
    </row>
    <row r="3986" spans="1:5" ht="27" x14ac:dyDescent="0.25">
      <c r="A3986" s="508">
        <v>89549</v>
      </c>
      <c r="B3986" s="509" t="s">
        <v>6386</v>
      </c>
      <c r="C3986" s="508" t="s">
        <v>107</v>
      </c>
      <c r="D3986" s="508">
        <v>17.239999999999998</v>
      </c>
      <c r="E3986" s="461" t="s">
        <v>174</v>
      </c>
    </row>
    <row r="3987" spans="1:5" ht="27" x14ac:dyDescent="0.25">
      <c r="A3987" s="508">
        <v>89550</v>
      </c>
      <c r="B3987" s="509" t="s">
        <v>6387</v>
      </c>
      <c r="C3987" s="508" t="s">
        <v>107</v>
      </c>
      <c r="D3987" s="508">
        <v>35.5</v>
      </c>
      <c r="E3987" s="461" t="s">
        <v>174</v>
      </c>
    </row>
    <row r="3988" spans="1:5" ht="27" x14ac:dyDescent="0.25">
      <c r="A3988" s="508">
        <v>89551</v>
      </c>
      <c r="B3988" s="509" t="s">
        <v>6388</v>
      </c>
      <c r="C3988" s="508" t="s">
        <v>107</v>
      </c>
      <c r="D3988" s="508">
        <v>8.5500000000000007</v>
      </c>
      <c r="E3988" s="461" t="s">
        <v>174</v>
      </c>
    </row>
    <row r="3989" spans="1:5" ht="27" x14ac:dyDescent="0.25">
      <c r="A3989" s="508">
        <v>89552</v>
      </c>
      <c r="B3989" s="509" t="s">
        <v>6389</v>
      </c>
      <c r="C3989" s="508" t="s">
        <v>107</v>
      </c>
      <c r="D3989" s="508">
        <v>17.850000000000001</v>
      </c>
      <c r="E3989" s="461" t="s">
        <v>174</v>
      </c>
    </row>
    <row r="3990" spans="1:5" ht="27" x14ac:dyDescent="0.25">
      <c r="A3990" s="508">
        <v>89553</v>
      </c>
      <c r="B3990" s="509" t="s">
        <v>6390</v>
      </c>
      <c r="C3990" s="508" t="s">
        <v>107</v>
      </c>
      <c r="D3990" s="508">
        <v>5.89</v>
      </c>
      <c r="E3990" s="461" t="s">
        <v>174</v>
      </c>
    </row>
    <row r="3991" spans="1:5" ht="27" x14ac:dyDescent="0.25">
      <c r="A3991" s="508">
        <v>89554</v>
      </c>
      <c r="B3991" s="509" t="s">
        <v>6391</v>
      </c>
      <c r="C3991" s="508" t="s">
        <v>107</v>
      </c>
      <c r="D3991" s="508">
        <v>25.99</v>
      </c>
      <c r="E3991" s="461" t="s">
        <v>174</v>
      </c>
    </row>
    <row r="3992" spans="1:5" ht="27" x14ac:dyDescent="0.25">
      <c r="A3992" s="508">
        <v>89555</v>
      </c>
      <c r="B3992" s="509" t="s">
        <v>6392</v>
      </c>
      <c r="C3992" s="508" t="s">
        <v>107</v>
      </c>
      <c r="D3992" s="508">
        <v>20.84</v>
      </c>
      <c r="E3992" s="461" t="s">
        <v>174</v>
      </c>
    </row>
    <row r="3993" spans="1:5" ht="27" x14ac:dyDescent="0.25">
      <c r="A3993" s="508">
        <v>89556</v>
      </c>
      <c r="B3993" s="509" t="s">
        <v>6393</v>
      </c>
      <c r="C3993" s="508" t="s">
        <v>107</v>
      </c>
      <c r="D3993" s="508">
        <v>35.380000000000003</v>
      </c>
      <c r="E3993" s="461" t="s">
        <v>174</v>
      </c>
    </row>
    <row r="3994" spans="1:5" ht="27" x14ac:dyDescent="0.25">
      <c r="A3994" s="508">
        <v>89557</v>
      </c>
      <c r="B3994" s="509" t="s">
        <v>6394</v>
      </c>
      <c r="C3994" s="508" t="s">
        <v>107</v>
      </c>
      <c r="D3994" s="508">
        <v>28.3</v>
      </c>
      <c r="E3994" s="461" t="s">
        <v>174</v>
      </c>
    </row>
    <row r="3995" spans="1:5" ht="27" x14ac:dyDescent="0.25">
      <c r="A3995" s="508">
        <v>89558</v>
      </c>
      <c r="B3995" s="509" t="s">
        <v>6395</v>
      </c>
      <c r="C3995" s="508" t="s">
        <v>107</v>
      </c>
      <c r="D3995" s="508">
        <v>9.84</v>
      </c>
      <c r="E3995" s="461" t="s">
        <v>174</v>
      </c>
    </row>
    <row r="3996" spans="1:5" ht="27" x14ac:dyDescent="0.25">
      <c r="A3996" s="508">
        <v>89559</v>
      </c>
      <c r="B3996" s="509" t="s">
        <v>6396</v>
      </c>
      <c r="C3996" s="508" t="s">
        <v>107</v>
      </c>
      <c r="D3996" s="508">
        <v>57.22</v>
      </c>
      <c r="E3996" s="461" t="s">
        <v>174</v>
      </c>
    </row>
    <row r="3997" spans="1:5" ht="27" x14ac:dyDescent="0.25">
      <c r="A3997" s="508">
        <v>89560</v>
      </c>
      <c r="B3997" s="509" t="s">
        <v>6397</v>
      </c>
      <c r="C3997" s="508" t="s">
        <v>107</v>
      </c>
      <c r="D3997" s="508">
        <v>33.479999999999997</v>
      </c>
      <c r="E3997" s="461" t="s">
        <v>174</v>
      </c>
    </row>
    <row r="3998" spans="1:5" ht="27" x14ac:dyDescent="0.25">
      <c r="A3998" s="508">
        <v>89561</v>
      </c>
      <c r="B3998" s="509" t="s">
        <v>6398</v>
      </c>
      <c r="C3998" s="508" t="s">
        <v>107</v>
      </c>
      <c r="D3998" s="508">
        <v>13.44</v>
      </c>
      <c r="E3998" s="461" t="s">
        <v>174</v>
      </c>
    </row>
    <row r="3999" spans="1:5" ht="27" x14ac:dyDescent="0.25">
      <c r="A3999" s="508">
        <v>89562</v>
      </c>
      <c r="B3999" s="509" t="s">
        <v>6399</v>
      </c>
      <c r="C3999" s="508" t="s">
        <v>107</v>
      </c>
      <c r="D3999" s="508">
        <v>10.35</v>
      </c>
      <c r="E3999" s="461" t="s">
        <v>174</v>
      </c>
    </row>
    <row r="4000" spans="1:5" ht="27" x14ac:dyDescent="0.25">
      <c r="A4000" s="508">
        <v>89563</v>
      </c>
      <c r="B4000" s="509" t="s">
        <v>6400</v>
      </c>
      <c r="C4000" s="508" t="s">
        <v>107</v>
      </c>
      <c r="D4000" s="508">
        <v>30.69</v>
      </c>
      <c r="E4000" s="461" t="s">
        <v>174</v>
      </c>
    </row>
    <row r="4001" spans="1:5" ht="27" x14ac:dyDescent="0.25">
      <c r="A4001" s="508">
        <v>89564</v>
      </c>
      <c r="B4001" s="509" t="s">
        <v>6401</v>
      </c>
      <c r="C4001" s="508" t="s">
        <v>107</v>
      </c>
      <c r="D4001" s="508">
        <v>15.29</v>
      </c>
      <c r="E4001" s="461" t="s">
        <v>174</v>
      </c>
    </row>
    <row r="4002" spans="1:5" ht="27" x14ac:dyDescent="0.25">
      <c r="A4002" s="508">
        <v>89565</v>
      </c>
      <c r="B4002" s="509" t="s">
        <v>6402</v>
      </c>
      <c r="C4002" s="508" t="s">
        <v>107</v>
      </c>
      <c r="D4002" s="508">
        <v>48.96</v>
      </c>
      <c r="E4002" s="461" t="s">
        <v>174</v>
      </c>
    </row>
    <row r="4003" spans="1:5" ht="27" x14ac:dyDescent="0.25">
      <c r="A4003" s="508">
        <v>89566</v>
      </c>
      <c r="B4003" s="509" t="s">
        <v>6403</v>
      </c>
      <c r="C4003" s="508" t="s">
        <v>107</v>
      </c>
      <c r="D4003" s="508">
        <v>42.03</v>
      </c>
      <c r="E4003" s="461" t="s">
        <v>174</v>
      </c>
    </row>
    <row r="4004" spans="1:5" ht="27" x14ac:dyDescent="0.25">
      <c r="A4004" s="508">
        <v>89567</v>
      </c>
      <c r="B4004" s="509" t="s">
        <v>6404</v>
      </c>
      <c r="C4004" s="508" t="s">
        <v>107</v>
      </c>
      <c r="D4004" s="508">
        <v>70</v>
      </c>
      <c r="E4004" s="461" t="s">
        <v>174</v>
      </c>
    </row>
    <row r="4005" spans="1:5" ht="27" x14ac:dyDescent="0.25">
      <c r="A4005" s="508">
        <v>89568</v>
      </c>
      <c r="B4005" s="509" t="s">
        <v>6405</v>
      </c>
      <c r="C4005" s="508" t="s">
        <v>107</v>
      </c>
      <c r="D4005" s="508">
        <v>31.08</v>
      </c>
      <c r="E4005" s="461" t="s">
        <v>174</v>
      </c>
    </row>
    <row r="4006" spans="1:5" ht="27" x14ac:dyDescent="0.25">
      <c r="A4006" s="508">
        <v>89569</v>
      </c>
      <c r="B4006" s="509" t="s">
        <v>6406</v>
      </c>
      <c r="C4006" s="508" t="s">
        <v>107</v>
      </c>
      <c r="D4006" s="508">
        <v>80.5</v>
      </c>
      <c r="E4006" s="461" t="s">
        <v>174</v>
      </c>
    </row>
    <row r="4007" spans="1:5" ht="27" x14ac:dyDescent="0.25">
      <c r="A4007" s="508">
        <v>89570</v>
      </c>
      <c r="B4007" s="509" t="s">
        <v>6407</v>
      </c>
      <c r="C4007" s="508" t="s">
        <v>107</v>
      </c>
      <c r="D4007" s="508">
        <v>11.38</v>
      </c>
      <c r="E4007" s="461" t="s">
        <v>174</v>
      </c>
    </row>
    <row r="4008" spans="1:5" ht="27" x14ac:dyDescent="0.25">
      <c r="A4008" s="508">
        <v>89571</v>
      </c>
      <c r="B4008" s="509" t="s">
        <v>6408</v>
      </c>
      <c r="C4008" s="508" t="s">
        <v>107</v>
      </c>
      <c r="D4008" s="508">
        <v>61.28</v>
      </c>
      <c r="E4008" s="461" t="s">
        <v>174</v>
      </c>
    </row>
    <row r="4009" spans="1:5" ht="27" x14ac:dyDescent="0.25">
      <c r="A4009" s="508">
        <v>89572</v>
      </c>
      <c r="B4009" s="509" t="s">
        <v>6409</v>
      </c>
      <c r="C4009" s="508" t="s">
        <v>107</v>
      </c>
      <c r="D4009" s="508">
        <v>8.7899999999999991</v>
      </c>
      <c r="E4009" s="461" t="s">
        <v>174</v>
      </c>
    </row>
    <row r="4010" spans="1:5" ht="27" x14ac:dyDescent="0.25">
      <c r="A4010" s="508">
        <v>89573</v>
      </c>
      <c r="B4010" s="509" t="s">
        <v>6410</v>
      </c>
      <c r="C4010" s="508" t="s">
        <v>107</v>
      </c>
      <c r="D4010" s="508">
        <v>66.38</v>
      </c>
      <c r="E4010" s="461" t="s">
        <v>174</v>
      </c>
    </row>
    <row r="4011" spans="1:5" ht="27" x14ac:dyDescent="0.25">
      <c r="A4011" s="508">
        <v>89574</v>
      </c>
      <c r="B4011" s="509" t="s">
        <v>6411</v>
      </c>
      <c r="C4011" s="508" t="s">
        <v>107</v>
      </c>
      <c r="D4011" s="508">
        <v>132.61000000000001</v>
      </c>
      <c r="E4011" s="461" t="s">
        <v>174</v>
      </c>
    </row>
    <row r="4012" spans="1:5" ht="27" x14ac:dyDescent="0.25">
      <c r="A4012" s="508">
        <v>89575</v>
      </c>
      <c r="B4012" s="509" t="s">
        <v>6412</v>
      </c>
      <c r="C4012" s="508" t="s">
        <v>107</v>
      </c>
      <c r="D4012" s="508">
        <v>11.73</v>
      </c>
      <c r="E4012" s="461" t="s">
        <v>174</v>
      </c>
    </row>
    <row r="4013" spans="1:5" ht="27" x14ac:dyDescent="0.25">
      <c r="A4013" s="508">
        <v>89577</v>
      </c>
      <c r="B4013" s="509" t="s">
        <v>6413</v>
      </c>
      <c r="C4013" s="508" t="s">
        <v>107</v>
      </c>
      <c r="D4013" s="508">
        <v>35.51</v>
      </c>
      <c r="E4013" s="461" t="s">
        <v>174</v>
      </c>
    </row>
    <row r="4014" spans="1:5" ht="27" x14ac:dyDescent="0.25">
      <c r="A4014" s="508">
        <v>89579</v>
      </c>
      <c r="B4014" s="509" t="s">
        <v>6414</v>
      </c>
      <c r="C4014" s="508" t="s">
        <v>107</v>
      </c>
      <c r="D4014" s="508">
        <v>11.66</v>
      </c>
      <c r="E4014" s="461" t="s">
        <v>174</v>
      </c>
    </row>
    <row r="4015" spans="1:5" ht="27" x14ac:dyDescent="0.25">
      <c r="A4015" s="508">
        <v>89581</v>
      </c>
      <c r="B4015" s="509" t="s">
        <v>6415</v>
      </c>
      <c r="C4015" s="508" t="s">
        <v>107</v>
      </c>
      <c r="D4015" s="508">
        <v>30.96</v>
      </c>
      <c r="E4015" s="461" t="s">
        <v>174</v>
      </c>
    </row>
    <row r="4016" spans="1:5" ht="27" x14ac:dyDescent="0.25">
      <c r="A4016" s="508">
        <v>89582</v>
      </c>
      <c r="B4016" s="509" t="s">
        <v>6416</v>
      </c>
      <c r="C4016" s="508" t="s">
        <v>107</v>
      </c>
      <c r="D4016" s="508">
        <v>31.34</v>
      </c>
      <c r="E4016" s="461" t="s">
        <v>174</v>
      </c>
    </row>
    <row r="4017" spans="1:5" ht="27" x14ac:dyDescent="0.25">
      <c r="A4017" s="508">
        <v>89583</v>
      </c>
      <c r="B4017" s="509" t="s">
        <v>6417</v>
      </c>
      <c r="C4017" s="508" t="s">
        <v>107</v>
      </c>
      <c r="D4017" s="508">
        <v>38.39</v>
      </c>
      <c r="E4017" s="461" t="s">
        <v>174</v>
      </c>
    </row>
    <row r="4018" spans="1:5" ht="27" x14ac:dyDescent="0.25">
      <c r="A4018" s="508">
        <v>89584</v>
      </c>
      <c r="B4018" s="509" t="s">
        <v>6418</v>
      </c>
      <c r="C4018" s="508" t="s">
        <v>107</v>
      </c>
      <c r="D4018" s="508">
        <v>41.2</v>
      </c>
      <c r="E4018" s="461" t="s">
        <v>174</v>
      </c>
    </row>
    <row r="4019" spans="1:5" ht="27" x14ac:dyDescent="0.25">
      <c r="A4019" s="508">
        <v>89585</v>
      </c>
      <c r="B4019" s="509" t="s">
        <v>6419</v>
      </c>
      <c r="C4019" s="508" t="s">
        <v>107</v>
      </c>
      <c r="D4019" s="508">
        <v>42.06</v>
      </c>
      <c r="E4019" s="461" t="s">
        <v>174</v>
      </c>
    </row>
    <row r="4020" spans="1:5" ht="27" x14ac:dyDescent="0.25">
      <c r="A4020" s="508">
        <v>89587</v>
      </c>
      <c r="B4020" s="509" t="s">
        <v>6420</v>
      </c>
      <c r="C4020" s="508" t="s">
        <v>107</v>
      </c>
      <c r="D4020" s="508">
        <v>45.75</v>
      </c>
      <c r="E4020" s="461" t="s">
        <v>174</v>
      </c>
    </row>
    <row r="4021" spans="1:5" ht="27" x14ac:dyDescent="0.25">
      <c r="A4021" s="508">
        <v>89590</v>
      </c>
      <c r="B4021" s="509" t="s">
        <v>6421</v>
      </c>
      <c r="C4021" s="508" t="s">
        <v>107</v>
      </c>
      <c r="D4021" s="508">
        <v>119.09</v>
      </c>
      <c r="E4021" s="461" t="s">
        <v>174</v>
      </c>
    </row>
    <row r="4022" spans="1:5" ht="27" x14ac:dyDescent="0.25">
      <c r="A4022" s="508">
        <v>89591</v>
      </c>
      <c r="B4022" s="509" t="s">
        <v>6422</v>
      </c>
      <c r="C4022" s="508" t="s">
        <v>107</v>
      </c>
      <c r="D4022" s="508">
        <v>116.46</v>
      </c>
      <c r="E4022" s="461" t="s">
        <v>174</v>
      </c>
    </row>
    <row r="4023" spans="1:5" ht="27" x14ac:dyDescent="0.25">
      <c r="A4023" s="508">
        <v>89592</v>
      </c>
      <c r="B4023" s="509" t="s">
        <v>6423</v>
      </c>
      <c r="C4023" s="508" t="s">
        <v>107</v>
      </c>
      <c r="D4023" s="508">
        <v>139.56</v>
      </c>
      <c r="E4023" s="461" t="s">
        <v>174</v>
      </c>
    </row>
    <row r="4024" spans="1:5" ht="27" x14ac:dyDescent="0.25">
      <c r="A4024" s="508">
        <v>89593</v>
      </c>
      <c r="B4024" s="509" t="s">
        <v>6424</v>
      </c>
      <c r="C4024" s="508" t="s">
        <v>107</v>
      </c>
      <c r="D4024" s="508">
        <v>24.11</v>
      </c>
      <c r="E4024" s="461" t="s">
        <v>174</v>
      </c>
    </row>
    <row r="4025" spans="1:5" ht="27" x14ac:dyDescent="0.25">
      <c r="A4025" s="508">
        <v>89594</v>
      </c>
      <c r="B4025" s="509" t="s">
        <v>6425</v>
      </c>
      <c r="C4025" s="508" t="s">
        <v>107</v>
      </c>
      <c r="D4025" s="508">
        <v>34.6</v>
      </c>
      <c r="E4025" s="461" t="s">
        <v>174</v>
      </c>
    </row>
    <row r="4026" spans="1:5" ht="27" x14ac:dyDescent="0.25">
      <c r="A4026" s="508">
        <v>89595</v>
      </c>
      <c r="B4026" s="509" t="s">
        <v>6426</v>
      </c>
      <c r="C4026" s="508" t="s">
        <v>107</v>
      </c>
      <c r="D4026" s="508">
        <v>14.31</v>
      </c>
      <c r="E4026" s="461" t="s">
        <v>174</v>
      </c>
    </row>
    <row r="4027" spans="1:5" ht="27" x14ac:dyDescent="0.25">
      <c r="A4027" s="508">
        <v>89596</v>
      </c>
      <c r="B4027" s="509" t="s">
        <v>6427</v>
      </c>
      <c r="C4027" s="508" t="s">
        <v>107</v>
      </c>
      <c r="D4027" s="508">
        <v>10.54</v>
      </c>
      <c r="E4027" s="461" t="s">
        <v>174</v>
      </c>
    </row>
    <row r="4028" spans="1:5" ht="27" x14ac:dyDescent="0.25">
      <c r="A4028" s="508">
        <v>89597</v>
      </c>
      <c r="B4028" s="509" t="s">
        <v>6428</v>
      </c>
      <c r="C4028" s="508" t="s">
        <v>107</v>
      </c>
      <c r="D4028" s="508">
        <v>22.35</v>
      </c>
      <c r="E4028" s="461" t="s">
        <v>174</v>
      </c>
    </row>
    <row r="4029" spans="1:5" ht="27" x14ac:dyDescent="0.25">
      <c r="A4029" s="508">
        <v>89598</v>
      </c>
      <c r="B4029" s="509" t="s">
        <v>6429</v>
      </c>
      <c r="C4029" s="508" t="s">
        <v>107</v>
      </c>
      <c r="D4029" s="508">
        <v>47.79</v>
      </c>
      <c r="E4029" s="461" t="s">
        <v>174</v>
      </c>
    </row>
    <row r="4030" spans="1:5" ht="27" x14ac:dyDescent="0.25">
      <c r="A4030" s="508">
        <v>89599</v>
      </c>
      <c r="B4030" s="509" t="s">
        <v>6430</v>
      </c>
      <c r="C4030" s="508" t="s">
        <v>107</v>
      </c>
      <c r="D4030" s="508">
        <v>23.14</v>
      </c>
      <c r="E4030" s="461" t="s">
        <v>174</v>
      </c>
    </row>
    <row r="4031" spans="1:5" ht="27" x14ac:dyDescent="0.25">
      <c r="A4031" s="508">
        <v>89600</v>
      </c>
      <c r="B4031" s="509" t="s">
        <v>6431</v>
      </c>
      <c r="C4031" s="508" t="s">
        <v>107</v>
      </c>
      <c r="D4031" s="508">
        <v>23.59</v>
      </c>
      <c r="E4031" s="461" t="s">
        <v>174</v>
      </c>
    </row>
    <row r="4032" spans="1:5" ht="27" x14ac:dyDescent="0.25">
      <c r="A4032" s="508">
        <v>89605</v>
      </c>
      <c r="B4032" s="509" t="s">
        <v>6432</v>
      </c>
      <c r="C4032" s="508" t="s">
        <v>107</v>
      </c>
      <c r="D4032" s="508">
        <v>20.350000000000001</v>
      </c>
      <c r="E4032" s="461" t="s">
        <v>174</v>
      </c>
    </row>
    <row r="4033" spans="1:5" ht="27" x14ac:dyDescent="0.25">
      <c r="A4033" s="508">
        <v>89609</v>
      </c>
      <c r="B4033" s="509" t="s">
        <v>6433</v>
      </c>
      <c r="C4033" s="508" t="s">
        <v>107</v>
      </c>
      <c r="D4033" s="508">
        <v>79.86</v>
      </c>
      <c r="E4033" s="461" t="s">
        <v>174</v>
      </c>
    </row>
    <row r="4034" spans="1:5" ht="27" x14ac:dyDescent="0.25">
      <c r="A4034" s="508">
        <v>89610</v>
      </c>
      <c r="B4034" s="509" t="s">
        <v>6434</v>
      </c>
      <c r="C4034" s="508" t="s">
        <v>107</v>
      </c>
      <c r="D4034" s="508">
        <v>19.309999999999999</v>
      </c>
      <c r="E4034" s="461" t="s">
        <v>174</v>
      </c>
    </row>
    <row r="4035" spans="1:5" ht="27" x14ac:dyDescent="0.25">
      <c r="A4035" s="508">
        <v>89611</v>
      </c>
      <c r="B4035" s="509" t="s">
        <v>6435</v>
      </c>
      <c r="C4035" s="508" t="s">
        <v>107</v>
      </c>
      <c r="D4035" s="508">
        <v>31.54</v>
      </c>
      <c r="E4035" s="461" t="s">
        <v>174</v>
      </c>
    </row>
    <row r="4036" spans="1:5" ht="27" x14ac:dyDescent="0.25">
      <c r="A4036" s="508">
        <v>89612</v>
      </c>
      <c r="B4036" s="509" t="s">
        <v>6436</v>
      </c>
      <c r="C4036" s="508" t="s">
        <v>107</v>
      </c>
      <c r="D4036" s="508">
        <v>156.19999999999999</v>
      </c>
      <c r="E4036" s="461" t="s">
        <v>174</v>
      </c>
    </row>
    <row r="4037" spans="1:5" ht="27" x14ac:dyDescent="0.25">
      <c r="A4037" s="508">
        <v>89613</v>
      </c>
      <c r="B4037" s="509" t="s">
        <v>6437</v>
      </c>
      <c r="C4037" s="508" t="s">
        <v>107</v>
      </c>
      <c r="D4037" s="508">
        <v>29.89</v>
      </c>
      <c r="E4037" s="461" t="s">
        <v>174</v>
      </c>
    </row>
    <row r="4038" spans="1:5" ht="27" x14ac:dyDescent="0.25">
      <c r="A4038" s="508">
        <v>89614</v>
      </c>
      <c r="B4038" s="509" t="s">
        <v>6438</v>
      </c>
      <c r="C4038" s="508" t="s">
        <v>107</v>
      </c>
      <c r="D4038" s="508">
        <v>57.68</v>
      </c>
      <c r="E4038" s="461" t="s">
        <v>174</v>
      </c>
    </row>
    <row r="4039" spans="1:5" ht="27" x14ac:dyDescent="0.25">
      <c r="A4039" s="508">
        <v>89615</v>
      </c>
      <c r="B4039" s="509" t="s">
        <v>6439</v>
      </c>
      <c r="C4039" s="508" t="s">
        <v>107</v>
      </c>
      <c r="D4039" s="508">
        <v>184.44</v>
      </c>
      <c r="E4039" s="461" t="s">
        <v>174</v>
      </c>
    </row>
    <row r="4040" spans="1:5" ht="27" x14ac:dyDescent="0.25">
      <c r="A4040" s="508">
        <v>89616</v>
      </c>
      <c r="B4040" s="509" t="s">
        <v>6440</v>
      </c>
      <c r="C4040" s="508" t="s">
        <v>107</v>
      </c>
      <c r="D4040" s="508">
        <v>39.81</v>
      </c>
      <c r="E4040" s="461" t="s">
        <v>174</v>
      </c>
    </row>
    <row r="4041" spans="1:5" ht="27" x14ac:dyDescent="0.25">
      <c r="A4041" s="508">
        <v>89617</v>
      </c>
      <c r="B4041" s="509" t="s">
        <v>6441</v>
      </c>
      <c r="C4041" s="508" t="s">
        <v>107</v>
      </c>
      <c r="D4041" s="508">
        <v>7.94</v>
      </c>
      <c r="E4041" s="461" t="s">
        <v>174</v>
      </c>
    </row>
    <row r="4042" spans="1:5" ht="27" x14ac:dyDescent="0.25">
      <c r="A4042" s="508">
        <v>89620</v>
      </c>
      <c r="B4042" s="509" t="s">
        <v>6442</v>
      </c>
      <c r="C4042" s="508" t="s">
        <v>107</v>
      </c>
      <c r="D4042" s="508">
        <v>12.22</v>
      </c>
      <c r="E4042" s="461" t="s">
        <v>174</v>
      </c>
    </row>
    <row r="4043" spans="1:5" ht="27" x14ac:dyDescent="0.25">
      <c r="A4043" s="508">
        <v>89622</v>
      </c>
      <c r="B4043" s="509" t="s">
        <v>6443</v>
      </c>
      <c r="C4043" s="508" t="s">
        <v>107</v>
      </c>
      <c r="D4043" s="508">
        <v>14.2</v>
      </c>
      <c r="E4043" s="461" t="s">
        <v>174</v>
      </c>
    </row>
    <row r="4044" spans="1:5" ht="27" x14ac:dyDescent="0.25">
      <c r="A4044" s="508">
        <v>89623</v>
      </c>
      <c r="B4044" s="509" t="s">
        <v>6444</v>
      </c>
      <c r="C4044" s="508" t="s">
        <v>107</v>
      </c>
      <c r="D4044" s="508">
        <v>19.5</v>
      </c>
      <c r="E4044" s="461" t="s">
        <v>174</v>
      </c>
    </row>
    <row r="4045" spans="1:5" ht="27" x14ac:dyDescent="0.25">
      <c r="A4045" s="508">
        <v>89624</v>
      </c>
      <c r="B4045" s="509" t="s">
        <v>6445</v>
      </c>
      <c r="C4045" s="508" t="s">
        <v>107</v>
      </c>
      <c r="D4045" s="508">
        <v>18</v>
      </c>
      <c r="E4045" s="461" t="s">
        <v>174</v>
      </c>
    </row>
    <row r="4046" spans="1:5" ht="27" x14ac:dyDescent="0.25">
      <c r="A4046" s="508">
        <v>89625</v>
      </c>
      <c r="B4046" s="509" t="s">
        <v>6446</v>
      </c>
      <c r="C4046" s="508" t="s">
        <v>107</v>
      </c>
      <c r="D4046" s="508">
        <v>22.94</v>
      </c>
      <c r="E4046" s="461" t="s">
        <v>174</v>
      </c>
    </row>
    <row r="4047" spans="1:5" ht="27" x14ac:dyDescent="0.25">
      <c r="A4047" s="508">
        <v>89626</v>
      </c>
      <c r="B4047" s="509" t="s">
        <v>6447</v>
      </c>
      <c r="C4047" s="508" t="s">
        <v>107</v>
      </c>
      <c r="D4047" s="508">
        <v>29.73</v>
      </c>
      <c r="E4047" s="461" t="s">
        <v>174</v>
      </c>
    </row>
    <row r="4048" spans="1:5" ht="27" x14ac:dyDescent="0.25">
      <c r="A4048" s="508">
        <v>89627</v>
      </c>
      <c r="B4048" s="509" t="s">
        <v>6448</v>
      </c>
      <c r="C4048" s="508" t="s">
        <v>107</v>
      </c>
      <c r="D4048" s="508">
        <v>20.12</v>
      </c>
      <c r="E4048" s="461" t="s">
        <v>174</v>
      </c>
    </row>
    <row r="4049" spans="1:5" ht="27" x14ac:dyDescent="0.25">
      <c r="A4049" s="508">
        <v>89628</v>
      </c>
      <c r="B4049" s="509" t="s">
        <v>6449</v>
      </c>
      <c r="C4049" s="508" t="s">
        <v>107</v>
      </c>
      <c r="D4049" s="508">
        <v>46.97</v>
      </c>
      <c r="E4049" s="461" t="s">
        <v>174</v>
      </c>
    </row>
    <row r="4050" spans="1:5" ht="27" x14ac:dyDescent="0.25">
      <c r="A4050" s="508">
        <v>89629</v>
      </c>
      <c r="B4050" s="509" t="s">
        <v>6450</v>
      </c>
      <c r="C4050" s="508" t="s">
        <v>107</v>
      </c>
      <c r="D4050" s="508">
        <v>78.319999999999993</v>
      </c>
      <c r="E4050" s="461" t="s">
        <v>174</v>
      </c>
    </row>
    <row r="4051" spans="1:5" ht="27" x14ac:dyDescent="0.25">
      <c r="A4051" s="508">
        <v>89630</v>
      </c>
      <c r="B4051" s="509" t="s">
        <v>6451</v>
      </c>
      <c r="C4051" s="508" t="s">
        <v>107</v>
      </c>
      <c r="D4051" s="508">
        <v>59.52</v>
      </c>
      <c r="E4051" s="461" t="s">
        <v>174</v>
      </c>
    </row>
    <row r="4052" spans="1:5" ht="27" x14ac:dyDescent="0.25">
      <c r="A4052" s="508">
        <v>89631</v>
      </c>
      <c r="B4052" s="509" t="s">
        <v>6452</v>
      </c>
      <c r="C4052" s="508" t="s">
        <v>107</v>
      </c>
      <c r="D4052" s="508">
        <v>102.41</v>
      </c>
      <c r="E4052" s="461" t="s">
        <v>174</v>
      </c>
    </row>
    <row r="4053" spans="1:5" ht="27" x14ac:dyDescent="0.25">
      <c r="A4053" s="508">
        <v>89632</v>
      </c>
      <c r="B4053" s="509" t="s">
        <v>6453</v>
      </c>
      <c r="C4053" s="508" t="s">
        <v>107</v>
      </c>
      <c r="D4053" s="508">
        <v>117.83</v>
      </c>
      <c r="E4053" s="461" t="s">
        <v>174</v>
      </c>
    </row>
    <row r="4054" spans="1:5" ht="27" x14ac:dyDescent="0.25">
      <c r="A4054" s="508">
        <v>89637</v>
      </c>
      <c r="B4054" s="509" t="s">
        <v>6454</v>
      </c>
      <c r="C4054" s="508" t="s">
        <v>107</v>
      </c>
      <c r="D4054" s="508">
        <v>10.74</v>
      </c>
      <c r="E4054" s="461" t="s">
        <v>174</v>
      </c>
    </row>
    <row r="4055" spans="1:5" ht="27" x14ac:dyDescent="0.25">
      <c r="A4055" s="508">
        <v>89638</v>
      </c>
      <c r="B4055" s="509" t="s">
        <v>6455</v>
      </c>
      <c r="C4055" s="508" t="s">
        <v>107</v>
      </c>
      <c r="D4055" s="508">
        <v>11.5</v>
      </c>
      <c r="E4055" s="461" t="s">
        <v>174</v>
      </c>
    </row>
    <row r="4056" spans="1:5" ht="27" x14ac:dyDescent="0.25">
      <c r="A4056" s="508">
        <v>89639</v>
      </c>
      <c r="B4056" s="509" t="s">
        <v>6456</v>
      </c>
      <c r="C4056" s="508" t="s">
        <v>107</v>
      </c>
      <c r="D4056" s="508">
        <v>12.03</v>
      </c>
      <c r="E4056" s="461" t="s">
        <v>174</v>
      </c>
    </row>
    <row r="4057" spans="1:5" ht="27" x14ac:dyDescent="0.25">
      <c r="A4057" s="508">
        <v>89640</v>
      </c>
      <c r="B4057" s="509" t="s">
        <v>6457</v>
      </c>
      <c r="C4057" s="508" t="s">
        <v>107</v>
      </c>
      <c r="D4057" s="508">
        <v>17.760000000000002</v>
      </c>
      <c r="E4057" s="461" t="s">
        <v>174</v>
      </c>
    </row>
    <row r="4058" spans="1:5" ht="27" x14ac:dyDescent="0.25">
      <c r="A4058" s="508">
        <v>89641</v>
      </c>
      <c r="B4058" s="509" t="s">
        <v>6458</v>
      </c>
      <c r="C4058" s="508" t="s">
        <v>107</v>
      </c>
      <c r="D4058" s="508">
        <v>13.94</v>
      </c>
      <c r="E4058" s="461" t="s">
        <v>174</v>
      </c>
    </row>
    <row r="4059" spans="1:5" ht="27" x14ac:dyDescent="0.25">
      <c r="A4059" s="508">
        <v>89642</v>
      </c>
      <c r="B4059" s="509" t="s">
        <v>6459</v>
      </c>
      <c r="C4059" s="508" t="s">
        <v>107</v>
      </c>
      <c r="D4059" s="508">
        <v>15.27</v>
      </c>
      <c r="E4059" s="461" t="s">
        <v>174</v>
      </c>
    </row>
    <row r="4060" spans="1:5" ht="27" x14ac:dyDescent="0.25">
      <c r="A4060" s="508">
        <v>89643</v>
      </c>
      <c r="B4060" s="509" t="s">
        <v>6460</v>
      </c>
      <c r="C4060" s="508" t="s">
        <v>107</v>
      </c>
      <c r="D4060" s="508">
        <v>16.32</v>
      </c>
      <c r="E4060" s="461" t="s">
        <v>174</v>
      </c>
    </row>
    <row r="4061" spans="1:5" ht="27" x14ac:dyDescent="0.25">
      <c r="A4061" s="508">
        <v>89644</v>
      </c>
      <c r="B4061" s="509" t="s">
        <v>6461</v>
      </c>
      <c r="C4061" s="508" t="s">
        <v>107</v>
      </c>
      <c r="D4061" s="508">
        <v>21.56</v>
      </c>
      <c r="E4061" s="461" t="s">
        <v>174</v>
      </c>
    </row>
    <row r="4062" spans="1:5" ht="27" x14ac:dyDescent="0.25">
      <c r="A4062" s="508">
        <v>89645</v>
      </c>
      <c r="B4062" s="509" t="s">
        <v>6462</v>
      </c>
      <c r="C4062" s="508" t="s">
        <v>107</v>
      </c>
      <c r="D4062" s="508">
        <v>29.45</v>
      </c>
      <c r="E4062" s="461" t="s">
        <v>174</v>
      </c>
    </row>
    <row r="4063" spans="1:5" ht="27" x14ac:dyDescent="0.25">
      <c r="A4063" s="508">
        <v>89646</v>
      </c>
      <c r="B4063" s="509" t="s">
        <v>6463</v>
      </c>
      <c r="C4063" s="508" t="s">
        <v>107</v>
      </c>
      <c r="D4063" s="508">
        <v>20.28</v>
      </c>
      <c r="E4063" s="461" t="s">
        <v>174</v>
      </c>
    </row>
    <row r="4064" spans="1:5" ht="27" x14ac:dyDescent="0.25">
      <c r="A4064" s="508">
        <v>89647</v>
      </c>
      <c r="B4064" s="509" t="s">
        <v>6464</v>
      </c>
      <c r="C4064" s="508" t="s">
        <v>107</v>
      </c>
      <c r="D4064" s="508">
        <v>19.73</v>
      </c>
      <c r="E4064" s="461" t="s">
        <v>174</v>
      </c>
    </row>
    <row r="4065" spans="1:5" ht="27" x14ac:dyDescent="0.25">
      <c r="A4065" s="508">
        <v>89648</v>
      </c>
      <c r="B4065" s="509" t="s">
        <v>6465</v>
      </c>
      <c r="C4065" s="508" t="s">
        <v>107</v>
      </c>
      <c r="D4065" s="508">
        <v>23.86</v>
      </c>
      <c r="E4065" s="461" t="s">
        <v>174</v>
      </c>
    </row>
    <row r="4066" spans="1:5" ht="27" x14ac:dyDescent="0.25">
      <c r="A4066" s="508">
        <v>89649</v>
      </c>
      <c r="B4066" s="509" t="s">
        <v>6466</v>
      </c>
      <c r="C4066" s="508" t="s">
        <v>107</v>
      </c>
      <c r="D4066" s="508">
        <v>28.97</v>
      </c>
      <c r="E4066" s="461" t="s">
        <v>174</v>
      </c>
    </row>
    <row r="4067" spans="1:5" ht="27" x14ac:dyDescent="0.25">
      <c r="A4067" s="508">
        <v>89650</v>
      </c>
      <c r="B4067" s="509" t="s">
        <v>6467</v>
      </c>
      <c r="C4067" s="508" t="s">
        <v>107</v>
      </c>
      <c r="D4067" s="508">
        <v>27.61</v>
      </c>
      <c r="E4067" s="461" t="s">
        <v>174</v>
      </c>
    </row>
    <row r="4068" spans="1:5" ht="27" x14ac:dyDescent="0.25">
      <c r="A4068" s="508">
        <v>89651</v>
      </c>
      <c r="B4068" s="509" t="s">
        <v>6468</v>
      </c>
      <c r="C4068" s="508" t="s">
        <v>107</v>
      </c>
      <c r="D4068" s="508">
        <v>7.37</v>
      </c>
      <c r="E4068" s="461" t="s">
        <v>174</v>
      </c>
    </row>
    <row r="4069" spans="1:5" ht="27" x14ac:dyDescent="0.25">
      <c r="A4069" s="508">
        <v>89652</v>
      </c>
      <c r="B4069" s="509" t="s">
        <v>6469</v>
      </c>
      <c r="C4069" s="508" t="s">
        <v>107</v>
      </c>
      <c r="D4069" s="508">
        <v>11.58</v>
      </c>
      <c r="E4069" s="461" t="s">
        <v>174</v>
      </c>
    </row>
    <row r="4070" spans="1:5" ht="27" x14ac:dyDescent="0.25">
      <c r="A4070" s="508">
        <v>89653</v>
      </c>
      <c r="B4070" s="509" t="s">
        <v>6470</v>
      </c>
      <c r="C4070" s="508" t="s">
        <v>107</v>
      </c>
      <c r="D4070" s="508">
        <v>15.85</v>
      </c>
      <c r="E4070" s="461" t="s">
        <v>174</v>
      </c>
    </row>
    <row r="4071" spans="1:5" ht="27" x14ac:dyDescent="0.25">
      <c r="A4071" s="508">
        <v>89654</v>
      </c>
      <c r="B4071" s="509" t="s">
        <v>6471</v>
      </c>
      <c r="C4071" s="508" t="s">
        <v>107</v>
      </c>
      <c r="D4071" s="508">
        <v>18.13</v>
      </c>
      <c r="E4071" s="461" t="s">
        <v>174</v>
      </c>
    </row>
    <row r="4072" spans="1:5" ht="27" x14ac:dyDescent="0.25">
      <c r="A4072" s="508">
        <v>89655</v>
      </c>
      <c r="B4072" s="509" t="s">
        <v>6472</v>
      </c>
      <c r="C4072" s="508" t="s">
        <v>107</v>
      </c>
      <c r="D4072" s="508">
        <v>21.33</v>
      </c>
      <c r="E4072" s="461" t="s">
        <v>174</v>
      </c>
    </row>
    <row r="4073" spans="1:5" ht="27" x14ac:dyDescent="0.25">
      <c r="A4073" s="508">
        <v>89656</v>
      </c>
      <c r="B4073" s="509" t="s">
        <v>6473</v>
      </c>
      <c r="C4073" s="508" t="s">
        <v>107</v>
      </c>
      <c r="D4073" s="508">
        <v>19.97</v>
      </c>
      <c r="E4073" s="461" t="s">
        <v>174</v>
      </c>
    </row>
    <row r="4074" spans="1:5" ht="27" x14ac:dyDescent="0.25">
      <c r="A4074" s="508">
        <v>89657</v>
      </c>
      <c r="B4074" s="509" t="s">
        <v>6474</v>
      </c>
      <c r="C4074" s="508" t="s">
        <v>107</v>
      </c>
      <c r="D4074" s="508">
        <v>12.93</v>
      </c>
      <c r="E4074" s="461" t="s">
        <v>174</v>
      </c>
    </row>
    <row r="4075" spans="1:5" ht="27" x14ac:dyDescent="0.25">
      <c r="A4075" s="508">
        <v>89658</v>
      </c>
      <c r="B4075" s="509" t="s">
        <v>6475</v>
      </c>
      <c r="C4075" s="508" t="s">
        <v>107</v>
      </c>
      <c r="D4075" s="508">
        <v>9.83</v>
      </c>
      <c r="E4075" s="461" t="s">
        <v>174</v>
      </c>
    </row>
    <row r="4076" spans="1:5" ht="27" x14ac:dyDescent="0.25">
      <c r="A4076" s="508">
        <v>89659</v>
      </c>
      <c r="B4076" s="509" t="s">
        <v>6476</v>
      </c>
      <c r="C4076" s="508" t="s">
        <v>107</v>
      </c>
      <c r="D4076" s="508">
        <v>16.190000000000001</v>
      </c>
      <c r="E4076" s="461" t="s">
        <v>174</v>
      </c>
    </row>
    <row r="4077" spans="1:5" ht="27" x14ac:dyDescent="0.25">
      <c r="A4077" s="508">
        <v>89660</v>
      </c>
      <c r="B4077" s="509" t="s">
        <v>6477</v>
      </c>
      <c r="C4077" s="508" t="s">
        <v>107</v>
      </c>
      <c r="D4077" s="508">
        <v>10.02</v>
      </c>
      <c r="E4077" s="461" t="s">
        <v>174</v>
      </c>
    </row>
    <row r="4078" spans="1:5" ht="27" x14ac:dyDescent="0.25">
      <c r="A4078" s="508">
        <v>89661</v>
      </c>
      <c r="B4078" s="509" t="s">
        <v>6478</v>
      </c>
      <c r="C4078" s="508" t="s">
        <v>107</v>
      </c>
      <c r="D4078" s="508">
        <v>21.4</v>
      </c>
      <c r="E4078" s="461" t="s">
        <v>174</v>
      </c>
    </row>
    <row r="4079" spans="1:5" ht="27" x14ac:dyDescent="0.25">
      <c r="A4079" s="508">
        <v>89662</v>
      </c>
      <c r="B4079" s="509" t="s">
        <v>6479</v>
      </c>
      <c r="C4079" s="508" t="s">
        <v>107</v>
      </c>
      <c r="D4079" s="508">
        <v>27.43</v>
      </c>
      <c r="E4079" s="461" t="s">
        <v>174</v>
      </c>
    </row>
    <row r="4080" spans="1:5" ht="27" x14ac:dyDescent="0.25">
      <c r="A4080" s="508">
        <v>89663</v>
      </c>
      <c r="B4080" s="509" t="s">
        <v>6480</v>
      </c>
      <c r="C4080" s="508" t="s">
        <v>107</v>
      </c>
      <c r="D4080" s="508">
        <v>26.76</v>
      </c>
      <c r="E4080" s="461" t="s">
        <v>174</v>
      </c>
    </row>
    <row r="4081" spans="1:5" ht="27" x14ac:dyDescent="0.25">
      <c r="A4081" s="508">
        <v>89664</v>
      </c>
      <c r="B4081" s="509" t="s">
        <v>6481</v>
      </c>
      <c r="C4081" s="508" t="s">
        <v>107</v>
      </c>
      <c r="D4081" s="508">
        <v>16.13</v>
      </c>
      <c r="E4081" s="461" t="s">
        <v>174</v>
      </c>
    </row>
    <row r="4082" spans="1:5" ht="27" x14ac:dyDescent="0.25">
      <c r="A4082" s="508">
        <v>89666</v>
      </c>
      <c r="B4082" s="509" t="s">
        <v>6482</v>
      </c>
      <c r="C4082" s="508" t="s">
        <v>107</v>
      </c>
      <c r="D4082" s="508">
        <v>7.81</v>
      </c>
      <c r="E4082" s="461" t="s">
        <v>174</v>
      </c>
    </row>
    <row r="4083" spans="1:5" ht="27" x14ac:dyDescent="0.25">
      <c r="A4083" s="508">
        <v>89667</v>
      </c>
      <c r="B4083" s="509" t="s">
        <v>6483</v>
      </c>
      <c r="C4083" s="508" t="s">
        <v>107</v>
      </c>
      <c r="D4083" s="508">
        <v>38.36</v>
      </c>
      <c r="E4083" s="461" t="s">
        <v>174</v>
      </c>
    </row>
    <row r="4084" spans="1:5" ht="27" x14ac:dyDescent="0.25">
      <c r="A4084" s="508">
        <v>89668</v>
      </c>
      <c r="B4084" s="509" t="s">
        <v>6484</v>
      </c>
      <c r="C4084" s="508" t="s">
        <v>107</v>
      </c>
      <c r="D4084" s="508">
        <v>26.13</v>
      </c>
      <c r="E4084" s="461" t="s">
        <v>174</v>
      </c>
    </row>
    <row r="4085" spans="1:5" ht="27" x14ac:dyDescent="0.25">
      <c r="A4085" s="508">
        <v>89669</v>
      </c>
      <c r="B4085" s="509" t="s">
        <v>6485</v>
      </c>
      <c r="C4085" s="508" t="s">
        <v>107</v>
      </c>
      <c r="D4085" s="508">
        <v>31.21</v>
      </c>
      <c r="E4085" s="461" t="s">
        <v>174</v>
      </c>
    </row>
    <row r="4086" spans="1:5" ht="27" x14ac:dyDescent="0.25">
      <c r="A4086" s="508">
        <v>89670</v>
      </c>
      <c r="B4086" s="509" t="s">
        <v>6486</v>
      </c>
      <c r="C4086" s="508" t="s">
        <v>107</v>
      </c>
      <c r="D4086" s="508">
        <v>14.12</v>
      </c>
      <c r="E4086" s="461" t="s">
        <v>174</v>
      </c>
    </row>
    <row r="4087" spans="1:5" ht="27" x14ac:dyDescent="0.25">
      <c r="A4087" s="508">
        <v>89671</v>
      </c>
      <c r="B4087" s="509" t="s">
        <v>6487</v>
      </c>
      <c r="C4087" s="508" t="s">
        <v>107</v>
      </c>
      <c r="D4087" s="508">
        <v>40.56</v>
      </c>
      <c r="E4087" s="461" t="s">
        <v>174</v>
      </c>
    </row>
    <row r="4088" spans="1:5" ht="27" x14ac:dyDescent="0.25">
      <c r="A4088" s="508">
        <v>89672</v>
      </c>
      <c r="B4088" s="509" t="s">
        <v>6488</v>
      </c>
      <c r="C4088" s="508" t="s">
        <v>107</v>
      </c>
      <c r="D4088" s="508">
        <v>22.03</v>
      </c>
      <c r="E4088" s="461" t="s">
        <v>174</v>
      </c>
    </row>
    <row r="4089" spans="1:5" ht="27" x14ac:dyDescent="0.25">
      <c r="A4089" s="508">
        <v>89673</v>
      </c>
      <c r="B4089" s="509" t="s">
        <v>6489</v>
      </c>
      <c r="C4089" s="508" t="s">
        <v>107</v>
      </c>
      <c r="D4089" s="508">
        <v>32.32</v>
      </c>
      <c r="E4089" s="461" t="s">
        <v>174</v>
      </c>
    </row>
    <row r="4090" spans="1:5" ht="27" x14ac:dyDescent="0.25">
      <c r="A4090" s="508">
        <v>89674</v>
      </c>
      <c r="B4090" s="509" t="s">
        <v>6490</v>
      </c>
      <c r="C4090" s="508" t="s">
        <v>107</v>
      </c>
      <c r="D4090" s="508">
        <v>27.74</v>
      </c>
      <c r="E4090" s="461" t="s">
        <v>174</v>
      </c>
    </row>
    <row r="4091" spans="1:5" ht="27" x14ac:dyDescent="0.25">
      <c r="A4091" s="508">
        <v>89675</v>
      </c>
      <c r="B4091" s="509" t="s">
        <v>6491</v>
      </c>
      <c r="C4091" s="508" t="s">
        <v>107</v>
      </c>
      <c r="D4091" s="508">
        <v>62.4</v>
      </c>
      <c r="E4091" s="461" t="s">
        <v>174</v>
      </c>
    </row>
    <row r="4092" spans="1:5" ht="27" x14ac:dyDescent="0.25">
      <c r="A4092" s="508">
        <v>89676</v>
      </c>
      <c r="B4092" s="509" t="s">
        <v>6492</v>
      </c>
      <c r="C4092" s="508" t="s">
        <v>107</v>
      </c>
      <c r="D4092" s="508">
        <v>32.74</v>
      </c>
      <c r="E4092" s="461" t="s">
        <v>174</v>
      </c>
    </row>
    <row r="4093" spans="1:5" ht="27" x14ac:dyDescent="0.25">
      <c r="A4093" s="508">
        <v>89677</v>
      </c>
      <c r="B4093" s="509" t="s">
        <v>6493</v>
      </c>
      <c r="C4093" s="508" t="s">
        <v>107</v>
      </c>
      <c r="D4093" s="508">
        <v>70.489999999999995</v>
      </c>
      <c r="E4093" s="461" t="s">
        <v>174</v>
      </c>
    </row>
    <row r="4094" spans="1:5" ht="27" x14ac:dyDescent="0.25">
      <c r="A4094" s="508">
        <v>89678</v>
      </c>
      <c r="B4094" s="509" t="s">
        <v>6494</v>
      </c>
      <c r="C4094" s="508" t="s">
        <v>107</v>
      </c>
      <c r="D4094" s="508">
        <v>12.14</v>
      </c>
      <c r="E4094" s="461" t="s">
        <v>174</v>
      </c>
    </row>
    <row r="4095" spans="1:5" ht="27" x14ac:dyDescent="0.25">
      <c r="A4095" s="508">
        <v>89679</v>
      </c>
      <c r="B4095" s="509" t="s">
        <v>6495</v>
      </c>
      <c r="C4095" s="508" t="s">
        <v>107</v>
      </c>
      <c r="D4095" s="508">
        <v>108.74</v>
      </c>
      <c r="E4095" s="461" t="s">
        <v>174</v>
      </c>
    </row>
    <row r="4096" spans="1:5" ht="27" x14ac:dyDescent="0.25">
      <c r="A4096" s="508">
        <v>89680</v>
      </c>
      <c r="B4096" s="509" t="s">
        <v>6496</v>
      </c>
      <c r="C4096" s="508" t="s">
        <v>107</v>
      </c>
      <c r="D4096" s="508">
        <v>21.55</v>
      </c>
      <c r="E4096" s="461" t="s">
        <v>174</v>
      </c>
    </row>
    <row r="4097" spans="1:5" ht="27" x14ac:dyDescent="0.25">
      <c r="A4097" s="508">
        <v>89681</v>
      </c>
      <c r="B4097" s="509" t="s">
        <v>6497</v>
      </c>
      <c r="C4097" s="508" t="s">
        <v>107</v>
      </c>
      <c r="D4097" s="508">
        <v>79.34</v>
      </c>
      <c r="E4097" s="461" t="s">
        <v>174</v>
      </c>
    </row>
    <row r="4098" spans="1:5" ht="27" x14ac:dyDescent="0.25">
      <c r="A4098" s="508">
        <v>89682</v>
      </c>
      <c r="B4098" s="509" t="s">
        <v>6498</v>
      </c>
      <c r="C4098" s="508" t="s">
        <v>107</v>
      </c>
      <c r="D4098" s="508">
        <v>29.01</v>
      </c>
      <c r="E4098" s="461" t="s">
        <v>174</v>
      </c>
    </row>
    <row r="4099" spans="1:5" ht="27" x14ac:dyDescent="0.25">
      <c r="A4099" s="508">
        <v>89683</v>
      </c>
      <c r="B4099" s="509" t="s">
        <v>6499</v>
      </c>
      <c r="C4099" s="508" t="s">
        <v>107</v>
      </c>
      <c r="D4099" s="508">
        <v>238.3</v>
      </c>
      <c r="E4099" s="461" t="s">
        <v>174</v>
      </c>
    </row>
    <row r="4100" spans="1:5" ht="27" x14ac:dyDescent="0.25">
      <c r="A4100" s="508">
        <v>89684</v>
      </c>
      <c r="B4100" s="509" t="s">
        <v>6500</v>
      </c>
      <c r="C4100" s="508" t="s">
        <v>107</v>
      </c>
      <c r="D4100" s="508">
        <v>39.69</v>
      </c>
      <c r="E4100" s="461" t="s">
        <v>174</v>
      </c>
    </row>
    <row r="4101" spans="1:5" ht="27" x14ac:dyDescent="0.25">
      <c r="A4101" s="508">
        <v>89685</v>
      </c>
      <c r="B4101" s="509" t="s">
        <v>6501</v>
      </c>
      <c r="C4101" s="508" t="s">
        <v>107</v>
      </c>
      <c r="D4101" s="508">
        <v>54.69</v>
      </c>
      <c r="E4101" s="461" t="s">
        <v>174</v>
      </c>
    </row>
    <row r="4102" spans="1:5" ht="27" x14ac:dyDescent="0.25">
      <c r="A4102" s="508">
        <v>89686</v>
      </c>
      <c r="B4102" s="509" t="s">
        <v>6502</v>
      </c>
      <c r="C4102" s="508" t="s">
        <v>107</v>
      </c>
      <c r="D4102" s="508">
        <v>49.48</v>
      </c>
      <c r="E4102" s="461" t="s">
        <v>174</v>
      </c>
    </row>
    <row r="4103" spans="1:5" ht="27" x14ac:dyDescent="0.25">
      <c r="A4103" s="508">
        <v>89687</v>
      </c>
      <c r="B4103" s="509" t="s">
        <v>6503</v>
      </c>
      <c r="C4103" s="508" t="s">
        <v>107</v>
      </c>
      <c r="D4103" s="508">
        <v>47.76</v>
      </c>
      <c r="E4103" s="461" t="s">
        <v>174</v>
      </c>
    </row>
    <row r="4104" spans="1:5" ht="27" x14ac:dyDescent="0.25">
      <c r="A4104" s="508">
        <v>89689</v>
      </c>
      <c r="B4104" s="509" t="s">
        <v>6504</v>
      </c>
      <c r="C4104" s="508" t="s">
        <v>107</v>
      </c>
      <c r="D4104" s="508">
        <v>33.799999999999997</v>
      </c>
      <c r="E4104" s="461" t="s">
        <v>174</v>
      </c>
    </row>
    <row r="4105" spans="1:5" ht="27" x14ac:dyDescent="0.25">
      <c r="A4105" s="508">
        <v>89690</v>
      </c>
      <c r="B4105" s="509" t="s">
        <v>6505</v>
      </c>
      <c r="C4105" s="508" t="s">
        <v>107</v>
      </c>
      <c r="D4105" s="508">
        <v>80.37</v>
      </c>
      <c r="E4105" s="461" t="s">
        <v>174</v>
      </c>
    </row>
    <row r="4106" spans="1:5" ht="27" x14ac:dyDescent="0.25">
      <c r="A4106" s="508">
        <v>89691</v>
      </c>
      <c r="B4106" s="509" t="s">
        <v>6506</v>
      </c>
      <c r="C4106" s="508" t="s">
        <v>107</v>
      </c>
      <c r="D4106" s="508">
        <v>14</v>
      </c>
      <c r="E4106" s="461" t="s">
        <v>174</v>
      </c>
    </row>
    <row r="4107" spans="1:5" ht="27" x14ac:dyDescent="0.25">
      <c r="A4107" s="508">
        <v>89692</v>
      </c>
      <c r="B4107" s="509" t="s">
        <v>6507</v>
      </c>
      <c r="C4107" s="508" t="s">
        <v>107</v>
      </c>
      <c r="D4107" s="508">
        <v>89.31</v>
      </c>
      <c r="E4107" s="461" t="s">
        <v>174</v>
      </c>
    </row>
    <row r="4108" spans="1:5" ht="27" x14ac:dyDescent="0.25">
      <c r="A4108" s="508">
        <v>89693</v>
      </c>
      <c r="B4108" s="509" t="s">
        <v>6508</v>
      </c>
      <c r="C4108" s="508" t="s">
        <v>107</v>
      </c>
      <c r="D4108" s="508">
        <v>71.650000000000006</v>
      </c>
      <c r="E4108" s="461" t="s">
        <v>174</v>
      </c>
    </row>
    <row r="4109" spans="1:5" ht="27" x14ac:dyDescent="0.25">
      <c r="A4109" s="508">
        <v>89694</v>
      </c>
      <c r="B4109" s="509" t="s">
        <v>6509</v>
      </c>
      <c r="C4109" s="508" t="s">
        <v>107</v>
      </c>
      <c r="D4109" s="508">
        <v>19.41</v>
      </c>
      <c r="E4109" s="461" t="s">
        <v>174</v>
      </c>
    </row>
    <row r="4110" spans="1:5" ht="27" x14ac:dyDescent="0.25">
      <c r="A4110" s="508">
        <v>89695</v>
      </c>
      <c r="B4110" s="509" t="s">
        <v>6510</v>
      </c>
      <c r="C4110" s="508" t="s">
        <v>107</v>
      </c>
      <c r="D4110" s="508">
        <v>16.91</v>
      </c>
      <c r="E4110" s="461" t="s">
        <v>174</v>
      </c>
    </row>
    <row r="4111" spans="1:5" ht="27" x14ac:dyDescent="0.25">
      <c r="A4111" s="508">
        <v>89696</v>
      </c>
      <c r="B4111" s="509" t="s">
        <v>6511</v>
      </c>
      <c r="C4111" s="508" t="s">
        <v>107</v>
      </c>
      <c r="D4111" s="508">
        <v>75.19</v>
      </c>
      <c r="E4111" s="461" t="s">
        <v>174</v>
      </c>
    </row>
    <row r="4112" spans="1:5" ht="27" x14ac:dyDescent="0.25">
      <c r="A4112" s="508">
        <v>89697</v>
      </c>
      <c r="B4112" s="509" t="s">
        <v>6512</v>
      </c>
      <c r="C4112" s="508" t="s">
        <v>107</v>
      </c>
      <c r="D4112" s="508">
        <v>18.329999999999998</v>
      </c>
      <c r="E4112" s="461" t="s">
        <v>174</v>
      </c>
    </row>
    <row r="4113" spans="1:5" ht="27" x14ac:dyDescent="0.25">
      <c r="A4113" s="508">
        <v>89698</v>
      </c>
      <c r="B4113" s="509" t="s">
        <v>6513</v>
      </c>
      <c r="C4113" s="508" t="s">
        <v>107</v>
      </c>
      <c r="D4113" s="508">
        <v>230.69</v>
      </c>
      <c r="E4113" s="461" t="s">
        <v>174</v>
      </c>
    </row>
    <row r="4114" spans="1:5" ht="27" x14ac:dyDescent="0.25">
      <c r="A4114" s="508">
        <v>89699</v>
      </c>
      <c r="B4114" s="509" t="s">
        <v>6514</v>
      </c>
      <c r="C4114" s="508" t="s">
        <v>107</v>
      </c>
      <c r="D4114" s="508">
        <v>175.39</v>
      </c>
      <c r="E4114" s="461" t="s">
        <v>174</v>
      </c>
    </row>
    <row r="4115" spans="1:5" ht="27" x14ac:dyDescent="0.25">
      <c r="A4115" s="508">
        <v>89700</v>
      </c>
      <c r="B4115" s="509" t="s">
        <v>6515</v>
      </c>
      <c r="C4115" s="508" t="s">
        <v>107</v>
      </c>
      <c r="D4115" s="508">
        <v>22.24</v>
      </c>
      <c r="E4115" s="461" t="s">
        <v>174</v>
      </c>
    </row>
    <row r="4116" spans="1:5" ht="27" x14ac:dyDescent="0.25">
      <c r="A4116" s="508">
        <v>89701</v>
      </c>
      <c r="B4116" s="509" t="s">
        <v>6516</v>
      </c>
      <c r="C4116" s="508" t="s">
        <v>107</v>
      </c>
      <c r="D4116" s="508">
        <v>174.68</v>
      </c>
      <c r="E4116" s="461" t="s">
        <v>174</v>
      </c>
    </row>
    <row r="4117" spans="1:5" ht="27" x14ac:dyDescent="0.25">
      <c r="A4117" s="508">
        <v>89702</v>
      </c>
      <c r="B4117" s="509" t="s">
        <v>6517</v>
      </c>
      <c r="C4117" s="508" t="s">
        <v>107</v>
      </c>
      <c r="D4117" s="508">
        <v>21.87</v>
      </c>
      <c r="E4117" s="461" t="s">
        <v>174</v>
      </c>
    </row>
    <row r="4118" spans="1:5" ht="27" x14ac:dyDescent="0.25">
      <c r="A4118" s="508">
        <v>89703</v>
      </c>
      <c r="B4118" s="509" t="s">
        <v>6518</v>
      </c>
      <c r="C4118" s="508" t="s">
        <v>107</v>
      </c>
      <c r="D4118" s="508">
        <v>43.11</v>
      </c>
      <c r="E4118" s="461" t="s">
        <v>174</v>
      </c>
    </row>
    <row r="4119" spans="1:5" ht="27" x14ac:dyDescent="0.25">
      <c r="A4119" s="508">
        <v>89704</v>
      </c>
      <c r="B4119" s="509" t="s">
        <v>6519</v>
      </c>
      <c r="C4119" s="508" t="s">
        <v>107</v>
      </c>
      <c r="D4119" s="508">
        <v>135.91</v>
      </c>
      <c r="E4119" s="461" t="s">
        <v>174</v>
      </c>
    </row>
    <row r="4120" spans="1:5" ht="27" x14ac:dyDescent="0.25">
      <c r="A4120" s="508">
        <v>89705</v>
      </c>
      <c r="B4120" s="509" t="s">
        <v>6520</v>
      </c>
      <c r="C4120" s="508" t="s">
        <v>107</v>
      </c>
      <c r="D4120" s="508">
        <v>25.61</v>
      </c>
      <c r="E4120" s="461" t="s">
        <v>174</v>
      </c>
    </row>
    <row r="4121" spans="1:5" ht="27" x14ac:dyDescent="0.25">
      <c r="A4121" s="508">
        <v>89706</v>
      </c>
      <c r="B4121" s="509" t="s">
        <v>6521</v>
      </c>
      <c r="C4121" s="508" t="s">
        <v>107</v>
      </c>
      <c r="D4121" s="508">
        <v>51.97</v>
      </c>
      <c r="E4121" s="461" t="s">
        <v>174</v>
      </c>
    </row>
    <row r="4122" spans="1:5" ht="27" x14ac:dyDescent="0.25">
      <c r="A4122" s="508">
        <v>89718</v>
      </c>
      <c r="B4122" s="509" t="s">
        <v>6522</v>
      </c>
      <c r="C4122" s="508" t="s">
        <v>5</v>
      </c>
      <c r="D4122" s="508">
        <v>47.92</v>
      </c>
      <c r="E4122" s="461" t="s">
        <v>174</v>
      </c>
    </row>
    <row r="4123" spans="1:5" ht="27" x14ac:dyDescent="0.25">
      <c r="A4123" s="508">
        <v>89719</v>
      </c>
      <c r="B4123" s="509" t="s">
        <v>6523</v>
      </c>
      <c r="C4123" s="508" t="s">
        <v>107</v>
      </c>
      <c r="D4123" s="508">
        <v>13.14</v>
      </c>
      <c r="E4123" s="461" t="s">
        <v>174</v>
      </c>
    </row>
    <row r="4124" spans="1:5" ht="27" x14ac:dyDescent="0.25">
      <c r="A4124" s="508">
        <v>89720</v>
      </c>
      <c r="B4124" s="509" t="s">
        <v>6524</v>
      </c>
      <c r="C4124" s="508" t="s">
        <v>107</v>
      </c>
      <c r="D4124" s="508">
        <v>14.47</v>
      </c>
      <c r="E4124" s="461" t="s">
        <v>174</v>
      </c>
    </row>
    <row r="4125" spans="1:5" ht="27" x14ac:dyDescent="0.25">
      <c r="A4125" s="508">
        <v>89721</v>
      </c>
      <c r="B4125" s="509" t="s">
        <v>6525</v>
      </c>
      <c r="C4125" s="508" t="s">
        <v>107</v>
      </c>
      <c r="D4125" s="508">
        <v>15.52</v>
      </c>
      <c r="E4125" s="461" t="s">
        <v>174</v>
      </c>
    </row>
    <row r="4126" spans="1:5" ht="27" x14ac:dyDescent="0.25">
      <c r="A4126" s="508">
        <v>89723</v>
      </c>
      <c r="B4126" s="509" t="s">
        <v>6526</v>
      </c>
      <c r="C4126" s="508" t="s">
        <v>107</v>
      </c>
      <c r="D4126" s="508">
        <v>19.350000000000001</v>
      </c>
      <c r="E4126" s="461" t="s">
        <v>174</v>
      </c>
    </row>
    <row r="4127" spans="1:5" ht="27" x14ac:dyDescent="0.25">
      <c r="A4127" s="508">
        <v>89724</v>
      </c>
      <c r="B4127" s="509" t="s">
        <v>6527</v>
      </c>
      <c r="C4127" s="508" t="s">
        <v>107</v>
      </c>
      <c r="D4127" s="508">
        <v>10.48</v>
      </c>
      <c r="E4127" s="461" t="s">
        <v>174</v>
      </c>
    </row>
    <row r="4128" spans="1:5" ht="27" x14ac:dyDescent="0.25">
      <c r="A4128" s="508">
        <v>89725</v>
      </c>
      <c r="B4128" s="509" t="s">
        <v>6528</v>
      </c>
      <c r="C4128" s="508" t="s">
        <v>107</v>
      </c>
      <c r="D4128" s="508">
        <v>18.8</v>
      </c>
      <c r="E4128" s="461" t="s">
        <v>174</v>
      </c>
    </row>
    <row r="4129" spans="1:5" ht="27" x14ac:dyDescent="0.25">
      <c r="A4129" s="508">
        <v>89726</v>
      </c>
      <c r="B4129" s="509" t="s">
        <v>6529</v>
      </c>
      <c r="C4129" s="508" t="s">
        <v>107</v>
      </c>
      <c r="D4129" s="508">
        <v>10.67</v>
      </c>
      <c r="E4129" s="461" t="s">
        <v>174</v>
      </c>
    </row>
    <row r="4130" spans="1:5" ht="27" x14ac:dyDescent="0.25">
      <c r="A4130" s="508">
        <v>89727</v>
      </c>
      <c r="B4130" s="509" t="s">
        <v>6530</v>
      </c>
      <c r="C4130" s="508" t="s">
        <v>107</v>
      </c>
      <c r="D4130" s="508">
        <v>22.93</v>
      </c>
      <c r="E4130" s="461" t="s">
        <v>174</v>
      </c>
    </row>
    <row r="4131" spans="1:5" ht="27" x14ac:dyDescent="0.25">
      <c r="A4131" s="508">
        <v>89728</v>
      </c>
      <c r="B4131" s="509" t="s">
        <v>6531</v>
      </c>
      <c r="C4131" s="508" t="s">
        <v>107</v>
      </c>
      <c r="D4131" s="508">
        <v>12.92</v>
      </c>
      <c r="E4131" s="461" t="s">
        <v>174</v>
      </c>
    </row>
    <row r="4132" spans="1:5" ht="27" x14ac:dyDescent="0.25">
      <c r="A4132" s="508">
        <v>89729</v>
      </c>
      <c r="B4132" s="509" t="s">
        <v>6532</v>
      </c>
      <c r="C4132" s="508" t="s">
        <v>107</v>
      </c>
      <c r="D4132" s="508">
        <v>27.87</v>
      </c>
      <c r="E4132" s="461" t="s">
        <v>174</v>
      </c>
    </row>
    <row r="4133" spans="1:5" ht="27" x14ac:dyDescent="0.25">
      <c r="A4133" s="508">
        <v>89730</v>
      </c>
      <c r="B4133" s="509" t="s">
        <v>6533</v>
      </c>
      <c r="C4133" s="508" t="s">
        <v>107</v>
      </c>
      <c r="D4133" s="508">
        <v>14.51</v>
      </c>
      <c r="E4133" s="461" t="s">
        <v>174</v>
      </c>
    </row>
    <row r="4134" spans="1:5" ht="27" x14ac:dyDescent="0.25">
      <c r="A4134" s="508">
        <v>89731</v>
      </c>
      <c r="B4134" s="509" t="s">
        <v>6534</v>
      </c>
      <c r="C4134" s="508" t="s">
        <v>107</v>
      </c>
      <c r="D4134" s="508">
        <v>14.77</v>
      </c>
      <c r="E4134" s="461" t="s">
        <v>174</v>
      </c>
    </row>
    <row r="4135" spans="1:5" ht="27" x14ac:dyDescent="0.25">
      <c r="A4135" s="508">
        <v>89732</v>
      </c>
      <c r="B4135" s="509" t="s">
        <v>6535</v>
      </c>
      <c r="C4135" s="508" t="s">
        <v>107</v>
      </c>
      <c r="D4135" s="508">
        <v>15.38</v>
      </c>
      <c r="E4135" s="461" t="s">
        <v>174</v>
      </c>
    </row>
    <row r="4136" spans="1:5" ht="27" x14ac:dyDescent="0.25">
      <c r="A4136" s="508">
        <v>89733</v>
      </c>
      <c r="B4136" s="509" t="s">
        <v>6536</v>
      </c>
      <c r="C4136" s="508" t="s">
        <v>107</v>
      </c>
      <c r="D4136" s="508">
        <v>21.85</v>
      </c>
      <c r="E4136" s="461" t="s">
        <v>174</v>
      </c>
    </row>
    <row r="4137" spans="1:5" ht="27" x14ac:dyDescent="0.25">
      <c r="A4137" s="508">
        <v>89734</v>
      </c>
      <c r="B4137" s="509" t="s">
        <v>6537</v>
      </c>
      <c r="C4137" s="508" t="s">
        <v>107</v>
      </c>
      <c r="D4137" s="508">
        <v>26.51</v>
      </c>
      <c r="E4137" s="461" t="s">
        <v>174</v>
      </c>
    </row>
    <row r="4138" spans="1:5" ht="27" x14ac:dyDescent="0.25">
      <c r="A4138" s="508">
        <v>89735</v>
      </c>
      <c r="B4138" s="509" t="s">
        <v>6538</v>
      </c>
      <c r="C4138" s="508" t="s">
        <v>107</v>
      </c>
      <c r="D4138" s="508">
        <v>23.67</v>
      </c>
      <c r="E4138" s="461" t="s">
        <v>174</v>
      </c>
    </row>
    <row r="4139" spans="1:5" ht="27" x14ac:dyDescent="0.25">
      <c r="A4139" s="508">
        <v>89736</v>
      </c>
      <c r="B4139" s="509" t="s">
        <v>6539</v>
      </c>
      <c r="C4139" s="508" t="s">
        <v>107</v>
      </c>
      <c r="D4139" s="508">
        <v>9.3000000000000007</v>
      </c>
      <c r="E4139" s="461" t="s">
        <v>174</v>
      </c>
    </row>
    <row r="4140" spans="1:5" ht="27" x14ac:dyDescent="0.25">
      <c r="A4140" s="508">
        <v>89737</v>
      </c>
      <c r="B4140" s="509" t="s">
        <v>6540</v>
      </c>
      <c r="C4140" s="508" t="s">
        <v>107</v>
      </c>
      <c r="D4140" s="508">
        <v>21.79</v>
      </c>
      <c r="E4140" s="461" t="s">
        <v>174</v>
      </c>
    </row>
    <row r="4141" spans="1:5" ht="27" x14ac:dyDescent="0.25">
      <c r="A4141" s="508">
        <v>89738</v>
      </c>
      <c r="B4141" s="509" t="s">
        <v>921</v>
      </c>
      <c r="C4141" s="508" t="s">
        <v>107</v>
      </c>
      <c r="D4141" s="508">
        <v>15.66</v>
      </c>
      <c r="E4141" s="461" t="s">
        <v>174</v>
      </c>
    </row>
    <row r="4142" spans="1:5" ht="27" x14ac:dyDescent="0.25">
      <c r="A4142" s="508">
        <v>89739</v>
      </c>
      <c r="B4142" s="509" t="s">
        <v>6541</v>
      </c>
      <c r="C4142" s="508" t="s">
        <v>107</v>
      </c>
      <c r="D4142" s="508">
        <v>22.6</v>
      </c>
      <c r="E4142" s="461" t="s">
        <v>174</v>
      </c>
    </row>
    <row r="4143" spans="1:5" ht="27" x14ac:dyDescent="0.25">
      <c r="A4143" s="508">
        <v>89740</v>
      </c>
      <c r="B4143" s="509" t="s">
        <v>6542</v>
      </c>
      <c r="C4143" s="508" t="s">
        <v>107</v>
      </c>
      <c r="D4143" s="508">
        <v>9.4700000000000006</v>
      </c>
      <c r="E4143" s="461" t="s">
        <v>174</v>
      </c>
    </row>
    <row r="4144" spans="1:5" ht="27" x14ac:dyDescent="0.25">
      <c r="A4144" s="508">
        <v>89741</v>
      </c>
      <c r="B4144" s="509" t="s">
        <v>6543</v>
      </c>
      <c r="C4144" s="508" t="s">
        <v>107</v>
      </c>
      <c r="D4144" s="508">
        <v>20.87</v>
      </c>
      <c r="E4144" s="461" t="s">
        <v>174</v>
      </c>
    </row>
    <row r="4145" spans="1:5" ht="27" x14ac:dyDescent="0.25">
      <c r="A4145" s="508">
        <v>89742</v>
      </c>
      <c r="B4145" s="509" t="s">
        <v>6544</v>
      </c>
      <c r="C4145" s="508" t="s">
        <v>107</v>
      </c>
      <c r="D4145" s="508">
        <v>36.06</v>
      </c>
      <c r="E4145" s="461" t="s">
        <v>174</v>
      </c>
    </row>
    <row r="4146" spans="1:5" ht="27" x14ac:dyDescent="0.25">
      <c r="A4146" s="508">
        <v>89743</v>
      </c>
      <c r="B4146" s="509" t="s">
        <v>6545</v>
      </c>
      <c r="C4146" s="508" t="s">
        <v>107</v>
      </c>
      <c r="D4146" s="508">
        <v>53.28</v>
      </c>
      <c r="E4146" s="461" t="s">
        <v>174</v>
      </c>
    </row>
    <row r="4147" spans="1:5" ht="27" x14ac:dyDescent="0.25">
      <c r="A4147" s="508">
        <v>89744</v>
      </c>
      <c r="B4147" s="509" t="s">
        <v>6546</v>
      </c>
      <c r="C4147" s="508" t="s">
        <v>107</v>
      </c>
      <c r="D4147" s="508">
        <v>26.56</v>
      </c>
      <c r="E4147" s="461" t="s">
        <v>174</v>
      </c>
    </row>
    <row r="4148" spans="1:5" ht="27" x14ac:dyDescent="0.25">
      <c r="A4148" s="508">
        <v>89746</v>
      </c>
      <c r="B4148" s="509" t="s">
        <v>6547</v>
      </c>
      <c r="C4148" s="508" t="s">
        <v>107</v>
      </c>
      <c r="D4148" s="508">
        <v>27.26</v>
      </c>
      <c r="E4148" s="461" t="s">
        <v>174</v>
      </c>
    </row>
    <row r="4149" spans="1:5" ht="27" x14ac:dyDescent="0.25">
      <c r="A4149" s="508">
        <v>89747</v>
      </c>
      <c r="B4149" s="509" t="s">
        <v>6548</v>
      </c>
      <c r="C4149" s="508" t="s">
        <v>107</v>
      </c>
      <c r="D4149" s="508">
        <v>26.23</v>
      </c>
      <c r="E4149" s="461" t="s">
        <v>174</v>
      </c>
    </row>
    <row r="4150" spans="1:5" ht="27" x14ac:dyDescent="0.25">
      <c r="A4150" s="508">
        <v>89748</v>
      </c>
      <c r="B4150" s="509" t="s">
        <v>6549</v>
      </c>
      <c r="C4150" s="508" t="s">
        <v>107</v>
      </c>
      <c r="D4150" s="508">
        <v>39.14</v>
      </c>
      <c r="E4150" s="461" t="s">
        <v>174</v>
      </c>
    </row>
    <row r="4151" spans="1:5" ht="27" x14ac:dyDescent="0.25">
      <c r="A4151" s="508">
        <v>89749</v>
      </c>
      <c r="B4151" s="509" t="s">
        <v>6550</v>
      </c>
      <c r="C4151" s="508" t="s">
        <v>107</v>
      </c>
      <c r="D4151" s="508">
        <v>15.6</v>
      </c>
      <c r="E4151" s="461" t="s">
        <v>174</v>
      </c>
    </row>
    <row r="4152" spans="1:5" ht="27" x14ac:dyDescent="0.25">
      <c r="A4152" s="508">
        <v>89750</v>
      </c>
      <c r="B4152" s="509" t="s">
        <v>6551</v>
      </c>
      <c r="C4152" s="508" t="s">
        <v>107</v>
      </c>
      <c r="D4152" s="508">
        <v>68.45</v>
      </c>
      <c r="E4152" s="461" t="s">
        <v>174</v>
      </c>
    </row>
    <row r="4153" spans="1:5" ht="27" x14ac:dyDescent="0.25">
      <c r="A4153" s="508">
        <v>89752</v>
      </c>
      <c r="B4153" s="509" t="s">
        <v>6552</v>
      </c>
      <c r="C4153" s="508" t="s">
        <v>107</v>
      </c>
      <c r="D4153" s="508">
        <v>7.75</v>
      </c>
      <c r="E4153" s="461" t="s">
        <v>174</v>
      </c>
    </row>
    <row r="4154" spans="1:5" ht="27" x14ac:dyDescent="0.25">
      <c r="A4154" s="508">
        <v>89753</v>
      </c>
      <c r="B4154" s="509" t="s">
        <v>6553</v>
      </c>
      <c r="C4154" s="508" t="s">
        <v>107</v>
      </c>
      <c r="D4154" s="508">
        <v>9.16</v>
      </c>
      <c r="E4154" s="461" t="s">
        <v>174</v>
      </c>
    </row>
    <row r="4155" spans="1:5" ht="27" x14ac:dyDescent="0.25">
      <c r="A4155" s="508">
        <v>89754</v>
      </c>
      <c r="B4155" s="509" t="s">
        <v>6554</v>
      </c>
      <c r="C4155" s="508" t="s">
        <v>107</v>
      </c>
      <c r="D4155" s="508">
        <v>19.16</v>
      </c>
      <c r="E4155" s="461" t="s">
        <v>174</v>
      </c>
    </row>
    <row r="4156" spans="1:5" ht="27" x14ac:dyDescent="0.25">
      <c r="A4156" s="508">
        <v>89755</v>
      </c>
      <c r="B4156" s="509" t="s">
        <v>6555</v>
      </c>
      <c r="C4156" s="508" t="s">
        <v>107</v>
      </c>
      <c r="D4156" s="508">
        <v>13.49</v>
      </c>
      <c r="E4156" s="461" t="s">
        <v>174</v>
      </c>
    </row>
    <row r="4157" spans="1:5" ht="27" x14ac:dyDescent="0.25">
      <c r="A4157" s="508">
        <v>89756</v>
      </c>
      <c r="B4157" s="509" t="s">
        <v>6556</v>
      </c>
      <c r="C4157" s="508" t="s">
        <v>107</v>
      </c>
      <c r="D4157" s="508">
        <v>21.4</v>
      </c>
      <c r="E4157" s="461" t="s">
        <v>174</v>
      </c>
    </row>
    <row r="4158" spans="1:5" ht="27" x14ac:dyDescent="0.25">
      <c r="A4158" s="508">
        <v>89757</v>
      </c>
      <c r="B4158" s="509" t="s">
        <v>6557</v>
      </c>
      <c r="C4158" s="508" t="s">
        <v>107</v>
      </c>
      <c r="D4158" s="508">
        <v>27.11</v>
      </c>
      <c r="E4158" s="461" t="s">
        <v>174</v>
      </c>
    </row>
    <row r="4159" spans="1:5" ht="27" x14ac:dyDescent="0.25">
      <c r="A4159" s="508">
        <v>89758</v>
      </c>
      <c r="B4159" s="509" t="s">
        <v>6558</v>
      </c>
      <c r="C4159" s="508" t="s">
        <v>107</v>
      </c>
      <c r="D4159" s="508">
        <v>32.630000000000003</v>
      </c>
      <c r="E4159" s="461" t="s">
        <v>174</v>
      </c>
    </row>
    <row r="4160" spans="1:5" ht="27" x14ac:dyDescent="0.25">
      <c r="A4160" s="508">
        <v>89759</v>
      </c>
      <c r="B4160" s="509" t="s">
        <v>6559</v>
      </c>
      <c r="C4160" s="508" t="s">
        <v>107</v>
      </c>
      <c r="D4160" s="508">
        <v>11.56</v>
      </c>
      <c r="E4160" s="461" t="s">
        <v>174</v>
      </c>
    </row>
    <row r="4161" spans="1:5" ht="27" x14ac:dyDescent="0.25">
      <c r="A4161" s="508">
        <v>89760</v>
      </c>
      <c r="B4161" s="509" t="s">
        <v>6560</v>
      </c>
      <c r="C4161" s="508" t="s">
        <v>107</v>
      </c>
      <c r="D4161" s="508">
        <v>20.81</v>
      </c>
      <c r="E4161" s="461" t="s">
        <v>174</v>
      </c>
    </row>
    <row r="4162" spans="1:5" ht="27" x14ac:dyDescent="0.25">
      <c r="A4162" s="508">
        <v>89761</v>
      </c>
      <c r="B4162" s="509" t="s">
        <v>6561</v>
      </c>
      <c r="C4162" s="508" t="s">
        <v>107</v>
      </c>
      <c r="D4162" s="508">
        <v>28.27</v>
      </c>
      <c r="E4162" s="461" t="s">
        <v>174</v>
      </c>
    </row>
    <row r="4163" spans="1:5" ht="27" x14ac:dyDescent="0.25">
      <c r="A4163" s="508">
        <v>89762</v>
      </c>
      <c r="B4163" s="509" t="s">
        <v>6562</v>
      </c>
      <c r="C4163" s="508" t="s">
        <v>107</v>
      </c>
      <c r="D4163" s="508">
        <v>38.950000000000003</v>
      </c>
      <c r="E4163" s="461" t="s">
        <v>174</v>
      </c>
    </row>
    <row r="4164" spans="1:5" ht="27" x14ac:dyDescent="0.25">
      <c r="A4164" s="508">
        <v>89763</v>
      </c>
      <c r="B4164" s="509" t="s">
        <v>6563</v>
      </c>
      <c r="C4164" s="508" t="s">
        <v>107</v>
      </c>
      <c r="D4164" s="508">
        <v>48.77</v>
      </c>
      <c r="E4164" s="461" t="s">
        <v>174</v>
      </c>
    </row>
    <row r="4165" spans="1:5" ht="27" x14ac:dyDescent="0.25">
      <c r="A4165" s="508">
        <v>89764</v>
      </c>
      <c r="B4165" s="509" t="s">
        <v>6564</v>
      </c>
      <c r="C4165" s="508" t="s">
        <v>107</v>
      </c>
      <c r="D4165" s="508">
        <v>33.11</v>
      </c>
      <c r="E4165" s="461" t="s">
        <v>174</v>
      </c>
    </row>
    <row r="4166" spans="1:5" ht="27" x14ac:dyDescent="0.25">
      <c r="A4166" s="508">
        <v>89765</v>
      </c>
      <c r="B4166" s="509" t="s">
        <v>6565</v>
      </c>
      <c r="C4166" s="508" t="s">
        <v>107</v>
      </c>
      <c r="D4166" s="508">
        <v>17.260000000000002</v>
      </c>
      <c r="E4166" s="461" t="s">
        <v>174</v>
      </c>
    </row>
    <row r="4167" spans="1:5" ht="27" x14ac:dyDescent="0.25">
      <c r="A4167" s="508">
        <v>89767</v>
      </c>
      <c r="B4167" s="509" t="s">
        <v>6566</v>
      </c>
      <c r="C4167" s="508" t="s">
        <v>107</v>
      </c>
      <c r="D4167" s="508">
        <v>20.8</v>
      </c>
      <c r="E4167" s="461" t="s">
        <v>174</v>
      </c>
    </row>
    <row r="4168" spans="1:5" ht="27" x14ac:dyDescent="0.25">
      <c r="A4168" s="508">
        <v>89768</v>
      </c>
      <c r="B4168" s="509" t="s">
        <v>6567</v>
      </c>
      <c r="C4168" s="508" t="s">
        <v>107</v>
      </c>
      <c r="D4168" s="508">
        <v>24.36</v>
      </c>
      <c r="E4168" s="461" t="s">
        <v>174</v>
      </c>
    </row>
    <row r="4169" spans="1:5" ht="27" x14ac:dyDescent="0.25">
      <c r="A4169" s="508">
        <v>89769</v>
      </c>
      <c r="B4169" s="509" t="s">
        <v>6568</v>
      </c>
      <c r="C4169" s="508" t="s">
        <v>107</v>
      </c>
      <c r="D4169" s="508">
        <v>50.5</v>
      </c>
      <c r="E4169" s="461" t="s">
        <v>174</v>
      </c>
    </row>
    <row r="4170" spans="1:5" ht="27" x14ac:dyDescent="0.25">
      <c r="A4170" s="508">
        <v>89772</v>
      </c>
      <c r="B4170" s="509" t="s">
        <v>6569</v>
      </c>
      <c r="C4170" s="508" t="s">
        <v>5</v>
      </c>
      <c r="D4170" s="508">
        <v>74.5</v>
      </c>
      <c r="E4170" s="461" t="s">
        <v>174</v>
      </c>
    </row>
    <row r="4171" spans="1:5" ht="27" x14ac:dyDescent="0.25">
      <c r="A4171" s="508">
        <v>89774</v>
      </c>
      <c r="B4171" s="509" t="s">
        <v>6570</v>
      </c>
      <c r="C4171" s="508" t="s">
        <v>107</v>
      </c>
      <c r="D4171" s="508">
        <v>14.84</v>
      </c>
      <c r="E4171" s="461" t="s">
        <v>174</v>
      </c>
    </row>
    <row r="4172" spans="1:5" ht="27" x14ac:dyDescent="0.25">
      <c r="A4172" s="508">
        <v>89776</v>
      </c>
      <c r="B4172" s="509" t="s">
        <v>6571</v>
      </c>
      <c r="C4172" s="508" t="s">
        <v>107</v>
      </c>
      <c r="D4172" s="508">
        <v>23.46</v>
      </c>
      <c r="E4172" s="461" t="s">
        <v>174</v>
      </c>
    </row>
    <row r="4173" spans="1:5" ht="27" x14ac:dyDescent="0.25">
      <c r="A4173" s="508">
        <v>89777</v>
      </c>
      <c r="B4173" s="509" t="s">
        <v>6572</v>
      </c>
      <c r="C4173" s="508" t="s">
        <v>107</v>
      </c>
      <c r="D4173" s="508">
        <v>23.53</v>
      </c>
      <c r="E4173" s="461" t="s">
        <v>174</v>
      </c>
    </row>
    <row r="4174" spans="1:5" ht="27" x14ac:dyDescent="0.25">
      <c r="A4174" s="508">
        <v>89778</v>
      </c>
      <c r="B4174" s="509" t="s">
        <v>6573</v>
      </c>
      <c r="C4174" s="508" t="s">
        <v>107</v>
      </c>
      <c r="D4174" s="508">
        <v>17.239999999999998</v>
      </c>
      <c r="E4174" s="461" t="s">
        <v>174</v>
      </c>
    </row>
    <row r="4175" spans="1:5" ht="27" x14ac:dyDescent="0.25">
      <c r="A4175" s="508">
        <v>89779</v>
      </c>
      <c r="B4175" s="509" t="s">
        <v>6574</v>
      </c>
      <c r="C4175" s="508" t="s">
        <v>107</v>
      </c>
      <c r="D4175" s="508">
        <v>31.59</v>
      </c>
      <c r="E4175" s="461" t="s">
        <v>174</v>
      </c>
    </row>
    <row r="4176" spans="1:5" ht="27" x14ac:dyDescent="0.25">
      <c r="A4176" s="508">
        <v>89780</v>
      </c>
      <c r="B4176" s="509" t="s">
        <v>6575</v>
      </c>
      <c r="C4176" s="508" t="s">
        <v>107</v>
      </c>
      <c r="D4176" s="508">
        <v>22.17</v>
      </c>
      <c r="E4176" s="461" t="s">
        <v>174</v>
      </c>
    </row>
    <row r="4177" spans="1:5" ht="27" x14ac:dyDescent="0.25">
      <c r="A4177" s="508">
        <v>89781</v>
      </c>
      <c r="B4177" s="509" t="s">
        <v>6576</v>
      </c>
      <c r="C4177" s="508" t="s">
        <v>107</v>
      </c>
      <c r="D4177" s="508">
        <v>32.81</v>
      </c>
      <c r="E4177" s="461" t="s">
        <v>174</v>
      </c>
    </row>
    <row r="4178" spans="1:5" ht="27" x14ac:dyDescent="0.25">
      <c r="A4178" s="508">
        <v>89782</v>
      </c>
      <c r="B4178" s="509" t="s">
        <v>6577</v>
      </c>
      <c r="C4178" s="508" t="s">
        <v>107</v>
      </c>
      <c r="D4178" s="508">
        <v>15.01</v>
      </c>
      <c r="E4178" s="461" t="s">
        <v>174</v>
      </c>
    </row>
    <row r="4179" spans="1:5" ht="27" x14ac:dyDescent="0.25">
      <c r="A4179" s="508">
        <v>89783</v>
      </c>
      <c r="B4179" s="509" t="s">
        <v>6578</v>
      </c>
      <c r="C4179" s="508" t="s">
        <v>107</v>
      </c>
      <c r="D4179" s="508">
        <v>15.1</v>
      </c>
      <c r="E4179" s="461" t="s">
        <v>174</v>
      </c>
    </row>
    <row r="4180" spans="1:5" ht="27" x14ac:dyDescent="0.25">
      <c r="A4180" s="508">
        <v>89784</v>
      </c>
      <c r="B4180" s="509" t="s">
        <v>6579</v>
      </c>
      <c r="C4180" s="508" t="s">
        <v>107</v>
      </c>
      <c r="D4180" s="508">
        <v>23.37</v>
      </c>
      <c r="E4180" s="461" t="s">
        <v>174</v>
      </c>
    </row>
    <row r="4181" spans="1:5" ht="27" x14ac:dyDescent="0.25">
      <c r="A4181" s="508">
        <v>89785</v>
      </c>
      <c r="B4181" s="509" t="s">
        <v>6580</v>
      </c>
      <c r="C4181" s="508" t="s">
        <v>107</v>
      </c>
      <c r="D4181" s="508">
        <v>25.34</v>
      </c>
      <c r="E4181" s="461" t="s">
        <v>174</v>
      </c>
    </row>
    <row r="4182" spans="1:5" ht="27" x14ac:dyDescent="0.25">
      <c r="A4182" s="508">
        <v>89786</v>
      </c>
      <c r="B4182" s="509" t="s">
        <v>6581</v>
      </c>
      <c r="C4182" s="508" t="s">
        <v>107</v>
      </c>
      <c r="D4182" s="508">
        <v>36.369999999999997</v>
      </c>
      <c r="E4182" s="461" t="s">
        <v>174</v>
      </c>
    </row>
    <row r="4183" spans="1:5" ht="27" x14ac:dyDescent="0.25">
      <c r="A4183" s="508">
        <v>89787</v>
      </c>
      <c r="B4183" s="509" t="s">
        <v>6582</v>
      </c>
      <c r="C4183" s="508" t="s">
        <v>107</v>
      </c>
      <c r="D4183" s="508">
        <v>32.479999999999997</v>
      </c>
      <c r="E4183" s="461" t="s">
        <v>174</v>
      </c>
    </row>
    <row r="4184" spans="1:5" ht="27" x14ac:dyDescent="0.25">
      <c r="A4184" s="508">
        <v>89788</v>
      </c>
      <c r="B4184" s="509" t="s">
        <v>6583</v>
      </c>
      <c r="C4184" s="508" t="s">
        <v>107</v>
      </c>
      <c r="D4184" s="508">
        <v>68.760000000000005</v>
      </c>
      <c r="E4184" s="461" t="s">
        <v>174</v>
      </c>
    </row>
    <row r="4185" spans="1:5" ht="27" x14ac:dyDescent="0.25">
      <c r="A4185" s="508">
        <v>89789</v>
      </c>
      <c r="B4185" s="509" t="s">
        <v>6584</v>
      </c>
      <c r="C4185" s="508" t="s">
        <v>107</v>
      </c>
      <c r="D4185" s="508">
        <v>58.87</v>
      </c>
      <c r="E4185" s="461" t="s">
        <v>174</v>
      </c>
    </row>
    <row r="4186" spans="1:5" ht="27" x14ac:dyDescent="0.25">
      <c r="A4186" s="508">
        <v>89790</v>
      </c>
      <c r="B4186" s="509" t="s">
        <v>6585</v>
      </c>
      <c r="C4186" s="508" t="s">
        <v>107</v>
      </c>
      <c r="D4186" s="508">
        <v>134.94999999999999</v>
      </c>
      <c r="E4186" s="461" t="s">
        <v>174</v>
      </c>
    </row>
    <row r="4187" spans="1:5" ht="27" x14ac:dyDescent="0.25">
      <c r="A4187" s="508">
        <v>89791</v>
      </c>
      <c r="B4187" s="509" t="s">
        <v>6586</v>
      </c>
      <c r="C4187" s="508" t="s">
        <v>107</v>
      </c>
      <c r="D4187" s="508">
        <v>130.47999999999999</v>
      </c>
      <c r="E4187" s="461" t="s">
        <v>174</v>
      </c>
    </row>
    <row r="4188" spans="1:5" ht="27" x14ac:dyDescent="0.25">
      <c r="A4188" s="508">
        <v>89792</v>
      </c>
      <c r="B4188" s="509" t="s">
        <v>6587</v>
      </c>
      <c r="C4188" s="508" t="s">
        <v>107</v>
      </c>
      <c r="D4188" s="508">
        <v>160.44</v>
      </c>
      <c r="E4188" s="461" t="s">
        <v>174</v>
      </c>
    </row>
    <row r="4189" spans="1:5" ht="27" x14ac:dyDescent="0.25">
      <c r="A4189" s="508">
        <v>89793</v>
      </c>
      <c r="B4189" s="509" t="s">
        <v>6588</v>
      </c>
      <c r="C4189" s="508" t="s">
        <v>107</v>
      </c>
      <c r="D4189" s="508">
        <v>188.28</v>
      </c>
      <c r="E4189" s="461" t="s">
        <v>174</v>
      </c>
    </row>
    <row r="4190" spans="1:5" ht="27" x14ac:dyDescent="0.25">
      <c r="A4190" s="508">
        <v>89794</v>
      </c>
      <c r="B4190" s="509" t="s">
        <v>6589</v>
      </c>
      <c r="C4190" s="508" t="s">
        <v>107</v>
      </c>
      <c r="D4190" s="508">
        <v>17.95</v>
      </c>
      <c r="E4190" s="461" t="s">
        <v>174</v>
      </c>
    </row>
    <row r="4191" spans="1:5" ht="27" x14ac:dyDescent="0.25">
      <c r="A4191" s="508">
        <v>89795</v>
      </c>
      <c r="B4191" s="509" t="s">
        <v>6590</v>
      </c>
      <c r="C4191" s="508" t="s">
        <v>107</v>
      </c>
      <c r="D4191" s="508">
        <v>38.11</v>
      </c>
      <c r="E4191" s="461" t="s">
        <v>174</v>
      </c>
    </row>
    <row r="4192" spans="1:5" ht="27" x14ac:dyDescent="0.25">
      <c r="A4192" s="508">
        <v>89796</v>
      </c>
      <c r="B4192" s="509" t="s">
        <v>6591</v>
      </c>
      <c r="C4192" s="508" t="s">
        <v>107</v>
      </c>
      <c r="D4192" s="508">
        <v>41.06</v>
      </c>
      <c r="E4192" s="461" t="s">
        <v>174</v>
      </c>
    </row>
    <row r="4193" spans="1:5" ht="27" x14ac:dyDescent="0.25">
      <c r="A4193" s="508">
        <v>89797</v>
      </c>
      <c r="B4193" s="509" t="s">
        <v>6592</v>
      </c>
      <c r="C4193" s="508" t="s">
        <v>107</v>
      </c>
      <c r="D4193" s="508">
        <v>47.79</v>
      </c>
      <c r="E4193" s="461" t="s">
        <v>174</v>
      </c>
    </row>
    <row r="4194" spans="1:5" ht="27" x14ac:dyDescent="0.25">
      <c r="A4194" s="508">
        <v>89801</v>
      </c>
      <c r="B4194" s="509" t="s">
        <v>6593</v>
      </c>
      <c r="C4194" s="508" t="s">
        <v>107</v>
      </c>
      <c r="D4194" s="508">
        <v>9.19</v>
      </c>
      <c r="E4194" s="461" t="s">
        <v>174</v>
      </c>
    </row>
    <row r="4195" spans="1:5" ht="27" x14ac:dyDescent="0.25">
      <c r="A4195" s="508">
        <v>89802</v>
      </c>
      <c r="B4195" s="509" t="s">
        <v>6594</v>
      </c>
      <c r="C4195" s="508" t="s">
        <v>107</v>
      </c>
      <c r="D4195" s="508">
        <v>9.8000000000000007</v>
      </c>
      <c r="E4195" s="461" t="s">
        <v>174</v>
      </c>
    </row>
    <row r="4196" spans="1:5" ht="27" x14ac:dyDescent="0.25">
      <c r="A4196" s="508">
        <v>89803</v>
      </c>
      <c r="B4196" s="509" t="s">
        <v>6595</v>
      </c>
      <c r="C4196" s="508" t="s">
        <v>107</v>
      </c>
      <c r="D4196" s="508">
        <v>16.27</v>
      </c>
      <c r="E4196" s="461" t="s">
        <v>174</v>
      </c>
    </row>
    <row r="4197" spans="1:5" ht="27" x14ac:dyDescent="0.25">
      <c r="A4197" s="508">
        <v>89804</v>
      </c>
      <c r="B4197" s="509" t="s">
        <v>6596</v>
      </c>
      <c r="C4197" s="508" t="s">
        <v>107</v>
      </c>
      <c r="D4197" s="508">
        <v>18.09</v>
      </c>
      <c r="E4197" s="461" t="s">
        <v>174</v>
      </c>
    </row>
    <row r="4198" spans="1:5" ht="27" x14ac:dyDescent="0.25">
      <c r="A4198" s="508">
        <v>89805</v>
      </c>
      <c r="B4198" s="509" t="s">
        <v>6597</v>
      </c>
      <c r="C4198" s="508" t="s">
        <v>107</v>
      </c>
      <c r="D4198" s="508">
        <v>19.66</v>
      </c>
      <c r="E4198" s="461" t="s">
        <v>174</v>
      </c>
    </row>
    <row r="4199" spans="1:5" ht="27" x14ac:dyDescent="0.25">
      <c r="A4199" s="508">
        <v>89806</v>
      </c>
      <c r="B4199" s="509" t="s">
        <v>6598</v>
      </c>
      <c r="C4199" s="508" t="s">
        <v>107</v>
      </c>
      <c r="D4199" s="508">
        <v>20.47</v>
      </c>
      <c r="E4199" s="461" t="s">
        <v>174</v>
      </c>
    </row>
    <row r="4200" spans="1:5" ht="27" x14ac:dyDescent="0.25">
      <c r="A4200" s="508">
        <v>89807</v>
      </c>
      <c r="B4200" s="509" t="s">
        <v>6599</v>
      </c>
      <c r="C4200" s="508" t="s">
        <v>107</v>
      </c>
      <c r="D4200" s="508">
        <v>33.93</v>
      </c>
      <c r="E4200" s="461" t="s">
        <v>174</v>
      </c>
    </row>
    <row r="4201" spans="1:5" ht="27" x14ac:dyDescent="0.25">
      <c r="A4201" s="508">
        <v>89808</v>
      </c>
      <c r="B4201" s="509" t="s">
        <v>6600</v>
      </c>
      <c r="C4201" s="508" t="s">
        <v>107</v>
      </c>
      <c r="D4201" s="508">
        <v>51.15</v>
      </c>
      <c r="E4201" s="461" t="s">
        <v>174</v>
      </c>
    </row>
    <row r="4202" spans="1:5" ht="27" x14ac:dyDescent="0.25">
      <c r="A4202" s="508">
        <v>89809</v>
      </c>
      <c r="B4202" s="509" t="s">
        <v>6601</v>
      </c>
      <c r="C4202" s="508" t="s">
        <v>107</v>
      </c>
      <c r="D4202" s="508">
        <v>27.88</v>
      </c>
      <c r="E4202" s="461" t="s">
        <v>174</v>
      </c>
    </row>
    <row r="4203" spans="1:5" ht="27" x14ac:dyDescent="0.25">
      <c r="A4203" s="508">
        <v>89810</v>
      </c>
      <c r="B4203" s="509" t="s">
        <v>6602</v>
      </c>
      <c r="C4203" s="508" t="s">
        <v>107</v>
      </c>
      <c r="D4203" s="508">
        <v>28.58</v>
      </c>
      <c r="E4203" s="461" t="s">
        <v>174</v>
      </c>
    </row>
    <row r="4204" spans="1:5" ht="27" x14ac:dyDescent="0.25">
      <c r="A4204" s="508">
        <v>89811</v>
      </c>
      <c r="B4204" s="509" t="s">
        <v>6603</v>
      </c>
      <c r="C4204" s="508" t="s">
        <v>107</v>
      </c>
      <c r="D4204" s="508">
        <v>40.46</v>
      </c>
      <c r="E4204" s="461" t="s">
        <v>174</v>
      </c>
    </row>
    <row r="4205" spans="1:5" ht="27" x14ac:dyDescent="0.25">
      <c r="A4205" s="508">
        <v>89812</v>
      </c>
      <c r="B4205" s="509" t="s">
        <v>6604</v>
      </c>
      <c r="C4205" s="508" t="s">
        <v>107</v>
      </c>
      <c r="D4205" s="508">
        <v>69.77</v>
      </c>
      <c r="E4205" s="461" t="s">
        <v>174</v>
      </c>
    </row>
    <row r="4206" spans="1:5" ht="27" x14ac:dyDescent="0.25">
      <c r="A4206" s="508">
        <v>89813</v>
      </c>
      <c r="B4206" s="509" t="s">
        <v>6605</v>
      </c>
      <c r="C4206" s="508" t="s">
        <v>107</v>
      </c>
      <c r="D4206" s="508">
        <v>5.36</v>
      </c>
      <c r="E4206" s="461" t="s">
        <v>174</v>
      </c>
    </row>
    <row r="4207" spans="1:5" ht="27" x14ac:dyDescent="0.25">
      <c r="A4207" s="508">
        <v>89814</v>
      </c>
      <c r="B4207" s="509" t="s">
        <v>6606</v>
      </c>
      <c r="C4207" s="508" t="s">
        <v>107</v>
      </c>
      <c r="D4207" s="508">
        <v>15.43</v>
      </c>
      <c r="E4207" s="461" t="s">
        <v>174</v>
      </c>
    </row>
    <row r="4208" spans="1:5" ht="27" x14ac:dyDescent="0.25">
      <c r="A4208" s="508">
        <v>89815</v>
      </c>
      <c r="B4208" s="509" t="s">
        <v>6607</v>
      </c>
      <c r="C4208" s="508" t="s">
        <v>107</v>
      </c>
      <c r="D4208" s="508">
        <v>25.41</v>
      </c>
      <c r="E4208" s="461" t="s">
        <v>174</v>
      </c>
    </row>
    <row r="4209" spans="1:5" ht="27" x14ac:dyDescent="0.25">
      <c r="A4209" s="508">
        <v>89816</v>
      </c>
      <c r="B4209" s="509" t="s">
        <v>6608</v>
      </c>
      <c r="C4209" s="508" t="s">
        <v>107</v>
      </c>
      <c r="D4209" s="508">
        <v>36.090000000000003</v>
      </c>
      <c r="E4209" s="461" t="s">
        <v>174</v>
      </c>
    </row>
    <row r="4210" spans="1:5" ht="27" x14ac:dyDescent="0.25">
      <c r="A4210" s="508">
        <v>89817</v>
      </c>
      <c r="B4210" s="509" t="s">
        <v>6609</v>
      </c>
      <c r="C4210" s="508" t="s">
        <v>107</v>
      </c>
      <c r="D4210" s="508">
        <v>13.38</v>
      </c>
      <c r="E4210" s="461" t="s">
        <v>174</v>
      </c>
    </row>
    <row r="4211" spans="1:5" ht="27" x14ac:dyDescent="0.25">
      <c r="A4211" s="508">
        <v>89818</v>
      </c>
      <c r="B4211" s="509" t="s">
        <v>6610</v>
      </c>
      <c r="C4211" s="508" t="s">
        <v>107</v>
      </c>
      <c r="D4211" s="508">
        <v>45.96</v>
      </c>
      <c r="E4211" s="461" t="s">
        <v>174</v>
      </c>
    </row>
    <row r="4212" spans="1:5" ht="27" x14ac:dyDescent="0.25">
      <c r="A4212" s="508">
        <v>89819</v>
      </c>
      <c r="B4212" s="509" t="s">
        <v>6611</v>
      </c>
      <c r="C4212" s="508" t="s">
        <v>107</v>
      </c>
      <c r="D4212" s="508">
        <v>22.04</v>
      </c>
      <c r="E4212" s="461" t="s">
        <v>174</v>
      </c>
    </row>
    <row r="4213" spans="1:5" ht="27" x14ac:dyDescent="0.25">
      <c r="A4213" s="508">
        <v>89821</v>
      </c>
      <c r="B4213" s="509" t="s">
        <v>6612</v>
      </c>
      <c r="C4213" s="508" t="s">
        <v>107</v>
      </c>
      <c r="D4213" s="508">
        <v>18.13</v>
      </c>
      <c r="E4213" s="461" t="s">
        <v>174</v>
      </c>
    </row>
    <row r="4214" spans="1:5" ht="27" x14ac:dyDescent="0.25">
      <c r="A4214" s="508">
        <v>89822</v>
      </c>
      <c r="B4214" s="509" t="s">
        <v>6613</v>
      </c>
      <c r="C4214" s="508" t="s">
        <v>107</v>
      </c>
      <c r="D4214" s="508">
        <v>23.25</v>
      </c>
      <c r="E4214" s="461" t="s">
        <v>174</v>
      </c>
    </row>
    <row r="4215" spans="1:5" ht="27" x14ac:dyDescent="0.25">
      <c r="A4215" s="508">
        <v>89823</v>
      </c>
      <c r="B4215" s="509" t="s">
        <v>6614</v>
      </c>
      <c r="C4215" s="508" t="s">
        <v>107</v>
      </c>
      <c r="D4215" s="508">
        <v>32.479999999999997</v>
      </c>
      <c r="E4215" s="461" t="s">
        <v>174</v>
      </c>
    </row>
    <row r="4216" spans="1:5" ht="27" x14ac:dyDescent="0.25">
      <c r="A4216" s="508">
        <v>89824</v>
      </c>
      <c r="B4216" s="509" t="s">
        <v>6615</v>
      </c>
      <c r="C4216" s="508" t="s">
        <v>107</v>
      </c>
      <c r="D4216" s="508">
        <v>34.22</v>
      </c>
      <c r="E4216" s="461" t="s">
        <v>174</v>
      </c>
    </row>
    <row r="4217" spans="1:5" ht="27" x14ac:dyDescent="0.25">
      <c r="A4217" s="508">
        <v>89825</v>
      </c>
      <c r="B4217" s="509" t="s">
        <v>6616</v>
      </c>
      <c r="C4217" s="508" t="s">
        <v>107</v>
      </c>
      <c r="D4217" s="508">
        <v>15.91</v>
      </c>
      <c r="E4217" s="461" t="s">
        <v>174</v>
      </c>
    </row>
    <row r="4218" spans="1:5" ht="27" x14ac:dyDescent="0.25">
      <c r="A4218" s="508">
        <v>89826</v>
      </c>
      <c r="B4218" s="509" t="s">
        <v>6617</v>
      </c>
      <c r="C4218" s="508" t="s">
        <v>107</v>
      </c>
      <c r="D4218" s="508">
        <v>106.79</v>
      </c>
      <c r="E4218" s="461" t="s">
        <v>174</v>
      </c>
    </row>
    <row r="4219" spans="1:5" ht="27" x14ac:dyDescent="0.25">
      <c r="A4219" s="508">
        <v>89827</v>
      </c>
      <c r="B4219" s="509" t="s">
        <v>6618</v>
      </c>
      <c r="C4219" s="508" t="s">
        <v>107</v>
      </c>
      <c r="D4219" s="508">
        <v>17.88</v>
      </c>
      <c r="E4219" s="461" t="s">
        <v>174</v>
      </c>
    </row>
    <row r="4220" spans="1:5" ht="27" x14ac:dyDescent="0.25">
      <c r="A4220" s="508">
        <v>89828</v>
      </c>
      <c r="B4220" s="509" t="s">
        <v>6619</v>
      </c>
      <c r="C4220" s="508" t="s">
        <v>107</v>
      </c>
      <c r="D4220" s="508">
        <v>52.09</v>
      </c>
      <c r="E4220" s="461" t="s">
        <v>174</v>
      </c>
    </row>
    <row r="4221" spans="1:5" ht="27" x14ac:dyDescent="0.25">
      <c r="A4221" s="508">
        <v>89829</v>
      </c>
      <c r="B4221" s="509" t="s">
        <v>6620</v>
      </c>
      <c r="C4221" s="508" t="s">
        <v>107</v>
      </c>
      <c r="D4221" s="508">
        <v>33.53</v>
      </c>
      <c r="E4221" s="461" t="s">
        <v>174</v>
      </c>
    </row>
    <row r="4222" spans="1:5" ht="27" x14ac:dyDescent="0.25">
      <c r="A4222" s="508">
        <v>89830</v>
      </c>
      <c r="B4222" s="509" t="s">
        <v>6621</v>
      </c>
      <c r="C4222" s="508" t="s">
        <v>107</v>
      </c>
      <c r="D4222" s="508">
        <v>35.270000000000003</v>
      </c>
      <c r="E4222" s="461" t="s">
        <v>174</v>
      </c>
    </row>
    <row r="4223" spans="1:5" ht="27" x14ac:dyDescent="0.25">
      <c r="A4223" s="508">
        <v>89831</v>
      </c>
      <c r="B4223" s="509" t="s">
        <v>6622</v>
      </c>
      <c r="C4223" s="508" t="s">
        <v>107</v>
      </c>
      <c r="D4223" s="508">
        <v>55.37</v>
      </c>
      <c r="E4223" s="461" t="s">
        <v>174</v>
      </c>
    </row>
    <row r="4224" spans="1:5" ht="27" x14ac:dyDescent="0.25">
      <c r="A4224" s="508">
        <v>89832</v>
      </c>
      <c r="B4224" s="509" t="s">
        <v>6623</v>
      </c>
      <c r="C4224" s="508" t="s">
        <v>107</v>
      </c>
      <c r="D4224" s="508">
        <v>36.64</v>
      </c>
      <c r="E4224" s="461" t="s">
        <v>174</v>
      </c>
    </row>
    <row r="4225" spans="1:5" ht="27" x14ac:dyDescent="0.25">
      <c r="A4225" s="508">
        <v>89833</v>
      </c>
      <c r="B4225" s="509" t="s">
        <v>6624</v>
      </c>
      <c r="C4225" s="508" t="s">
        <v>107</v>
      </c>
      <c r="D4225" s="508">
        <v>42.84</v>
      </c>
      <c r="E4225" s="461" t="s">
        <v>174</v>
      </c>
    </row>
    <row r="4226" spans="1:5" ht="27" x14ac:dyDescent="0.25">
      <c r="A4226" s="508">
        <v>89834</v>
      </c>
      <c r="B4226" s="509" t="s">
        <v>6625</v>
      </c>
      <c r="C4226" s="508" t="s">
        <v>107</v>
      </c>
      <c r="D4226" s="508">
        <v>49.57</v>
      </c>
      <c r="E4226" s="461" t="s">
        <v>174</v>
      </c>
    </row>
    <row r="4227" spans="1:5" ht="27" x14ac:dyDescent="0.25">
      <c r="A4227" s="508">
        <v>89835</v>
      </c>
      <c r="B4227" s="509" t="s">
        <v>6626</v>
      </c>
      <c r="C4227" s="508" t="s">
        <v>107</v>
      </c>
      <c r="D4227" s="508">
        <v>39.049999999999997</v>
      </c>
      <c r="E4227" s="461" t="s">
        <v>174</v>
      </c>
    </row>
    <row r="4228" spans="1:5" ht="27" x14ac:dyDescent="0.25">
      <c r="A4228" s="508">
        <v>89836</v>
      </c>
      <c r="B4228" s="509" t="s">
        <v>6627</v>
      </c>
      <c r="C4228" s="508" t="s">
        <v>107</v>
      </c>
      <c r="D4228" s="508">
        <v>167.46</v>
      </c>
      <c r="E4228" s="461" t="s">
        <v>174</v>
      </c>
    </row>
    <row r="4229" spans="1:5" ht="27" x14ac:dyDescent="0.25">
      <c r="A4229" s="508">
        <v>89837</v>
      </c>
      <c r="B4229" s="509" t="s">
        <v>6628</v>
      </c>
      <c r="C4229" s="508" t="s">
        <v>107</v>
      </c>
      <c r="D4229" s="508">
        <v>113.17</v>
      </c>
      <c r="E4229" s="461" t="s">
        <v>174</v>
      </c>
    </row>
    <row r="4230" spans="1:5" ht="27" x14ac:dyDescent="0.25">
      <c r="A4230" s="508">
        <v>89838</v>
      </c>
      <c r="B4230" s="509" t="s">
        <v>6629</v>
      </c>
      <c r="C4230" s="508" t="s">
        <v>107</v>
      </c>
      <c r="D4230" s="508">
        <v>129.91999999999999</v>
      </c>
      <c r="E4230" s="461" t="s">
        <v>174</v>
      </c>
    </row>
    <row r="4231" spans="1:5" ht="27" x14ac:dyDescent="0.25">
      <c r="A4231" s="508">
        <v>89839</v>
      </c>
      <c r="B4231" s="509" t="s">
        <v>6630</v>
      </c>
      <c r="C4231" s="508" t="s">
        <v>107</v>
      </c>
      <c r="D4231" s="508">
        <v>146.88999999999999</v>
      </c>
      <c r="E4231" s="461" t="s">
        <v>174</v>
      </c>
    </row>
    <row r="4232" spans="1:5" ht="27" x14ac:dyDescent="0.25">
      <c r="A4232" s="508">
        <v>89840</v>
      </c>
      <c r="B4232" s="509" t="s">
        <v>6631</v>
      </c>
      <c r="C4232" s="508" t="s">
        <v>107</v>
      </c>
      <c r="D4232" s="508">
        <v>154.01</v>
      </c>
      <c r="E4232" s="461" t="s">
        <v>174</v>
      </c>
    </row>
    <row r="4233" spans="1:5" ht="27" x14ac:dyDescent="0.25">
      <c r="A4233" s="508">
        <v>89841</v>
      </c>
      <c r="B4233" s="509" t="s">
        <v>6632</v>
      </c>
      <c r="C4233" s="508" t="s">
        <v>107</v>
      </c>
      <c r="D4233" s="508">
        <v>222.85</v>
      </c>
      <c r="E4233" s="461" t="s">
        <v>174</v>
      </c>
    </row>
    <row r="4234" spans="1:5" ht="27" x14ac:dyDescent="0.25">
      <c r="A4234" s="508">
        <v>89842</v>
      </c>
      <c r="B4234" s="509" t="s">
        <v>6633</v>
      </c>
      <c r="C4234" s="508" t="s">
        <v>107</v>
      </c>
      <c r="D4234" s="508">
        <v>44.76</v>
      </c>
      <c r="E4234" s="461" t="s">
        <v>174</v>
      </c>
    </row>
    <row r="4235" spans="1:5" ht="27" x14ac:dyDescent="0.25">
      <c r="A4235" s="508">
        <v>89844</v>
      </c>
      <c r="B4235" s="509" t="s">
        <v>6634</v>
      </c>
      <c r="C4235" s="508" t="s">
        <v>107</v>
      </c>
      <c r="D4235" s="508">
        <v>56.14</v>
      </c>
      <c r="E4235" s="461" t="s">
        <v>174</v>
      </c>
    </row>
    <row r="4236" spans="1:5" ht="27" x14ac:dyDescent="0.25">
      <c r="A4236" s="508">
        <v>89845</v>
      </c>
      <c r="B4236" s="509" t="s">
        <v>6635</v>
      </c>
      <c r="C4236" s="508" t="s">
        <v>107</v>
      </c>
      <c r="D4236" s="508">
        <v>86.89</v>
      </c>
      <c r="E4236" s="461" t="s">
        <v>174</v>
      </c>
    </row>
    <row r="4237" spans="1:5" ht="27" x14ac:dyDescent="0.25">
      <c r="A4237" s="508">
        <v>89846</v>
      </c>
      <c r="B4237" s="509" t="s">
        <v>6636</v>
      </c>
      <c r="C4237" s="508" t="s">
        <v>107</v>
      </c>
      <c r="D4237" s="508">
        <v>181.86</v>
      </c>
      <c r="E4237" s="461" t="s">
        <v>174</v>
      </c>
    </row>
    <row r="4238" spans="1:5" ht="27" x14ac:dyDescent="0.25">
      <c r="A4238" s="508">
        <v>89847</v>
      </c>
      <c r="B4238" s="509" t="s">
        <v>6637</v>
      </c>
      <c r="C4238" s="508" t="s">
        <v>107</v>
      </c>
      <c r="D4238" s="508">
        <v>218.41</v>
      </c>
      <c r="E4238" s="461" t="s">
        <v>174</v>
      </c>
    </row>
    <row r="4239" spans="1:5" ht="27" x14ac:dyDescent="0.25">
      <c r="A4239" s="508">
        <v>89850</v>
      </c>
      <c r="B4239" s="509" t="s">
        <v>6638</v>
      </c>
      <c r="C4239" s="508" t="s">
        <v>107</v>
      </c>
      <c r="D4239" s="508">
        <v>31.13</v>
      </c>
      <c r="E4239" s="461" t="s">
        <v>174</v>
      </c>
    </row>
    <row r="4240" spans="1:5" ht="27" x14ac:dyDescent="0.25">
      <c r="A4240" s="508">
        <v>89851</v>
      </c>
      <c r="B4240" s="509" t="s">
        <v>6639</v>
      </c>
      <c r="C4240" s="508" t="s">
        <v>107</v>
      </c>
      <c r="D4240" s="508">
        <v>31.83</v>
      </c>
      <c r="E4240" s="461" t="s">
        <v>174</v>
      </c>
    </row>
    <row r="4241" spans="1:5" ht="27" x14ac:dyDescent="0.25">
      <c r="A4241" s="508">
        <v>89852</v>
      </c>
      <c r="B4241" s="509" t="s">
        <v>6640</v>
      </c>
      <c r="C4241" s="508" t="s">
        <v>107</v>
      </c>
      <c r="D4241" s="508">
        <v>43.71</v>
      </c>
      <c r="E4241" s="461" t="s">
        <v>174</v>
      </c>
    </row>
    <row r="4242" spans="1:5" ht="27" x14ac:dyDescent="0.25">
      <c r="A4242" s="508">
        <v>89853</v>
      </c>
      <c r="B4242" s="509" t="s">
        <v>6641</v>
      </c>
      <c r="C4242" s="508" t="s">
        <v>107</v>
      </c>
      <c r="D4242" s="508">
        <v>73.02</v>
      </c>
      <c r="E4242" s="461" t="s">
        <v>174</v>
      </c>
    </row>
    <row r="4243" spans="1:5" ht="27" x14ac:dyDescent="0.25">
      <c r="A4243" s="508">
        <v>89854</v>
      </c>
      <c r="B4243" s="509" t="s">
        <v>6642</v>
      </c>
      <c r="C4243" s="508" t="s">
        <v>107</v>
      </c>
      <c r="D4243" s="508">
        <v>95.67</v>
      </c>
      <c r="E4243" s="461" t="s">
        <v>174</v>
      </c>
    </row>
    <row r="4244" spans="1:5" ht="27" x14ac:dyDescent="0.25">
      <c r="A4244" s="508">
        <v>89855</v>
      </c>
      <c r="B4244" s="509" t="s">
        <v>6643</v>
      </c>
      <c r="C4244" s="508" t="s">
        <v>107</v>
      </c>
      <c r="D4244" s="508">
        <v>100.03</v>
      </c>
      <c r="E4244" s="461" t="s">
        <v>174</v>
      </c>
    </row>
    <row r="4245" spans="1:5" ht="27" x14ac:dyDescent="0.25">
      <c r="A4245" s="508">
        <v>89856</v>
      </c>
      <c r="B4245" s="509" t="s">
        <v>6644</v>
      </c>
      <c r="C4245" s="508" t="s">
        <v>107</v>
      </c>
      <c r="D4245" s="508">
        <v>20.28</v>
      </c>
      <c r="E4245" s="461" t="s">
        <v>174</v>
      </c>
    </row>
    <row r="4246" spans="1:5" ht="27" x14ac:dyDescent="0.25">
      <c r="A4246" s="508">
        <v>89857</v>
      </c>
      <c r="B4246" s="509" t="s">
        <v>6645</v>
      </c>
      <c r="C4246" s="508" t="s">
        <v>107</v>
      </c>
      <c r="D4246" s="508">
        <v>34.630000000000003</v>
      </c>
      <c r="E4246" s="461" t="s">
        <v>174</v>
      </c>
    </row>
    <row r="4247" spans="1:5" ht="27" x14ac:dyDescent="0.25">
      <c r="A4247" s="508">
        <v>89860</v>
      </c>
      <c r="B4247" s="509" t="s">
        <v>6646</v>
      </c>
      <c r="C4247" s="508" t="s">
        <v>107</v>
      </c>
      <c r="D4247" s="508">
        <v>47.16</v>
      </c>
      <c r="E4247" s="461" t="s">
        <v>174</v>
      </c>
    </row>
    <row r="4248" spans="1:5" ht="27" x14ac:dyDescent="0.25">
      <c r="A4248" s="508">
        <v>89861</v>
      </c>
      <c r="B4248" s="509" t="s">
        <v>6647</v>
      </c>
      <c r="C4248" s="508" t="s">
        <v>107</v>
      </c>
      <c r="D4248" s="508">
        <v>53.89</v>
      </c>
      <c r="E4248" s="461" t="s">
        <v>174</v>
      </c>
    </row>
    <row r="4249" spans="1:5" ht="27" x14ac:dyDescent="0.25">
      <c r="A4249" s="508">
        <v>89866</v>
      </c>
      <c r="B4249" s="509" t="s">
        <v>6648</v>
      </c>
      <c r="C4249" s="508" t="s">
        <v>107</v>
      </c>
      <c r="D4249" s="508">
        <v>7.79</v>
      </c>
      <c r="E4249" s="461" t="s">
        <v>174</v>
      </c>
    </row>
    <row r="4250" spans="1:5" ht="27" x14ac:dyDescent="0.25">
      <c r="A4250" s="508">
        <v>89867</v>
      </c>
      <c r="B4250" s="509" t="s">
        <v>6649</v>
      </c>
      <c r="C4250" s="508" t="s">
        <v>107</v>
      </c>
      <c r="D4250" s="508">
        <v>8.5500000000000007</v>
      </c>
      <c r="E4250" s="461" t="s">
        <v>174</v>
      </c>
    </row>
    <row r="4251" spans="1:5" ht="27" x14ac:dyDescent="0.25">
      <c r="A4251" s="508">
        <v>89868</v>
      </c>
      <c r="B4251" s="509" t="s">
        <v>6650</v>
      </c>
      <c r="C4251" s="508" t="s">
        <v>107</v>
      </c>
      <c r="D4251" s="508">
        <v>5.89</v>
      </c>
      <c r="E4251" s="461" t="s">
        <v>174</v>
      </c>
    </row>
    <row r="4252" spans="1:5" ht="27" x14ac:dyDescent="0.25">
      <c r="A4252" s="508">
        <v>89869</v>
      </c>
      <c r="B4252" s="509" t="s">
        <v>6651</v>
      </c>
      <c r="C4252" s="508" t="s">
        <v>107</v>
      </c>
      <c r="D4252" s="508">
        <v>10.81</v>
      </c>
      <c r="E4252" s="461" t="s">
        <v>174</v>
      </c>
    </row>
    <row r="4253" spans="1:5" ht="27" x14ac:dyDescent="0.25">
      <c r="A4253" s="508">
        <v>89979</v>
      </c>
      <c r="B4253" s="509" t="s">
        <v>6652</v>
      </c>
      <c r="C4253" s="508" t="s">
        <v>107</v>
      </c>
      <c r="D4253" s="508">
        <v>24.43</v>
      </c>
      <c r="E4253" s="461" t="s">
        <v>174</v>
      </c>
    </row>
    <row r="4254" spans="1:5" ht="27" x14ac:dyDescent="0.25">
      <c r="A4254" s="508">
        <v>89981</v>
      </c>
      <c r="B4254" s="509" t="s">
        <v>6653</v>
      </c>
      <c r="C4254" s="508" t="s">
        <v>107</v>
      </c>
      <c r="D4254" s="508">
        <v>21.2</v>
      </c>
      <c r="E4254" s="461" t="s">
        <v>174</v>
      </c>
    </row>
    <row r="4255" spans="1:5" ht="27" x14ac:dyDescent="0.25">
      <c r="A4255" s="508">
        <v>90373</v>
      </c>
      <c r="B4255" s="509" t="s">
        <v>6654</v>
      </c>
      <c r="C4255" s="508" t="s">
        <v>107</v>
      </c>
      <c r="D4255" s="508">
        <v>13.33</v>
      </c>
      <c r="E4255" s="461" t="s">
        <v>174</v>
      </c>
    </row>
    <row r="4256" spans="1:5" ht="27" x14ac:dyDescent="0.25">
      <c r="A4256" s="508">
        <v>90374</v>
      </c>
      <c r="B4256" s="509" t="s">
        <v>6655</v>
      </c>
      <c r="C4256" s="508" t="s">
        <v>107</v>
      </c>
      <c r="D4256" s="508">
        <v>22.51</v>
      </c>
      <c r="E4256" s="461" t="s">
        <v>174</v>
      </c>
    </row>
    <row r="4257" spans="1:5" ht="27" x14ac:dyDescent="0.25">
      <c r="A4257" s="508">
        <v>92287</v>
      </c>
      <c r="B4257" s="509" t="s">
        <v>6656</v>
      </c>
      <c r="C4257" s="508" t="s">
        <v>107</v>
      </c>
      <c r="D4257" s="508">
        <v>19.63</v>
      </c>
      <c r="E4257" s="461" t="s">
        <v>174</v>
      </c>
    </row>
    <row r="4258" spans="1:5" ht="27" x14ac:dyDescent="0.25">
      <c r="A4258" s="508">
        <v>92288</v>
      </c>
      <c r="B4258" s="509" t="s">
        <v>6657</v>
      </c>
      <c r="C4258" s="508" t="s">
        <v>107</v>
      </c>
      <c r="D4258" s="508">
        <v>31.02</v>
      </c>
      <c r="E4258" s="461" t="s">
        <v>174</v>
      </c>
    </row>
    <row r="4259" spans="1:5" ht="27" x14ac:dyDescent="0.25">
      <c r="A4259" s="508">
        <v>92289</v>
      </c>
      <c r="B4259" s="509" t="s">
        <v>6658</v>
      </c>
      <c r="C4259" s="508" t="s">
        <v>107</v>
      </c>
      <c r="D4259" s="508">
        <v>55.12</v>
      </c>
      <c r="E4259" s="461" t="s">
        <v>174</v>
      </c>
    </row>
    <row r="4260" spans="1:5" ht="27" x14ac:dyDescent="0.25">
      <c r="A4260" s="508">
        <v>92290</v>
      </c>
      <c r="B4260" s="509" t="s">
        <v>6659</v>
      </c>
      <c r="C4260" s="508" t="s">
        <v>107</v>
      </c>
      <c r="D4260" s="508">
        <v>83.63</v>
      </c>
      <c r="E4260" s="461" t="s">
        <v>174</v>
      </c>
    </row>
    <row r="4261" spans="1:5" ht="27" x14ac:dyDescent="0.25">
      <c r="A4261" s="508">
        <v>92291</v>
      </c>
      <c r="B4261" s="509" t="s">
        <v>6660</v>
      </c>
      <c r="C4261" s="508" t="s">
        <v>107</v>
      </c>
      <c r="D4261" s="508">
        <v>129.68</v>
      </c>
      <c r="E4261" s="461" t="s">
        <v>174</v>
      </c>
    </row>
    <row r="4262" spans="1:5" ht="27" x14ac:dyDescent="0.25">
      <c r="A4262" s="508">
        <v>92292</v>
      </c>
      <c r="B4262" s="509" t="s">
        <v>6661</v>
      </c>
      <c r="C4262" s="508" t="s">
        <v>107</v>
      </c>
      <c r="D4262" s="508">
        <v>402.79</v>
      </c>
      <c r="E4262" s="461" t="s">
        <v>174</v>
      </c>
    </row>
    <row r="4263" spans="1:5" ht="27" x14ac:dyDescent="0.25">
      <c r="A4263" s="508">
        <v>92293</v>
      </c>
      <c r="B4263" s="509" t="s">
        <v>6662</v>
      </c>
      <c r="C4263" s="508" t="s">
        <v>107</v>
      </c>
      <c r="D4263" s="508">
        <v>11.12</v>
      </c>
      <c r="E4263" s="461" t="s">
        <v>174</v>
      </c>
    </row>
    <row r="4264" spans="1:5" ht="27" x14ac:dyDescent="0.25">
      <c r="A4264" s="508">
        <v>92294</v>
      </c>
      <c r="B4264" s="509" t="s">
        <v>6663</v>
      </c>
      <c r="C4264" s="508" t="s">
        <v>107</v>
      </c>
      <c r="D4264" s="508">
        <v>18.88</v>
      </c>
      <c r="E4264" s="461" t="s">
        <v>174</v>
      </c>
    </row>
    <row r="4265" spans="1:5" ht="27" x14ac:dyDescent="0.25">
      <c r="A4265" s="508">
        <v>92295</v>
      </c>
      <c r="B4265" s="509" t="s">
        <v>6664</v>
      </c>
      <c r="C4265" s="508" t="s">
        <v>107</v>
      </c>
      <c r="D4265" s="508">
        <v>35.729999999999997</v>
      </c>
      <c r="E4265" s="461" t="s">
        <v>174</v>
      </c>
    </row>
    <row r="4266" spans="1:5" ht="27" x14ac:dyDescent="0.25">
      <c r="A4266" s="508">
        <v>92296</v>
      </c>
      <c r="B4266" s="509" t="s">
        <v>6665</v>
      </c>
      <c r="C4266" s="508" t="s">
        <v>107</v>
      </c>
      <c r="D4266" s="508">
        <v>47.38</v>
      </c>
      <c r="E4266" s="461" t="s">
        <v>174</v>
      </c>
    </row>
    <row r="4267" spans="1:5" ht="27" x14ac:dyDescent="0.25">
      <c r="A4267" s="508">
        <v>92297</v>
      </c>
      <c r="B4267" s="509" t="s">
        <v>6666</v>
      </c>
      <c r="C4267" s="508" t="s">
        <v>107</v>
      </c>
      <c r="D4267" s="508">
        <v>73.58</v>
      </c>
      <c r="E4267" s="461" t="s">
        <v>174</v>
      </c>
    </row>
    <row r="4268" spans="1:5" ht="27" x14ac:dyDescent="0.25">
      <c r="A4268" s="508">
        <v>92298</v>
      </c>
      <c r="B4268" s="509" t="s">
        <v>6667</v>
      </c>
      <c r="C4268" s="508" t="s">
        <v>107</v>
      </c>
      <c r="D4268" s="508">
        <v>207.38</v>
      </c>
      <c r="E4268" s="461" t="s">
        <v>174</v>
      </c>
    </row>
    <row r="4269" spans="1:5" ht="27" x14ac:dyDescent="0.25">
      <c r="A4269" s="508">
        <v>92299</v>
      </c>
      <c r="B4269" s="509" t="s">
        <v>6668</v>
      </c>
      <c r="C4269" s="508" t="s">
        <v>107</v>
      </c>
      <c r="D4269" s="508">
        <v>25.82</v>
      </c>
      <c r="E4269" s="461" t="s">
        <v>174</v>
      </c>
    </row>
    <row r="4270" spans="1:5" ht="27" x14ac:dyDescent="0.25">
      <c r="A4270" s="508">
        <v>92300</v>
      </c>
      <c r="B4270" s="509" t="s">
        <v>6669</v>
      </c>
      <c r="C4270" s="508" t="s">
        <v>107</v>
      </c>
      <c r="D4270" s="508">
        <v>39.42</v>
      </c>
      <c r="E4270" s="461" t="s">
        <v>174</v>
      </c>
    </row>
    <row r="4271" spans="1:5" ht="27" x14ac:dyDescent="0.25">
      <c r="A4271" s="508">
        <v>92301</v>
      </c>
      <c r="B4271" s="509" t="s">
        <v>6670</v>
      </c>
      <c r="C4271" s="508" t="s">
        <v>107</v>
      </c>
      <c r="D4271" s="508">
        <v>78.31</v>
      </c>
      <c r="E4271" s="461" t="s">
        <v>174</v>
      </c>
    </row>
    <row r="4272" spans="1:5" ht="27" x14ac:dyDescent="0.25">
      <c r="A4272" s="508">
        <v>92302</v>
      </c>
      <c r="B4272" s="509" t="s">
        <v>6671</v>
      </c>
      <c r="C4272" s="508" t="s">
        <v>107</v>
      </c>
      <c r="D4272" s="508">
        <v>103.52</v>
      </c>
      <c r="E4272" s="461" t="s">
        <v>174</v>
      </c>
    </row>
    <row r="4273" spans="1:5" ht="27" x14ac:dyDescent="0.25">
      <c r="A4273" s="508">
        <v>92303</v>
      </c>
      <c r="B4273" s="509" t="s">
        <v>6672</v>
      </c>
      <c r="C4273" s="508" t="s">
        <v>107</v>
      </c>
      <c r="D4273" s="508">
        <v>190.33</v>
      </c>
      <c r="E4273" s="461" t="s">
        <v>174</v>
      </c>
    </row>
    <row r="4274" spans="1:5" ht="27" x14ac:dyDescent="0.25">
      <c r="A4274" s="508">
        <v>92304</v>
      </c>
      <c r="B4274" s="509" t="s">
        <v>6673</v>
      </c>
      <c r="C4274" s="508" t="s">
        <v>107</v>
      </c>
      <c r="D4274" s="508">
        <v>495.18</v>
      </c>
      <c r="E4274" s="461" t="s">
        <v>174</v>
      </c>
    </row>
    <row r="4275" spans="1:5" ht="27" x14ac:dyDescent="0.25">
      <c r="A4275" s="508">
        <v>92311</v>
      </c>
      <c r="B4275" s="509" t="s">
        <v>6674</v>
      </c>
      <c r="C4275" s="508" t="s">
        <v>107</v>
      </c>
      <c r="D4275" s="508">
        <v>14.42</v>
      </c>
      <c r="E4275" s="461" t="s">
        <v>174</v>
      </c>
    </row>
    <row r="4276" spans="1:5" ht="27" x14ac:dyDescent="0.25">
      <c r="A4276" s="508">
        <v>92312</v>
      </c>
      <c r="B4276" s="509" t="s">
        <v>6675</v>
      </c>
      <c r="C4276" s="508" t="s">
        <v>107</v>
      </c>
      <c r="D4276" s="508">
        <v>24.17</v>
      </c>
      <c r="E4276" s="461" t="s">
        <v>174</v>
      </c>
    </row>
    <row r="4277" spans="1:5" ht="27" x14ac:dyDescent="0.25">
      <c r="A4277" s="508">
        <v>92313</v>
      </c>
      <c r="B4277" s="509" t="s">
        <v>6676</v>
      </c>
      <c r="C4277" s="508" t="s">
        <v>107</v>
      </c>
      <c r="D4277" s="508">
        <v>35.21</v>
      </c>
      <c r="E4277" s="461" t="s">
        <v>174</v>
      </c>
    </row>
    <row r="4278" spans="1:5" ht="27" x14ac:dyDescent="0.25">
      <c r="A4278" s="508">
        <v>92314</v>
      </c>
      <c r="B4278" s="509" t="s">
        <v>6677</v>
      </c>
      <c r="C4278" s="508" t="s">
        <v>107</v>
      </c>
      <c r="D4278" s="508">
        <v>9.65</v>
      </c>
      <c r="E4278" s="461" t="s">
        <v>174</v>
      </c>
    </row>
    <row r="4279" spans="1:5" ht="27" x14ac:dyDescent="0.25">
      <c r="A4279" s="508">
        <v>92315</v>
      </c>
      <c r="B4279" s="509" t="s">
        <v>6678</v>
      </c>
      <c r="C4279" s="508" t="s">
        <v>107</v>
      </c>
      <c r="D4279" s="508">
        <v>14.16</v>
      </c>
      <c r="E4279" s="461" t="s">
        <v>174</v>
      </c>
    </row>
    <row r="4280" spans="1:5" ht="27" x14ac:dyDescent="0.25">
      <c r="A4280" s="508">
        <v>92316</v>
      </c>
      <c r="B4280" s="509" t="s">
        <v>6679</v>
      </c>
      <c r="C4280" s="508" t="s">
        <v>107</v>
      </c>
      <c r="D4280" s="508">
        <v>21.69</v>
      </c>
      <c r="E4280" s="461" t="s">
        <v>174</v>
      </c>
    </row>
    <row r="4281" spans="1:5" ht="27" x14ac:dyDescent="0.25">
      <c r="A4281" s="508">
        <v>92317</v>
      </c>
      <c r="B4281" s="509" t="s">
        <v>6680</v>
      </c>
      <c r="C4281" s="508" t="s">
        <v>107</v>
      </c>
      <c r="D4281" s="508">
        <v>20.239999999999998</v>
      </c>
      <c r="E4281" s="461" t="s">
        <v>174</v>
      </c>
    </row>
    <row r="4282" spans="1:5" ht="27" x14ac:dyDescent="0.25">
      <c r="A4282" s="508">
        <v>92318</v>
      </c>
      <c r="B4282" s="509" t="s">
        <v>6681</v>
      </c>
      <c r="C4282" s="508" t="s">
        <v>107</v>
      </c>
      <c r="D4282" s="508">
        <v>31.88</v>
      </c>
      <c r="E4282" s="461" t="s">
        <v>174</v>
      </c>
    </row>
    <row r="4283" spans="1:5" ht="27" x14ac:dyDescent="0.25">
      <c r="A4283" s="508">
        <v>92319</v>
      </c>
      <c r="B4283" s="509" t="s">
        <v>6682</v>
      </c>
      <c r="C4283" s="508" t="s">
        <v>107</v>
      </c>
      <c r="D4283" s="508">
        <v>45.03</v>
      </c>
      <c r="E4283" s="461" t="s">
        <v>174</v>
      </c>
    </row>
    <row r="4284" spans="1:5" ht="27" x14ac:dyDescent="0.25">
      <c r="A4284" s="508">
        <v>92326</v>
      </c>
      <c r="B4284" s="509" t="s">
        <v>6683</v>
      </c>
      <c r="C4284" s="508" t="s">
        <v>107</v>
      </c>
      <c r="D4284" s="508">
        <v>15.18</v>
      </c>
      <c r="E4284" s="461" t="s">
        <v>174</v>
      </c>
    </row>
    <row r="4285" spans="1:5" ht="27" x14ac:dyDescent="0.25">
      <c r="A4285" s="508">
        <v>92327</v>
      </c>
      <c r="B4285" s="509" t="s">
        <v>6684</v>
      </c>
      <c r="C4285" s="508" t="s">
        <v>107</v>
      </c>
      <c r="D4285" s="508">
        <v>27.54</v>
      </c>
      <c r="E4285" s="461" t="s">
        <v>174</v>
      </c>
    </row>
    <row r="4286" spans="1:5" ht="27" x14ac:dyDescent="0.25">
      <c r="A4286" s="508">
        <v>92328</v>
      </c>
      <c r="B4286" s="509" t="s">
        <v>6685</v>
      </c>
      <c r="C4286" s="508" t="s">
        <v>107</v>
      </c>
      <c r="D4286" s="508">
        <v>41.22</v>
      </c>
      <c r="E4286" s="461" t="s">
        <v>174</v>
      </c>
    </row>
    <row r="4287" spans="1:5" ht="27" x14ac:dyDescent="0.25">
      <c r="A4287" s="508">
        <v>92329</v>
      </c>
      <c r="B4287" s="509" t="s">
        <v>6686</v>
      </c>
      <c r="C4287" s="508" t="s">
        <v>107</v>
      </c>
      <c r="D4287" s="508">
        <v>9.84</v>
      </c>
      <c r="E4287" s="461" t="s">
        <v>174</v>
      </c>
    </row>
    <row r="4288" spans="1:5" ht="27" x14ac:dyDescent="0.25">
      <c r="A4288" s="508">
        <v>92330</v>
      </c>
      <c r="B4288" s="509" t="s">
        <v>6687</v>
      </c>
      <c r="C4288" s="508" t="s">
        <v>107</v>
      </c>
      <c r="D4288" s="508">
        <v>16.420000000000002</v>
      </c>
      <c r="E4288" s="461" t="s">
        <v>174</v>
      </c>
    </row>
    <row r="4289" spans="1:5" ht="27" x14ac:dyDescent="0.25">
      <c r="A4289" s="508">
        <v>92331</v>
      </c>
      <c r="B4289" s="509" t="s">
        <v>6688</v>
      </c>
      <c r="C4289" s="508" t="s">
        <v>107</v>
      </c>
      <c r="D4289" s="508">
        <v>25.72</v>
      </c>
      <c r="E4289" s="461" t="s">
        <v>174</v>
      </c>
    </row>
    <row r="4290" spans="1:5" ht="27" x14ac:dyDescent="0.25">
      <c r="A4290" s="508">
        <v>92332</v>
      </c>
      <c r="B4290" s="509" t="s">
        <v>6689</v>
      </c>
      <c r="C4290" s="508" t="s">
        <v>107</v>
      </c>
      <c r="D4290" s="508">
        <v>20.63</v>
      </c>
      <c r="E4290" s="461" t="s">
        <v>174</v>
      </c>
    </row>
    <row r="4291" spans="1:5" ht="27" x14ac:dyDescent="0.25">
      <c r="A4291" s="508">
        <v>92333</v>
      </c>
      <c r="B4291" s="509" t="s">
        <v>6690</v>
      </c>
      <c r="C4291" s="508" t="s">
        <v>107</v>
      </c>
      <c r="D4291" s="508">
        <v>36.36</v>
      </c>
      <c r="E4291" s="461" t="s">
        <v>174</v>
      </c>
    </row>
    <row r="4292" spans="1:5" ht="27" x14ac:dyDescent="0.25">
      <c r="A4292" s="508">
        <v>92334</v>
      </c>
      <c r="B4292" s="509" t="s">
        <v>6691</v>
      </c>
      <c r="C4292" s="508" t="s">
        <v>107</v>
      </c>
      <c r="D4292" s="508">
        <v>53.04</v>
      </c>
      <c r="E4292" s="461" t="s">
        <v>174</v>
      </c>
    </row>
    <row r="4293" spans="1:5" ht="27" x14ac:dyDescent="0.25">
      <c r="A4293" s="508">
        <v>92344</v>
      </c>
      <c r="B4293" s="509" t="s">
        <v>2740</v>
      </c>
      <c r="C4293" s="508" t="s">
        <v>107</v>
      </c>
      <c r="D4293" s="508">
        <v>74.650000000000006</v>
      </c>
      <c r="E4293" s="461" t="s">
        <v>174</v>
      </c>
    </row>
    <row r="4294" spans="1:5" ht="27" x14ac:dyDescent="0.25">
      <c r="A4294" s="508">
        <v>92345</v>
      </c>
      <c r="B4294" s="509" t="s">
        <v>2741</v>
      </c>
      <c r="C4294" s="508" t="s">
        <v>107</v>
      </c>
      <c r="D4294" s="508">
        <v>74.62</v>
      </c>
      <c r="E4294" s="461" t="s">
        <v>174</v>
      </c>
    </row>
    <row r="4295" spans="1:5" ht="27" x14ac:dyDescent="0.25">
      <c r="A4295" s="508">
        <v>92346</v>
      </c>
      <c r="B4295" s="509" t="s">
        <v>2742</v>
      </c>
      <c r="C4295" s="508" t="s">
        <v>107</v>
      </c>
      <c r="D4295" s="508">
        <v>98.67</v>
      </c>
      <c r="E4295" s="461" t="s">
        <v>174</v>
      </c>
    </row>
    <row r="4296" spans="1:5" ht="27" x14ac:dyDescent="0.25">
      <c r="A4296" s="508">
        <v>92347</v>
      </c>
      <c r="B4296" s="509" t="s">
        <v>2743</v>
      </c>
      <c r="C4296" s="508" t="s">
        <v>107</v>
      </c>
      <c r="D4296" s="508">
        <v>110.14</v>
      </c>
      <c r="E4296" s="461" t="s">
        <v>174</v>
      </c>
    </row>
    <row r="4297" spans="1:5" ht="27" x14ac:dyDescent="0.25">
      <c r="A4297" s="508">
        <v>92348</v>
      </c>
      <c r="B4297" s="509" t="s">
        <v>2744</v>
      </c>
      <c r="C4297" s="508" t="s">
        <v>107</v>
      </c>
      <c r="D4297" s="508">
        <v>139.46</v>
      </c>
      <c r="E4297" s="461" t="s">
        <v>174</v>
      </c>
    </row>
    <row r="4298" spans="1:5" ht="27" x14ac:dyDescent="0.25">
      <c r="A4298" s="508">
        <v>92349</v>
      </c>
      <c r="B4298" s="509" t="s">
        <v>2745</v>
      </c>
      <c r="C4298" s="508" t="s">
        <v>107</v>
      </c>
      <c r="D4298" s="508">
        <v>149.66999999999999</v>
      </c>
      <c r="E4298" s="461" t="s">
        <v>174</v>
      </c>
    </row>
    <row r="4299" spans="1:5" ht="27" x14ac:dyDescent="0.25">
      <c r="A4299" s="508">
        <v>92350</v>
      </c>
      <c r="B4299" s="509" t="s">
        <v>2746</v>
      </c>
      <c r="C4299" s="508" t="s">
        <v>107</v>
      </c>
      <c r="D4299" s="508">
        <v>111.03</v>
      </c>
      <c r="E4299" s="461" t="s">
        <v>174</v>
      </c>
    </row>
    <row r="4300" spans="1:5" ht="27" x14ac:dyDescent="0.25">
      <c r="A4300" s="508">
        <v>92351</v>
      </c>
      <c r="B4300" s="509" t="s">
        <v>2747</v>
      </c>
      <c r="C4300" s="508" t="s">
        <v>107</v>
      </c>
      <c r="D4300" s="508">
        <v>108.48</v>
      </c>
      <c r="E4300" s="461" t="s">
        <v>174</v>
      </c>
    </row>
    <row r="4301" spans="1:5" ht="27" x14ac:dyDescent="0.25">
      <c r="A4301" s="508">
        <v>92352</v>
      </c>
      <c r="B4301" s="509" t="s">
        <v>2748</v>
      </c>
      <c r="C4301" s="508" t="s">
        <v>107</v>
      </c>
      <c r="D4301" s="508">
        <v>170.09</v>
      </c>
      <c r="E4301" s="461" t="s">
        <v>174</v>
      </c>
    </row>
    <row r="4302" spans="1:5" ht="27" x14ac:dyDescent="0.25">
      <c r="A4302" s="508">
        <v>92353</v>
      </c>
      <c r="B4302" s="509" t="s">
        <v>2749</v>
      </c>
      <c r="C4302" s="508" t="s">
        <v>107</v>
      </c>
      <c r="D4302" s="508">
        <v>158.86000000000001</v>
      </c>
      <c r="E4302" s="461" t="s">
        <v>174</v>
      </c>
    </row>
    <row r="4303" spans="1:5" ht="27" x14ac:dyDescent="0.25">
      <c r="A4303" s="508">
        <v>92354</v>
      </c>
      <c r="B4303" s="509" t="s">
        <v>2750</v>
      </c>
      <c r="C4303" s="508" t="s">
        <v>107</v>
      </c>
      <c r="D4303" s="508">
        <v>226.82</v>
      </c>
      <c r="E4303" s="461" t="s">
        <v>174</v>
      </c>
    </row>
    <row r="4304" spans="1:5" ht="27" x14ac:dyDescent="0.25">
      <c r="A4304" s="508">
        <v>92355</v>
      </c>
      <c r="B4304" s="509" t="s">
        <v>2751</v>
      </c>
      <c r="C4304" s="508" t="s">
        <v>107</v>
      </c>
      <c r="D4304" s="510">
        <v>205.18</v>
      </c>
      <c r="E4304" s="461" t="s">
        <v>174</v>
      </c>
    </row>
    <row r="4305" spans="1:5" ht="27" x14ac:dyDescent="0.25">
      <c r="A4305" s="508">
        <v>92356</v>
      </c>
      <c r="B4305" s="509" t="s">
        <v>2752</v>
      </c>
      <c r="C4305" s="508" t="s">
        <v>107</v>
      </c>
      <c r="D4305" s="508">
        <v>144.58000000000001</v>
      </c>
      <c r="E4305" s="461" t="s">
        <v>174</v>
      </c>
    </row>
    <row r="4306" spans="1:5" ht="27" x14ac:dyDescent="0.25">
      <c r="A4306" s="508">
        <v>92357</v>
      </c>
      <c r="B4306" s="509" t="s">
        <v>2753</v>
      </c>
      <c r="C4306" s="508" t="s">
        <v>107</v>
      </c>
      <c r="D4306" s="508">
        <v>217.46</v>
      </c>
      <c r="E4306" s="461" t="s">
        <v>174</v>
      </c>
    </row>
    <row r="4307" spans="1:5" ht="27" x14ac:dyDescent="0.25">
      <c r="A4307" s="508">
        <v>92358</v>
      </c>
      <c r="B4307" s="509" t="s">
        <v>2754</v>
      </c>
      <c r="C4307" s="508" t="s">
        <v>107</v>
      </c>
      <c r="D4307" s="510">
        <v>271.49</v>
      </c>
      <c r="E4307" s="461" t="s">
        <v>174</v>
      </c>
    </row>
    <row r="4308" spans="1:5" ht="27" x14ac:dyDescent="0.25">
      <c r="A4308" s="508">
        <v>92369</v>
      </c>
      <c r="B4308" s="509" t="s">
        <v>2755</v>
      </c>
      <c r="C4308" s="508" t="s">
        <v>107</v>
      </c>
      <c r="D4308" s="508">
        <v>39.64</v>
      </c>
      <c r="E4308" s="461" t="s">
        <v>174</v>
      </c>
    </row>
    <row r="4309" spans="1:5" ht="27" x14ac:dyDescent="0.25">
      <c r="A4309" s="508">
        <v>92370</v>
      </c>
      <c r="B4309" s="509" t="s">
        <v>2756</v>
      </c>
      <c r="C4309" s="508" t="s">
        <v>107</v>
      </c>
      <c r="D4309" s="508">
        <v>41.7</v>
      </c>
      <c r="E4309" s="461" t="s">
        <v>174</v>
      </c>
    </row>
    <row r="4310" spans="1:5" ht="27" x14ac:dyDescent="0.25">
      <c r="A4310" s="508">
        <v>92371</v>
      </c>
      <c r="B4310" s="509" t="s">
        <v>2757</v>
      </c>
      <c r="C4310" s="508" t="s">
        <v>107</v>
      </c>
      <c r="D4310" s="508">
        <v>48.16</v>
      </c>
      <c r="E4310" s="461" t="s">
        <v>174</v>
      </c>
    </row>
    <row r="4311" spans="1:5" ht="27" x14ac:dyDescent="0.25">
      <c r="A4311" s="508">
        <v>92372</v>
      </c>
      <c r="B4311" s="509" t="s">
        <v>2758</v>
      </c>
      <c r="C4311" s="508" t="s">
        <v>107</v>
      </c>
      <c r="D4311" s="508">
        <v>50.09</v>
      </c>
      <c r="E4311" s="461" t="s">
        <v>174</v>
      </c>
    </row>
    <row r="4312" spans="1:5" ht="27" x14ac:dyDescent="0.25">
      <c r="A4312" s="508">
        <v>92373</v>
      </c>
      <c r="B4312" s="509" t="s">
        <v>2759</v>
      </c>
      <c r="C4312" s="508" t="s">
        <v>107</v>
      </c>
      <c r="D4312" s="508">
        <v>57.12</v>
      </c>
      <c r="E4312" s="461" t="s">
        <v>174</v>
      </c>
    </row>
    <row r="4313" spans="1:5" ht="27" x14ac:dyDescent="0.25">
      <c r="A4313" s="508">
        <v>92374</v>
      </c>
      <c r="B4313" s="509" t="s">
        <v>2760</v>
      </c>
      <c r="C4313" s="508" t="s">
        <v>107</v>
      </c>
      <c r="D4313" s="508">
        <v>57.49</v>
      </c>
      <c r="E4313" s="461" t="s">
        <v>174</v>
      </c>
    </row>
    <row r="4314" spans="1:5" ht="27" x14ac:dyDescent="0.25">
      <c r="A4314" s="508">
        <v>92375</v>
      </c>
      <c r="B4314" s="509" t="s">
        <v>2761</v>
      </c>
      <c r="C4314" s="508" t="s">
        <v>107</v>
      </c>
      <c r="D4314" s="508">
        <v>74.59</v>
      </c>
      <c r="E4314" s="461" t="s">
        <v>174</v>
      </c>
    </row>
    <row r="4315" spans="1:5" ht="27" x14ac:dyDescent="0.25">
      <c r="A4315" s="508">
        <v>92376</v>
      </c>
      <c r="B4315" s="509" t="s">
        <v>2762</v>
      </c>
      <c r="C4315" s="508" t="s">
        <v>107</v>
      </c>
      <c r="D4315" s="508">
        <v>74.56</v>
      </c>
      <c r="E4315" s="461" t="s">
        <v>174</v>
      </c>
    </row>
    <row r="4316" spans="1:5" ht="27" x14ac:dyDescent="0.25">
      <c r="A4316" s="508">
        <v>92377</v>
      </c>
      <c r="B4316" s="509" t="s">
        <v>2763</v>
      </c>
      <c r="C4316" s="508" t="s">
        <v>107</v>
      </c>
      <c r="D4316" s="508">
        <v>100.51</v>
      </c>
      <c r="E4316" s="461" t="s">
        <v>174</v>
      </c>
    </row>
    <row r="4317" spans="1:5" ht="27" x14ac:dyDescent="0.25">
      <c r="A4317" s="508">
        <v>92378</v>
      </c>
      <c r="B4317" s="509" t="s">
        <v>2764</v>
      </c>
      <c r="C4317" s="508" t="s">
        <v>107</v>
      </c>
      <c r="D4317" s="508">
        <v>111.98</v>
      </c>
      <c r="E4317" s="461" t="s">
        <v>174</v>
      </c>
    </row>
    <row r="4318" spans="1:5" ht="27" x14ac:dyDescent="0.25">
      <c r="A4318" s="508">
        <v>92379</v>
      </c>
      <c r="B4318" s="509" t="s">
        <v>2765</v>
      </c>
      <c r="C4318" s="508" t="s">
        <v>107</v>
      </c>
      <c r="D4318" s="508">
        <v>143.22999999999999</v>
      </c>
      <c r="E4318" s="461" t="s">
        <v>174</v>
      </c>
    </row>
    <row r="4319" spans="1:5" ht="27" x14ac:dyDescent="0.25">
      <c r="A4319" s="508">
        <v>92380</v>
      </c>
      <c r="B4319" s="509" t="s">
        <v>2766</v>
      </c>
      <c r="C4319" s="508" t="s">
        <v>107</v>
      </c>
      <c r="D4319" s="508">
        <v>153.44</v>
      </c>
      <c r="E4319" s="461" t="s">
        <v>174</v>
      </c>
    </row>
    <row r="4320" spans="1:5" ht="27" x14ac:dyDescent="0.25">
      <c r="A4320" s="508">
        <v>92381</v>
      </c>
      <c r="B4320" s="509" t="s">
        <v>2767</v>
      </c>
      <c r="C4320" s="508" t="s">
        <v>107</v>
      </c>
      <c r="D4320" s="508">
        <v>60.09</v>
      </c>
      <c r="E4320" s="461" t="s">
        <v>174</v>
      </c>
    </row>
    <row r="4321" spans="1:5" ht="27" x14ac:dyDescent="0.25">
      <c r="A4321" s="508">
        <v>92382</v>
      </c>
      <c r="B4321" s="509" t="s">
        <v>2768</v>
      </c>
      <c r="C4321" s="508" t="s">
        <v>107</v>
      </c>
      <c r="D4321" s="508">
        <v>57.35</v>
      </c>
      <c r="E4321" s="461" t="s">
        <v>174</v>
      </c>
    </row>
    <row r="4322" spans="1:5" ht="27" x14ac:dyDescent="0.25">
      <c r="A4322" s="508">
        <v>92383</v>
      </c>
      <c r="B4322" s="509" t="s">
        <v>2769</v>
      </c>
      <c r="C4322" s="508" t="s">
        <v>107</v>
      </c>
      <c r="D4322" s="508">
        <v>76.23</v>
      </c>
      <c r="E4322" s="461" t="s">
        <v>174</v>
      </c>
    </row>
    <row r="4323" spans="1:5" ht="27" x14ac:dyDescent="0.25">
      <c r="A4323" s="508">
        <v>92384</v>
      </c>
      <c r="B4323" s="509" t="s">
        <v>2770</v>
      </c>
      <c r="C4323" s="508" t="s">
        <v>107</v>
      </c>
      <c r="D4323" s="508">
        <v>70.78</v>
      </c>
      <c r="E4323" s="461" t="s">
        <v>174</v>
      </c>
    </row>
    <row r="4324" spans="1:5" ht="27" x14ac:dyDescent="0.25">
      <c r="A4324" s="508">
        <v>92385</v>
      </c>
      <c r="B4324" s="509" t="s">
        <v>2771</v>
      </c>
      <c r="C4324" s="508" t="s">
        <v>107</v>
      </c>
      <c r="D4324" s="508">
        <v>87.57</v>
      </c>
      <c r="E4324" s="461" t="s">
        <v>174</v>
      </c>
    </row>
    <row r="4325" spans="1:5" ht="27" x14ac:dyDescent="0.25">
      <c r="A4325" s="508">
        <v>92386</v>
      </c>
      <c r="B4325" s="509" t="s">
        <v>2772</v>
      </c>
      <c r="C4325" s="508" t="s">
        <v>107</v>
      </c>
      <c r="D4325" s="508">
        <v>83.81</v>
      </c>
      <c r="E4325" s="461" t="s">
        <v>174</v>
      </c>
    </row>
    <row r="4326" spans="1:5" ht="27" x14ac:dyDescent="0.25">
      <c r="A4326" s="508">
        <v>92387</v>
      </c>
      <c r="B4326" s="509" t="s">
        <v>2773</v>
      </c>
      <c r="C4326" s="508" t="s">
        <v>107</v>
      </c>
      <c r="D4326" s="508">
        <v>110.92</v>
      </c>
      <c r="E4326" s="461" t="s">
        <v>174</v>
      </c>
    </row>
    <row r="4327" spans="1:5" ht="27" x14ac:dyDescent="0.25">
      <c r="A4327" s="508">
        <v>92388</v>
      </c>
      <c r="B4327" s="509" t="s">
        <v>2774</v>
      </c>
      <c r="C4327" s="508" t="s">
        <v>107</v>
      </c>
      <c r="D4327" s="508">
        <v>108.37</v>
      </c>
      <c r="E4327" s="461" t="s">
        <v>174</v>
      </c>
    </row>
    <row r="4328" spans="1:5" ht="27" x14ac:dyDescent="0.25">
      <c r="A4328" s="508">
        <v>92389</v>
      </c>
      <c r="B4328" s="509" t="s">
        <v>2775</v>
      </c>
      <c r="C4328" s="508" t="s">
        <v>107</v>
      </c>
      <c r="D4328" s="508">
        <v>172.9</v>
      </c>
      <c r="E4328" s="461" t="s">
        <v>174</v>
      </c>
    </row>
    <row r="4329" spans="1:5" ht="27" x14ac:dyDescent="0.25">
      <c r="A4329" s="508">
        <v>92390</v>
      </c>
      <c r="B4329" s="509" t="s">
        <v>2776</v>
      </c>
      <c r="C4329" s="508" t="s">
        <v>107</v>
      </c>
      <c r="D4329" s="508">
        <v>161.66999999999999</v>
      </c>
      <c r="E4329" s="461" t="s">
        <v>174</v>
      </c>
    </row>
    <row r="4330" spans="1:5" ht="27" x14ac:dyDescent="0.25">
      <c r="A4330" s="508">
        <v>92635</v>
      </c>
      <c r="B4330" s="509" t="s">
        <v>2777</v>
      </c>
      <c r="C4330" s="508" t="s">
        <v>107</v>
      </c>
      <c r="D4330" s="508">
        <v>232.48</v>
      </c>
      <c r="E4330" s="461" t="s">
        <v>174</v>
      </c>
    </row>
    <row r="4331" spans="1:5" ht="27" x14ac:dyDescent="0.25">
      <c r="A4331" s="508">
        <v>92636</v>
      </c>
      <c r="B4331" s="509" t="s">
        <v>2778</v>
      </c>
      <c r="C4331" s="508" t="s">
        <v>107</v>
      </c>
      <c r="D4331" s="508">
        <v>210.84</v>
      </c>
      <c r="E4331" s="461" t="s">
        <v>174</v>
      </c>
    </row>
    <row r="4332" spans="1:5" ht="27" x14ac:dyDescent="0.25">
      <c r="A4332" s="508">
        <v>92637</v>
      </c>
      <c r="B4332" s="509" t="s">
        <v>2779</v>
      </c>
      <c r="C4332" s="508" t="s">
        <v>107</v>
      </c>
      <c r="D4332" s="508">
        <v>77.489999999999995</v>
      </c>
      <c r="E4332" s="461" t="s">
        <v>174</v>
      </c>
    </row>
    <row r="4333" spans="1:5" ht="27" x14ac:dyDescent="0.25">
      <c r="A4333" s="508">
        <v>92638</v>
      </c>
      <c r="B4333" s="509" t="s">
        <v>2780</v>
      </c>
      <c r="C4333" s="508" t="s">
        <v>107</v>
      </c>
      <c r="D4333" s="508">
        <v>95.04</v>
      </c>
      <c r="E4333" s="461" t="s">
        <v>174</v>
      </c>
    </row>
    <row r="4334" spans="1:5" ht="27" x14ac:dyDescent="0.25">
      <c r="A4334" s="508">
        <v>92639</v>
      </c>
      <c r="B4334" s="509" t="s">
        <v>2781</v>
      </c>
      <c r="C4334" s="508" t="s">
        <v>107</v>
      </c>
      <c r="D4334" s="508">
        <v>110.28</v>
      </c>
      <c r="E4334" s="461" t="s">
        <v>174</v>
      </c>
    </row>
    <row r="4335" spans="1:5" ht="27" x14ac:dyDescent="0.25">
      <c r="A4335" s="508">
        <v>92640</v>
      </c>
      <c r="B4335" s="509" t="s">
        <v>2782</v>
      </c>
      <c r="C4335" s="508" t="s">
        <v>107</v>
      </c>
      <c r="D4335" s="508">
        <v>144.41999999999999</v>
      </c>
      <c r="E4335" s="461" t="s">
        <v>174</v>
      </c>
    </row>
    <row r="4336" spans="1:5" ht="27" x14ac:dyDescent="0.25">
      <c r="A4336" s="508">
        <v>92642</v>
      </c>
      <c r="B4336" s="509" t="s">
        <v>2783</v>
      </c>
      <c r="C4336" s="508" t="s">
        <v>107</v>
      </c>
      <c r="D4336" s="508">
        <v>221.12</v>
      </c>
      <c r="E4336" s="461" t="s">
        <v>174</v>
      </c>
    </row>
    <row r="4337" spans="1:5" ht="27" x14ac:dyDescent="0.25">
      <c r="A4337" s="508">
        <v>92644</v>
      </c>
      <c r="B4337" s="509" t="s">
        <v>2784</v>
      </c>
      <c r="C4337" s="508" t="s">
        <v>107</v>
      </c>
      <c r="D4337" s="508">
        <v>279.04000000000002</v>
      </c>
      <c r="E4337" s="461" t="s">
        <v>174</v>
      </c>
    </row>
    <row r="4338" spans="1:5" ht="27" x14ac:dyDescent="0.25">
      <c r="A4338" s="508">
        <v>92657</v>
      </c>
      <c r="B4338" s="509" t="s">
        <v>2785</v>
      </c>
      <c r="C4338" s="508" t="s">
        <v>107</v>
      </c>
      <c r="D4338" s="508">
        <v>29.44</v>
      </c>
      <c r="E4338" s="461" t="s">
        <v>174</v>
      </c>
    </row>
    <row r="4339" spans="1:5" ht="27" x14ac:dyDescent="0.25">
      <c r="A4339" s="508">
        <v>92658</v>
      </c>
      <c r="B4339" s="509" t="s">
        <v>2786</v>
      </c>
      <c r="C4339" s="508" t="s">
        <v>107</v>
      </c>
      <c r="D4339" s="508">
        <v>31.5</v>
      </c>
      <c r="E4339" s="461" t="s">
        <v>174</v>
      </c>
    </row>
    <row r="4340" spans="1:5" ht="27" x14ac:dyDescent="0.25">
      <c r="A4340" s="508">
        <v>92659</v>
      </c>
      <c r="B4340" s="509" t="s">
        <v>2787</v>
      </c>
      <c r="C4340" s="508" t="s">
        <v>107</v>
      </c>
      <c r="D4340" s="508">
        <v>36.56</v>
      </c>
      <c r="E4340" s="461" t="s">
        <v>174</v>
      </c>
    </row>
    <row r="4341" spans="1:5" ht="27" x14ac:dyDescent="0.25">
      <c r="A4341" s="508">
        <v>92660</v>
      </c>
      <c r="B4341" s="509" t="s">
        <v>2788</v>
      </c>
      <c r="C4341" s="508" t="s">
        <v>107</v>
      </c>
      <c r="D4341" s="508">
        <v>38.49</v>
      </c>
      <c r="E4341" s="461" t="s">
        <v>174</v>
      </c>
    </row>
    <row r="4342" spans="1:5" ht="27" x14ac:dyDescent="0.25">
      <c r="A4342" s="508">
        <v>92661</v>
      </c>
      <c r="B4342" s="509" t="s">
        <v>2789</v>
      </c>
      <c r="C4342" s="508" t="s">
        <v>107</v>
      </c>
      <c r="D4342" s="508">
        <v>43.9</v>
      </c>
      <c r="E4342" s="461" t="s">
        <v>174</v>
      </c>
    </row>
    <row r="4343" spans="1:5" ht="27" x14ac:dyDescent="0.25">
      <c r="A4343" s="508">
        <v>92662</v>
      </c>
      <c r="B4343" s="509" t="s">
        <v>2790</v>
      </c>
      <c r="C4343" s="508" t="s">
        <v>107</v>
      </c>
      <c r="D4343" s="508">
        <v>44.27</v>
      </c>
      <c r="E4343" s="461" t="s">
        <v>174</v>
      </c>
    </row>
    <row r="4344" spans="1:5" ht="27" x14ac:dyDescent="0.25">
      <c r="A4344" s="508">
        <v>92663</v>
      </c>
      <c r="B4344" s="509" t="s">
        <v>2791</v>
      </c>
      <c r="C4344" s="508" t="s">
        <v>107</v>
      </c>
      <c r="D4344" s="508">
        <v>59.37</v>
      </c>
      <c r="E4344" s="461" t="s">
        <v>174</v>
      </c>
    </row>
    <row r="4345" spans="1:5" ht="27" x14ac:dyDescent="0.25">
      <c r="A4345" s="508">
        <v>92664</v>
      </c>
      <c r="B4345" s="509" t="s">
        <v>2792</v>
      </c>
      <c r="C4345" s="508" t="s">
        <v>107</v>
      </c>
      <c r="D4345" s="508">
        <v>59.34</v>
      </c>
      <c r="E4345" s="461" t="s">
        <v>174</v>
      </c>
    </row>
    <row r="4346" spans="1:5" ht="27" x14ac:dyDescent="0.25">
      <c r="A4346" s="508">
        <v>92665</v>
      </c>
      <c r="B4346" s="509" t="s">
        <v>2793</v>
      </c>
      <c r="C4346" s="508" t="s">
        <v>107</v>
      </c>
      <c r="D4346" s="508">
        <v>82.27</v>
      </c>
      <c r="E4346" s="461" t="s">
        <v>174</v>
      </c>
    </row>
    <row r="4347" spans="1:5" ht="27" x14ac:dyDescent="0.25">
      <c r="A4347" s="508">
        <v>92666</v>
      </c>
      <c r="B4347" s="509" t="s">
        <v>2794</v>
      </c>
      <c r="C4347" s="508" t="s">
        <v>107</v>
      </c>
      <c r="D4347" s="508">
        <v>93.74</v>
      </c>
      <c r="E4347" s="461" t="s">
        <v>174</v>
      </c>
    </row>
    <row r="4348" spans="1:5" ht="27" x14ac:dyDescent="0.25">
      <c r="A4348" s="508">
        <v>92667</v>
      </c>
      <c r="B4348" s="509" t="s">
        <v>2795</v>
      </c>
      <c r="C4348" s="508" t="s">
        <v>107</v>
      </c>
      <c r="D4348" s="508">
        <v>122.02</v>
      </c>
      <c r="E4348" s="461" t="s">
        <v>174</v>
      </c>
    </row>
    <row r="4349" spans="1:5" ht="27" x14ac:dyDescent="0.25">
      <c r="A4349" s="508">
        <v>92668</v>
      </c>
      <c r="B4349" s="509" t="s">
        <v>2796</v>
      </c>
      <c r="C4349" s="508" t="s">
        <v>107</v>
      </c>
      <c r="D4349" s="508">
        <v>132.22999999999999</v>
      </c>
      <c r="E4349" s="461" t="s">
        <v>174</v>
      </c>
    </row>
    <row r="4350" spans="1:5" ht="27" x14ac:dyDescent="0.25">
      <c r="A4350" s="508">
        <v>92669</v>
      </c>
      <c r="B4350" s="509" t="s">
        <v>2797</v>
      </c>
      <c r="C4350" s="508" t="s">
        <v>107</v>
      </c>
      <c r="D4350" s="508">
        <v>44.76</v>
      </c>
      <c r="E4350" s="461" t="s">
        <v>174</v>
      </c>
    </row>
    <row r="4351" spans="1:5" ht="27" x14ac:dyDescent="0.25">
      <c r="A4351" s="508">
        <v>92670</v>
      </c>
      <c r="B4351" s="509" t="s">
        <v>2798</v>
      </c>
      <c r="C4351" s="508" t="s">
        <v>107</v>
      </c>
      <c r="D4351" s="508">
        <v>42.02</v>
      </c>
      <c r="E4351" s="461" t="s">
        <v>174</v>
      </c>
    </row>
    <row r="4352" spans="1:5" ht="27" x14ac:dyDescent="0.25">
      <c r="A4352" s="508">
        <v>92671</v>
      </c>
      <c r="B4352" s="509" t="s">
        <v>2799</v>
      </c>
      <c r="C4352" s="508" t="s">
        <v>107</v>
      </c>
      <c r="D4352" s="508">
        <v>58.85</v>
      </c>
      <c r="E4352" s="461" t="s">
        <v>174</v>
      </c>
    </row>
    <row r="4353" spans="1:5" ht="27" x14ac:dyDescent="0.25">
      <c r="A4353" s="508">
        <v>92672</v>
      </c>
      <c r="B4353" s="509" t="s">
        <v>2800</v>
      </c>
      <c r="C4353" s="508" t="s">
        <v>107</v>
      </c>
      <c r="D4353" s="508">
        <v>53.4</v>
      </c>
      <c r="E4353" s="461" t="s">
        <v>174</v>
      </c>
    </row>
    <row r="4354" spans="1:5" ht="27" x14ac:dyDescent="0.25">
      <c r="A4354" s="508">
        <v>92673</v>
      </c>
      <c r="B4354" s="509" t="s">
        <v>2801</v>
      </c>
      <c r="C4354" s="508" t="s">
        <v>107</v>
      </c>
      <c r="D4354" s="508">
        <v>67.77</v>
      </c>
      <c r="E4354" s="461" t="s">
        <v>174</v>
      </c>
    </row>
    <row r="4355" spans="1:5" ht="27" x14ac:dyDescent="0.25">
      <c r="A4355" s="508">
        <v>92674</v>
      </c>
      <c r="B4355" s="509" t="s">
        <v>2802</v>
      </c>
      <c r="C4355" s="508" t="s">
        <v>107</v>
      </c>
      <c r="D4355" s="508">
        <v>64.010000000000005</v>
      </c>
      <c r="E4355" s="461" t="s">
        <v>174</v>
      </c>
    </row>
    <row r="4356" spans="1:5" ht="27" x14ac:dyDescent="0.25">
      <c r="A4356" s="508">
        <v>92675</v>
      </c>
      <c r="B4356" s="509" t="s">
        <v>2803</v>
      </c>
      <c r="C4356" s="508" t="s">
        <v>107</v>
      </c>
      <c r="D4356" s="508">
        <v>88.15</v>
      </c>
      <c r="E4356" s="461" t="s">
        <v>174</v>
      </c>
    </row>
    <row r="4357" spans="1:5" ht="27" x14ac:dyDescent="0.25">
      <c r="A4357" s="508">
        <v>92676</v>
      </c>
      <c r="B4357" s="509" t="s">
        <v>2804</v>
      </c>
      <c r="C4357" s="508" t="s">
        <v>107</v>
      </c>
      <c r="D4357" s="508">
        <v>85.6</v>
      </c>
      <c r="E4357" s="461" t="s">
        <v>174</v>
      </c>
    </row>
    <row r="4358" spans="1:5" ht="27" x14ac:dyDescent="0.25">
      <c r="A4358" s="508">
        <v>92677</v>
      </c>
      <c r="B4358" s="509" t="s">
        <v>2805</v>
      </c>
      <c r="C4358" s="508" t="s">
        <v>107</v>
      </c>
      <c r="D4358" s="508">
        <v>145.6</v>
      </c>
      <c r="E4358" s="461" t="s">
        <v>174</v>
      </c>
    </row>
    <row r="4359" spans="1:5" ht="27" x14ac:dyDescent="0.25">
      <c r="A4359" s="508">
        <v>92678</v>
      </c>
      <c r="B4359" s="509" t="s">
        <v>2806</v>
      </c>
      <c r="C4359" s="508" t="s">
        <v>107</v>
      </c>
      <c r="D4359" s="508">
        <v>134.37</v>
      </c>
      <c r="E4359" s="461" t="s">
        <v>174</v>
      </c>
    </row>
    <row r="4360" spans="1:5" ht="27" x14ac:dyDescent="0.25">
      <c r="A4360" s="508">
        <v>92679</v>
      </c>
      <c r="B4360" s="509" t="s">
        <v>2807</v>
      </c>
      <c r="C4360" s="508" t="s">
        <v>107</v>
      </c>
      <c r="D4360" s="508">
        <v>200.71</v>
      </c>
      <c r="E4360" s="461" t="s">
        <v>174</v>
      </c>
    </row>
    <row r="4361" spans="1:5" ht="27" x14ac:dyDescent="0.25">
      <c r="A4361" s="508">
        <v>92680</v>
      </c>
      <c r="B4361" s="509" t="s">
        <v>2808</v>
      </c>
      <c r="C4361" s="508" t="s">
        <v>107</v>
      </c>
      <c r="D4361" s="508">
        <v>179.07</v>
      </c>
      <c r="E4361" s="461" t="s">
        <v>174</v>
      </c>
    </row>
    <row r="4362" spans="1:5" ht="27" x14ac:dyDescent="0.25">
      <c r="A4362" s="508">
        <v>92681</v>
      </c>
      <c r="B4362" s="509" t="s">
        <v>2809</v>
      </c>
      <c r="C4362" s="508" t="s">
        <v>107</v>
      </c>
      <c r="D4362" s="508">
        <v>57.04</v>
      </c>
      <c r="E4362" s="461" t="s">
        <v>174</v>
      </c>
    </row>
    <row r="4363" spans="1:5" ht="27" x14ac:dyDescent="0.25">
      <c r="A4363" s="508">
        <v>92682</v>
      </c>
      <c r="B4363" s="509" t="s">
        <v>2810</v>
      </c>
      <c r="C4363" s="508" t="s">
        <v>107</v>
      </c>
      <c r="D4363" s="508">
        <v>71.78</v>
      </c>
      <c r="E4363" s="461" t="s">
        <v>174</v>
      </c>
    </row>
    <row r="4364" spans="1:5" ht="27" x14ac:dyDescent="0.25">
      <c r="A4364" s="508">
        <v>92683</v>
      </c>
      <c r="B4364" s="509" t="s">
        <v>2811</v>
      </c>
      <c r="C4364" s="508" t="s">
        <v>107</v>
      </c>
      <c r="D4364" s="508">
        <v>83.9</v>
      </c>
      <c r="E4364" s="461" t="s">
        <v>174</v>
      </c>
    </row>
    <row r="4365" spans="1:5" ht="27" x14ac:dyDescent="0.25">
      <c r="A4365" s="508">
        <v>92684</v>
      </c>
      <c r="B4365" s="509" t="s">
        <v>2812</v>
      </c>
      <c r="C4365" s="508" t="s">
        <v>107</v>
      </c>
      <c r="D4365" s="508">
        <v>114.03</v>
      </c>
      <c r="E4365" s="461" t="s">
        <v>174</v>
      </c>
    </row>
    <row r="4366" spans="1:5" ht="27" x14ac:dyDescent="0.25">
      <c r="A4366" s="508">
        <v>92685</v>
      </c>
      <c r="B4366" s="509" t="s">
        <v>2813</v>
      </c>
      <c r="C4366" s="508" t="s">
        <v>107</v>
      </c>
      <c r="D4366" s="508">
        <v>184.76</v>
      </c>
      <c r="E4366" s="461" t="s">
        <v>174</v>
      </c>
    </row>
    <row r="4367" spans="1:5" ht="27" x14ac:dyDescent="0.25">
      <c r="A4367" s="508">
        <v>92686</v>
      </c>
      <c r="B4367" s="509" t="s">
        <v>2814</v>
      </c>
      <c r="C4367" s="508" t="s">
        <v>107</v>
      </c>
      <c r="D4367" s="508">
        <v>236.62</v>
      </c>
      <c r="E4367" s="461" t="s">
        <v>174</v>
      </c>
    </row>
    <row r="4368" spans="1:5" ht="27" x14ac:dyDescent="0.25">
      <c r="A4368" s="508">
        <v>92692</v>
      </c>
      <c r="B4368" s="509" t="s">
        <v>2815</v>
      </c>
      <c r="C4368" s="508" t="s">
        <v>107</v>
      </c>
      <c r="D4368" s="508">
        <v>15.82</v>
      </c>
      <c r="E4368" s="461" t="s">
        <v>174</v>
      </c>
    </row>
    <row r="4369" spans="1:5" ht="27" x14ac:dyDescent="0.25">
      <c r="A4369" s="508">
        <v>92693</v>
      </c>
      <c r="B4369" s="509" t="s">
        <v>2816</v>
      </c>
      <c r="C4369" s="508" t="s">
        <v>107</v>
      </c>
      <c r="D4369" s="508">
        <v>16.28</v>
      </c>
      <c r="E4369" s="461" t="s">
        <v>174</v>
      </c>
    </row>
    <row r="4370" spans="1:5" ht="27" x14ac:dyDescent="0.25">
      <c r="A4370" s="508">
        <v>92694</v>
      </c>
      <c r="B4370" s="509" t="s">
        <v>2817</v>
      </c>
      <c r="C4370" s="508" t="s">
        <v>107</v>
      </c>
      <c r="D4370" s="508">
        <v>25.04</v>
      </c>
      <c r="E4370" s="461" t="s">
        <v>174</v>
      </c>
    </row>
    <row r="4371" spans="1:5" ht="27" x14ac:dyDescent="0.25">
      <c r="A4371" s="508">
        <v>92695</v>
      </c>
      <c r="B4371" s="509" t="s">
        <v>2818</v>
      </c>
      <c r="C4371" s="508" t="s">
        <v>107</v>
      </c>
      <c r="D4371" s="508">
        <v>25.5</v>
      </c>
      <c r="E4371" s="461" t="s">
        <v>174</v>
      </c>
    </row>
    <row r="4372" spans="1:5" ht="27" x14ac:dyDescent="0.25">
      <c r="A4372" s="508">
        <v>92696</v>
      </c>
      <c r="B4372" s="509" t="s">
        <v>2819</v>
      </c>
      <c r="C4372" s="508" t="s">
        <v>107</v>
      </c>
      <c r="D4372" s="508">
        <v>39.200000000000003</v>
      </c>
      <c r="E4372" s="461" t="s">
        <v>174</v>
      </c>
    </row>
    <row r="4373" spans="1:5" ht="27" x14ac:dyDescent="0.25">
      <c r="A4373" s="508">
        <v>92697</v>
      </c>
      <c r="B4373" s="509" t="s">
        <v>2820</v>
      </c>
      <c r="C4373" s="508" t="s">
        <v>107</v>
      </c>
      <c r="D4373" s="508">
        <v>41.26</v>
      </c>
      <c r="E4373" s="461" t="s">
        <v>174</v>
      </c>
    </row>
    <row r="4374" spans="1:5" ht="27" x14ac:dyDescent="0.25">
      <c r="A4374" s="508">
        <v>92698</v>
      </c>
      <c r="B4374" s="509" t="s">
        <v>2821</v>
      </c>
      <c r="C4374" s="508" t="s">
        <v>107</v>
      </c>
      <c r="D4374" s="508">
        <v>23.4</v>
      </c>
      <c r="E4374" s="461" t="s">
        <v>174</v>
      </c>
    </row>
    <row r="4375" spans="1:5" ht="27" x14ac:dyDescent="0.25">
      <c r="A4375" s="508">
        <v>92699</v>
      </c>
      <c r="B4375" s="509" t="s">
        <v>2822</v>
      </c>
      <c r="C4375" s="508" t="s">
        <v>107</v>
      </c>
      <c r="D4375" s="508">
        <v>21.91</v>
      </c>
      <c r="E4375" s="461" t="s">
        <v>174</v>
      </c>
    </row>
    <row r="4376" spans="1:5" ht="27" x14ac:dyDescent="0.25">
      <c r="A4376" s="508">
        <v>92700</v>
      </c>
      <c r="B4376" s="509" t="s">
        <v>2823</v>
      </c>
      <c r="C4376" s="508" t="s">
        <v>107</v>
      </c>
      <c r="D4376" s="508">
        <v>38.090000000000003</v>
      </c>
      <c r="E4376" s="461" t="s">
        <v>174</v>
      </c>
    </row>
    <row r="4377" spans="1:5" ht="27" x14ac:dyDescent="0.25">
      <c r="A4377" s="508">
        <v>92701</v>
      </c>
      <c r="B4377" s="509" t="s">
        <v>2824</v>
      </c>
      <c r="C4377" s="508" t="s">
        <v>107</v>
      </c>
      <c r="D4377" s="508">
        <v>35.869999999999997</v>
      </c>
      <c r="E4377" s="461" t="s">
        <v>174</v>
      </c>
    </row>
    <row r="4378" spans="1:5" ht="27" x14ac:dyDescent="0.25">
      <c r="A4378" s="508">
        <v>92702</v>
      </c>
      <c r="B4378" s="509" t="s">
        <v>2825</v>
      </c>
      <c r="C4378" s="508" t="s">
        <v>107</v>
      </c>
      <c r="D4378" s="508">
        <v>59.49</v>
      </c>
      <c r="E4378" s="461" t="s">
        <v>174</v>
      </c>
    </row>
    <row r="4379" spans="1:5" ht="27" x14ac:dyDescent="0.25">
      <c r="A4379" s="508">
        <v>92703</v>
      </c>
      <c r="B4379" s="509" t="s">
        <v>2826</v>
      </c>
      <c r="C4379" s="508" t="s">
        <v>107</v>
      </c>
      <c r="D4379" s="508">
        <v>56.75</v>
      </c>
      <c r="E4379" s="461" t="s">
        <v>174</v>
      </c>
    </row>
    <row r="4380" spans="1:5" ht="27" x14ac:dyDescent="0.25">
      <c r="A4380" s="508">
        <v>92704</v>
      </c>
      <c r="B4380" s="509" t="s">
        <v>2827</v>
      </c>
      <c r="C4380" s="508" t="s">
        <v>107</v>
      </c>
      <c r="D4380" s="508">
        <v>29.49</v>
      </c>
      <c r="E4380" s="461" t="s">
        <v>174</v>
      </c>
    </row>
    <row r="4381" spans="1:5" ht="27" x14ac:dyDescent="0.25">
      <c r="A4381" s="508">
        <v>92705</v>
      </c>
      <c r="B4381" s="509" t="s">
        <v>2828</v>
      </c>
      <c r="C4381" s="508" t="s">
        <v>107</v>
      </c>
      <c r="D4381" s="508">
        <v>47.38</v>
      </c>
      <c r="E4381" s="461" t="s">
        <v>174</v>
      </c>
    </row>
    <row r="4382" spans="1:5" ht="27" x14ac:dyDescent="0.25">
      <c r="A4382" s="508">
        <v>92706</v>
      </c>
      <c r="B4382" s="509" t="s">
        <v>2829</v>
      </c>
      <c r="C4382" s="508" t="s">
        <v>107</v>
      </c>
      <c r="D4382" s="508">
        <v>76.680000000000007</v>
      </c>
      <c r="E4382" s="461" t="s">
        <v>174</v>
      </c>
    </row>
    <row r="4383" spans="1:5" ht="27" x14ac:dyDescent="0.25">
      <c r="A4383" s="508">
        <v>92889</v>
      </c>
      <c r="B4383" s="509" t="s">
        <v>2830</v>
      </c>
      <c r="C4383" s="508" t="s">
        <v>107</v>
      </c>
      <c r="D4383" s="508">
        <v>149.11000000000001</v>
      </c>
      <c r="E4383" s="461" t="s">
        <v>174</v>
      </c>
    </row>
    <row r="4384" spans="1:5" ht="27" x14ac:dyDescent="0.25">
      <c r="A4384" s="508">
        <v>92890</v>
      </c>
      <c r="B4384" s="509" t="s">
        <v>2831</v>
      </c>
      <c r="C4384" s="508" t="s">
        <v>107</v>
      </c>
      <c r="D4384" s="508">
        <v>226.73</v>
      </c>
      <c r="E4384" s="461" t="s">
        <v>174</v>
      </c>
    </row>
    <row r="4385" spans="1:5" ht="27" x14ac:dyDescent="0.25">
      <c r="A4385" s="508">
        <v>92891</v>
      </c>
      <c r="B4385" s="509" t="s">
        <v>2832</v>
      </c>
      <c r="C4385" s="508" t="s">
        <v>107</v>
      </c>
      <c r="D4385" s="508">
        <v>333.21</v>
      </c>
      <c r="E4385" s="461" t="s">
        <v>174</v>
      </c>
    </row>
    <row r="4386" spans="1:5" ht="27" x14ac:dyDescent="0.25">
      <c r="A4386" s="508">
        <v>92892</v>
      </c>
      <c r="B4386" s="509" t="s">
        <v>2833</v>
      </c>
      <c r="C4386" s="508" t="s">
        <v>107</v>
      </c>
      <c r="D4386" s="508">
        <v>63.87</v>
      </c>
      <c r="E4386" s="461" t="s">
        <v>174</v>
      </c>
    </row>
    <row r="4387" spans="1:5" ht="27" x14ac:dyDescent="0.25">
      <c r="A4387" s="508">
        <v>92893</v>
      </c>
      <c r="B4387" s="509" t="s">
        <v>2834</v>
      </c>
      <c r="C4387" s="508" t="s">
        <v>107</v>
      </c>
      <c r="D4387" s="508">
        <v>91.3</v>
      </c>
      <c r="E4387" s="461" t="s">
        <v>174</v>
      </c>
    </row>
    <row r="4388" spans="1:5" ht="27" x14ac:dyDescent="0.25">
      <c r="A4388" s="508">
        <v>92894</v>
      </c>
      <c r="B4388" s="509" t="s">
        <v>2835</v>
      </c>
      <c r="C4388" s="508" t="s">
        <v>107</v>
      </c>
      <c r="D4388" s="510">
        <v>109.21</v>
      </c>
      <c r="E4388" s="461" t="s">
        <v>174</v>
      </c>
    </row>
    <row r="4389" spans="1:5" ht="27" x14ac:dyDescent="0.25">
      <c r="A4389" s="508">
        <v>92895</v>
      </c>
      <c r="B4389" s="509" t="s">
        <v>2836</v>
      </c>
      <c r="C4389" s="508" t="s">
        <v>107</v>
      </c>
      <c r="D4389" s="508">
        <v>149.05000000000001</v>
      </c>
      <c r="E4389" s="461" t="s">
        <v>174</v>
      </c>
    </row>
    <row r="4390" spans="1:5" ht="27" x14ac:dyDescent="0.25">
      <c r="A4390" s="508">
        <v>92896</v>
      </c>
      <c r="B4390" s="509" t="s">
        <v>2837</v>
      </c>
      <c r="C4390" s="508" t="s">
        <v>107</v>
      </c>
      <c r="D4390" s="508">
        <v>228.57</v>
      </c>
      <c r="E4390" s="461" t="s">
        <v>174</v>
      </c>
    </row>
    <row r="4391" spans="1:5" ht="27" x14ac:dyDescent="0.25">
      <c r="A4391" s="508">
        <v>92897</v>
      </c>
      <c r="B4391" s="509" t="s">
        <v>2838</v>
      </c>
      <c r="C4391" s="508" t="s">
        <v>107</v>
      </c>
      <c r="D4391" s="508">
        <v>336.98</v>
      </c>
      <c r="E4391" s="461" t="s">
        <v>174</v>
      </c>
    </row>
    <row r="4392" spans="1:5" ht="27" x14ac:dyDescent="0.25">
      <c r="A4392" s="508">
        <v>92898</v>
      </c>
      <c r="B4392" s="509" t="s">
        <v>2839</v>
      </c>
      <c r="C4392" s="508" t="s">
        <v>107</v>
      </c>
      <c r="D4392" s="508">
        <v>53.67</v>
      </c>
      <c r="E4392" s="461" t="s">
        <v>174</v>
      </c>
    </row>
    <row r="4393" spans="1:5" ht="27" x14ac:dyDescent="0.25">
      <c r="A4393" s="508">
        <v>92899</v>
      </c>
      <c r="B4393" s="509" t="s">
        <v>2840</v>
      </c>
      <c r="C4393" s="508" t="s">
        <v>107</v>
      </c>
      <c r="D4393" s="508">
        <v>79.7</v>
      </c>
      <c r="E4393" s="461" t="s">
        <v>174</v>
      </c>
    </row>
    <row r="4394" spans="1:5" ht="27" x14ac:dyDescent="0.25">
      <c r="A4394" s="508">
        <v>92900</v>
      </c>
      <c r="B4394" s="509" t="s">
        <v>2841</v>
      </c>
      <c r="C4394" s="508" t="s">
        <v>107</v>
      </c>
      <c r="D4394" s="508">
        <v>95.99</v>
      </c>
      <c r="E4394" s="461" t="s">
        <v>174</v>
      </c>
    </row>
    <row r="4395" spans="1:5" ht="27" x14ac:dyDescent="0.25">
      <c r="A4395" s="508">
        <v>92901</v>
      </c>
      <c r="B4395" s="509" t="s">
        <v>2842</v>
      </c>
      <c r="C4395" s="508" t="s">
        <v>107</v>
      </c>
      <c r="D4395" s="508">
        <v>133.83000000000001</v>
      </c>
      <c r="E4395" s="461" t="s">
        <v>174</v>
      </c>
    </row>
    <row r="4396" spans="1:5" ht="27" x14ac:dyDescent="0.25">
      <c r="A4396" s="508">
        <v>92902</v>
      </c>
      <c r="B4396" s="509" t="s">
        <v>2843</v>
      </c>
      <c r="C4396" s="508" t="s">
        <v>107</v>
      </c>
      <c r="D4396" s="508">
        <v>210.33</v>
      </c>
      <c r="E4396" s="461" t="s">
        <v>174</v>
      </c>
    </row>
    <row r="4397" spans="1:5" ht="27" x14ac:dyDescent="0.25">
      <c r="A4397" s="508">
        <v>92903</v>
      </c>
      <c r="B4397" s="509" t="s">
        <v>2844</v>
      </c>
      <c r="C4397" s="508" t="s">
        <v>107</v>
      </c>
      <c r="D4397" s="508">
        <v>315.77</v>
      </c>
      <c r="E4397" s="461" t="s">
        <v>174</v>
      </c>
    </row>
    <row r="4398" spans="1:5" ht="27" x14ac:dyDescent="0.25">
      <c r="A4398" s="508">
        <v>92904</v>
      </c>
      <c r="B4398" s="509" t="s">
        <v>2845</v>
      </c>
      <c r="C4398" s="508" t="s">
        <v>107</v>
      </c>
      <c r="D4398" s="508">
        <v>36.630000000000003</v>
      </c>
      <c r="E4398" s="461" t="s">
        <v>174</v>
      </c>
    </row>
    <row r="4399" spans="1:5" ht="27" x14ac:dyDescent="0.25">
      <c r="A4399" s="508">
        <v>92905</v>
      </c>
      <c r="B4399" s="509" t="s">
        <v>2846</v>
      </c>
      <c r="C4399" s="508" t="s">
        <v>107</v>
      </c>
      <c r="D4399" s="508">
        <v>52.2</v>
      </c>
      <c r="E4399" s="461" t="s">
        <v>174</v>
      </c>
    </row>
    <row r="4400" spans="1:5" ht="27" x14ac:dyDescent="0.25">
      <c r="A4400" s="508">
        <v>92906</v>
      </c>
      <c r="B4400" s="509" t="s">
        <v>2847</v>
      </c>
      <c r="C4400" s="508" t="s">
        <v>107</v>
      </c>
      <c r="D4400" s="508">
        <v>63.43</v>
      </c>
      <c r="E4400" s="461" t="s">
        <v>174</v>
      </c>
    </row>
    <row r="4401" spans="1:5" ht="27" x14ac:dyDescent="0.25">
      <c r="A4401" s="508">
        <v>92907</v>
      </c>
      <c r="B4401" s="509" t="s">
        <v>2848</v>
      </c>
      <c r="C4401" s="508" t="s">
        <v>107</v>
      </c>
      <c r="D4401" s="508">
        <v>78.95</v>
      </c>
      <c r="E4401" s="461" t="s">
        <v>174</v>
      </c>
    </row>
    <row r="4402" spans="1:5" ht="27" x14ac:dyDescent="0.25">
      <c r="A4402" s="508">
        <v>92908</v>
      </c>
      <c r="B4402" s="509" t="s">
        <v>2849</v>
      </c>
      <c r="C4402" s="508" t="s">
        <v>107</v>
      </c>
      <c r="D4402" s="508">
        <v>78.95</v>
      </c>
      <c r="E4402" s="461" t="s">
        <v>174</v>
      </c>
    </row>
    <row r="4403" spans="1:5" ht="27" x14ac:dyDescent="0.25">
      <c r="A4403" s="508">
        <v>92909</v>
      </c>
      <c r="B4403" s="509" t="s">
        <v>2850</v>
      </c>
      <c r="C4403" s="508" t="s">
        <v>107</v>
      </c>
      <c r="D4403" s="508">
        <v>78.95</v>
      </c>
      <c r="E4403" s="461" t="s">
        <v>174</v>
      </c>
    </row>
    <row r="4404" spans="1:5" ht="27" x14ac:dyDescent="0.25">
      <c r="A4404" s="508">
        <v>92910</v>
      </c>
      <c r="B4404" s="509" t="s">
        <v>2851</v>
      </c>
      <c r="C4404" s="508" t="s">
        <v>107</v>
      </c>
      <c r="D4404" s="508">
        <v>114.99</v>
      </c>
      <c r="E4404" s="461" t="s">
        <v>174</v>
      </c>
    </row>
    <row r="4405" spans="1:5" ht="27" x14ac:dyDescent="0.25">
      <c r="A4405" s="508">
        <v>92911</v>
      </c>
      <c r="B4405" s="509" t="s">
        <v>2852</v>
      </c>
      <c r="C4405" s="508" t="s">
        <v>107</v>
      </c>
      <c r="D4405" s="508">
        <v>114.99</v>
      </c>
      <c r="E4405" s="461" t="s">
        <v>174</v>
      </c>
    </row>
    <row r="4406" spans="1:5" ht="27" x14ac:dyDescent="0.25">
      <c r="A4406" s="508">
        <v>92912</v>
      </c>
      <c r="B4406" s="509" t="s">
        <v>2853</v>
      </c>
      <c r="C4406" s="508" t="s">
        <v>107</v>
      </c>
      <c r="D4406" s="508">
        <v>154.97999999999999</v>
      </c>
      <c r="E4406" s="461" t="s">
        <v>174</v>
      </c>
    </row>
    <row r="4407" spans="1:5" ht="27" x14ac:dyDescent="0.25">
      <c r="A4407" s="508">
        <v>92913</v>
      </c>
      <c r="B4407" s="509" t="s">
        <v>2854</v>
      </c>
      <c r="C4407" s="508" t="s">
        <v>107</v>
      </c>
      <c r="D4407" s="508">
        <v>158.13</v>
      </c>
      <c r="E4407" s="461" t="s">
        <v>174</v>
      </c>
    </row>
    <row r="4408" spans="1:5" ht="27" x14ac:dyDescent="0.25">
      <c r="A4408" s="508">
        <v>92914</v>
      </c>
      <c r="B4408" s="509" t="s">
        <v>2855</v>
      </c>
      <c r="C4408" s="508" t="s">
        <v>107</v>
      </c>
      <c r="D4408" s="508">
        <v>158.13</v>
      </c>
      <c r="E4408" s="461" t="s">
        <v>174</v>
      </c>
    </row>
    <row r="4409" spans="1:5" ht="27" x14ac:dyDescent="0.25">
      <c r="A4409" s="508">
        <v>92918</v>
      </c>
      <c r="B4409" s="509" t="s">
        <v>2856</v>
      </c>
      <c r="C4409" s="508" t="s">
        <v>107</v>
      </c>
      <c r="D4409" s="508">
        <v>41.53</v>
      </c>
      <c r="E4409" s="461" t="s">
        <v>174</v>
      </c>
    </row>
    <row r="4410" spans="1:5" ht="27" x14ac:dyDescent="0.25">
      <c r="A4410" s="508">
        <v>92920</v>
      </c>
      <c r="B4410" s="509" t="s">
        <v>2857</v>
      </c>
      <c r="C4410" s="508" t="s">
        <v>107</v>
      </c>
      <c r="D4410" s="508">
        <v>41.82</v>
      </c>
      <c r="E4410" s="461" t="s">
        <v>174</v>
      </c>
    </row>
    <row r="4411" spans="1:5" ht="27" x14ac:dyDescent="0.25">
      <c r="A4411" s="508">
        <v>92925</v>
      </c>
      <c r="B4411" s="509" t="s">
        <v>2858</v>
      </c>
      <c r="C4411" s="508" t="s">
        <v>107</v>
      </c>
      <c r="D4411" s="508">
        <v>51.62</v>
      </c>
      <c r="E4411" s="461" t="s">
        <v>174</v>
      </c>
    </row>
    <row r="4412" spans="1:5" ht="27" x14ac:dyDescent="0.25">
      <c r="A4412" s="508">
        <v>92926</v>
      </c>
      <c r="B4412" s="509" t="s">
        <v>2859</v>
      </c>
      <c r="C4412" s="508" t="s">
        <v>107</v>
      </c>
      <c r="D4412" s="508">
        <v>51.61</v>
      </c>
      <c r="E4412" s="461" t="s">
        <v>174</v>
      </c>
    </row>
    <row r="4413" spans="1:5" ht="27" x14ac:dyDescent="0.25">
      <c r="A4413" s="508">
        <v>92927</v>
      </c>
      <c r="B4413" s="509" t="s">
        <v>2860</v>
      </c>
      <c r="C4413" s="508" t="s">
        <v>107</v>
      </c>
      <c r="D4413" s="508">
        <v>51.61</v>
      </c>
      <c r="E4413" s="461" t="s">
        <v>174</v>
      </c>
    </row>
    <row r="4414" spans="1:5" ht="27" x14ac:dyDescent="0.25">
      <c r="A4414" s="508">
        <v>92928</v>
      </c>
      <c r="B4414" s="509" t="s">
        <v>2861</v>
      </c>
      <c r="C4414" s="508" t="s">
        <v>107</v>
      </c>
      <c r="D4414" s="508">
        <v>59.09</v>
      </c>
      <c r="E4414" s="461" t="s">
        <v>174</v>
      </c>
    </row>
    <row r="4415" spans="1:5" ht="27" x14ac:dyDescent="0.25">
      <c r="A4415" s="508">
        <v>92929</v>
      </c>
      <c r="B4415" s="509" t="s">
        <v>2862</v>
      </c>
      <c r="C4415" s="508" t="s">
        <v>107</v>
      </c>
      <c r="D4415" s="508">
        <v>59.09</v>
      </c>
      <c r="E4415" s="461" t="s">
        <v>174</v>
      </c>
    </row>
    <row r="4416" spans="1:5" ht="27" x14ac:dyDescent="0.25">
      <c r="A4416" s="508">
        <v>92930</v>
      </c>
      <c r="B4416" s="509" t="s">
        <v>2863</v>
      </c>
      <c r="C4416" s="508" t="s">
        <v>107</v>
      </c>
      <c r="D4416" s="508">
        <v>59.09</v>
      </c>
      <c r="E4416" s="461" t="s">
        <v>174</v>
      </c>
    </row>
    <row r="4417" spans="1:5" ht="27" x14ac:dyDescent="0.25">
      <c r="A4417" s="508">
        <v>92931</v>
      </c>
      <c r="B4417" s="509" t="s">
        <v>2864</v>
      </c>
      <c r="C4417" s="508" t="s">
        <v>107</v>
      </c>
      <c r="D4417" s="508">
        <v>78.89</v>
      </c>
      <c r="E4417" s="461" t="s">
        <v>174</v>
      </c>
    </row>
    <row r="4418" spans="1:5" ht="27" x14ac:dyDescent="0.25">
      <c r="A4418" s="508">
        <v>92932</v>
      </c>
      <c r="B4418" s="509" t="s">
        <v>2865</v>
      </c>
      <c r="C4418" s="508" t="s">
        <v>107</v>
      </c>
      <c r="D4418" s="508">
        <v>78.89</v>
      </c>
      <c r="E4418" s="461" t="s">
        <v>174</v>
      </c>
    </row>
    <row r="4419" spans="1:5" ht="27" x14ac:dyDescent="0.25">
      <c r="A4419" s="508">
        <v>92933</v>
      </c>
      <c r="B4419" s="509" t="s">
        <v>2866</v>
      </c>
      <c r="C4419" s="508" t="s">
        <v>107</v>
      </c>
      <c r="D4419" s="508">
        <v>78.89</v>
      </c>
      <c r="E4419" s="461" t="s">
        <v>174</v>
      </c>
    </row>
    <row r="4420" spans="1:5" ht="27" x14ac:dyDescent="0.25">
      <c r="A4420" s="508">
        <v>92934</v>
      </c>
      <c r="B4420" s="509" t="s">
        <v>2867</v>
      </c>
      <c r="C4420" s="508" t="s">
        <v>107</v>
      </c>
      <c r="D4420" s="508">
        <v>116.83</v>
      </c>
      <c r="E4420" s="461" t="s">
        <v>174</v>
      </c>
    </row>
    <row r="4421" spans="1:5" ht="27" x14ac:dyDescent="0.25">
      <c r="A4421" s="508">
        <v>92935</v>
      </c>
      <c r="B4421" s="509" t="s">
        <v>2868</v>
      </c>
      <c r="C4421" s="508" t="s">
        <v>107</v>
      </c>
      <c r="D4421" s="508">
        <v>116.83</v>
      </c>
      <c r="E4421" s="461" t="s">
        <v>174</v>
      </c>
    </row>
    <row r="4422" spans="1:5" ht="27" x14ac:dyDescent="0.25">
      <c r="A4422" s="508">
        <v>92936</v>
      </c>
      <c r="B4422" s="509" t="s">
        <v>2869</v>
      </c>
      <c r="C4422" s="508" t="s">
        <v>107</v>
      </c>
      <c r="D4422" s="508">
        <v>161.9</v>
      </c>
      <c r="E4422" s="461" t="s">
        <v>174</v>
      </c>
    </row>
    <row r="4423" spans="1:5" ht="27" x14ac:dyDescent="0.25">
      <c r="A4423" s="508">
        <v>92937</v>
      </c>
      <c r="B4423" s="509" t="s">
        <v>2870</v>
      </c>
      <c r="C4423" s="508" t="s">
        <v>107</v>
      </c>
      <c r="D4423" s="508">
        <v>161.9</v>
      </c>
      <c r="E4423" s="461" t="s">
        <v>174</v>
      </c>
    </row>
    <row r="4424" spans="1:5" ht="27" x14ac:dyDescent="0.25">
      <c r="A4424" s="508">
        <v>92938</v>
      </c>
      <c r="B4424" s="509" t="s">
        <v>2871</v>
      </c>
      <c r="C4424" s="508" t="s">
        <v>107</v>
      </c>
      <c r="D4424" s="508">
        <v>31.33</v>
      </c>
      <c r="E4424" s="461" t="s">
        <v>174</v>
      </c>
    </row>
    <row r="4425" spans="1:5" ht="27" x14ac:dyDescent="0.25">
      <c r="A4425" s="508">
        <v>92939</v>
      </c>
      <c r="B4425" s="509" t="s">
        <v>2872</v>
      </c>
      <c r="C4425" s="508" t="s">
        <v>107</v>
      </c>
      <c r="D4425" s="508">
        <v>31.62</v>
      </c>
      <c r="E4425" s="461" t="s">
        <v>174</v>
      </c>
    </row>
    <row r="4426" spans="1:5" ht="27" x14ac:dyDescent="0.25">
      <c r="A4426" s="508">
        <v>92940</v>
      </c>
      <c r="B4426" s="509" t="s">
        <v>2873</v>
      </c>
      <c r="C4426" s="508" t="s">
        <v>107</v>
      </c>
      <c r="D4426" s="508">
        <v>40.020000000000003</v>
      </c>
      <c r="E4426" s="461" t="s">
        <v>174</v>
      </c>
    </row>
    <row r="4427" spans="1:5" ht="27" x14ac:dyDescent="0.25">
      <c r="A4427" s="508">
        <v>92941</v>
      </c>
      <c r="B4427" s="509" t="s">
        <v>2874</v>
      </c>
      <c r="C4427" s="508" t="s">
        <v>107</v>
      </c>
      <c r="D4427" s="508">
        <v>40.01</v>
      </c>
      <c r="E4427" s="461" t="s">
        <v>174</v>
      </c>
    </row>
    <row r="4428" spans="1:5" ht="27" x14ac:dyDescent="0.25">
      <c r="A4428" s="508">
        <v>92942</v>
      </c>
      <c r="B4428" s="509" t="s">
        <v>2875</v>
      </c>
      <c r="C4428" s="508" t="s">
        <v>107</v>
      </c>
      <c r="D4428" s="508">
        <v>40.01</v>
      </c>
      <c r="E4428" s="461" t="s">
        <v>174</v>
      </c>
    </row>
    <row r="4429" spans="1:5" ht="27" x14ac:dyDescent="0.25">
      <c r="A4429" s="508">
        <v>92943</v>
      </c>
      <c r="B4429" s="509" t="s">
        <v>2876</v>
      </c>
      <c r="C4429" s="508" t="s">
        <v>107</v>
      </c>
      <c r="D4429" s="508">
        <v>45.87</v>
      </c>
      <c r="E4429" s="461" t="s">
        <v>174</v>
      </c>
    </row>
    <row r="4430" spans="1:5" ht="27" x14ac:dyDescent="0.25">
      <c r="A4430" s="508">
        <v>92944</v>
      </c>
      <c r="B4430" s="509" t="s">
        <v>2877</v>
      </c>
      <c r="C4430" s="508" t="s">
        <v>107</v>
      </c>
      <c r="D4430" s="508">
        <v>45.87</v>
      </c>
      <c r="E4430" s="461" t="s">
        <v>174</v>
      </c>
    </row>
    <row r="4431" spans="1:5" ht="27" x14ac:dyDescent="0.25">
      <c r="A4431" s="508">
        <v>92945</v>
      </c>
      <c r="B4431" s="509" t="s">
        <v>2878</v>
      </c>
      <c r="C4431" s="508" t="s">
        <v>107</v>
      </c>
      <c r="D4431" s="508">
        <v>45.87</v>
      </c>
      <c r="E4431" s="461" t="s">
        <v>174</v>
      </c>
    </row>
    <row r="4432" spans="1:5" ht="27" x14ac:dyDescent="0.25">
      <c r="A4432" s="508">
        <v>92946</v>
      </c>
      <c r="B4432" s="509" t="s">
        <v>2879</v>
      </c>
      <c r="C4432" s="508" t="s">
        <v>107</v>
      </c>
      <c r="D4432" s="508">
        <v>63.67</v>
      </c>
      <c r="E4432" s="461" t="s">
        <v>174</v>
      </c>
    </row>
    <row r="4433" spans="1:5" ht="27" x14ac:dyDescent="0.25">
      <c r="A4433" s="508">
        <v>92947</v>
      </c>
      <c r="B4433" s="509" t="s">
        <v>2880</v>
      </c>
      <c r="C4433" s="508" t="s">
        <v>107</v>
      </c>
      <c r="D4433" s="508">
        <v>63.67</v>
      </c>
      <c r="E4433" s="461" t="s">
        <v>174</v>
      </c>
    </row>
    <row r="4434" spans="1:5" ht="27" x14ac:dyDescent="0.25">
      <c r="A4434" s="508">
        <v>92948</v>
      </c>
      <c r="B4434" s="509" t="s">
        <v>2881</v>
      </c>
      <c r="C4434" s="508" t="s">
        <v>107</v>
      </c>
      <c r="D4434" s="508">
        <v>63.67</v>
      </c>
      <c r="E4434" s="461" t="s">
        <v>174</v>
      </c>
    </row>
    <row r="4435" spans="1:5" ht="27" x14ac:dyDescent="0.25">
      <c r="A4435" s="508">
        <v>92949</v>
      </c>
      <c r="B4435" s="509" t="s">
        <v>2882</v>
      </c>
      <c r="C4435" s="508" t="s">
        <v>107</v>
      </c>
      <c r="D4435" s="508">
        <v>98.59</v>
      </c>
      <c r="E4435" s="461" t="s">
        <v>174</v>
      </c>
    </row>
    <row r="4436" spans="1:5" ht="27" x14ac:dyDescent="0.25">
      <c r="A4436" s="508">
        <v>92950</v>
      </c>
      <c r="B4436" s="509" t="s">
        <v>2883</v>
      </c>
      <c r="C4436" s="508" t="s">
        <v>107</v>
      </c>
      <c r="D4436" s="508">
        <v>98.59</v>
      </c>
      <c r="E4436" s="461" t="s">
        <v>174</v>
      </c>
    </row>
    <row r="4437" spans="1:5" ht="27" x14ac:dyDescent="0.25">
      <c r="A4437" s="508">
        <v>92951</v>
      </c>
      <c r="B4437" s="509" t="s">
        <v>2884</v>
      </c>
      <c r="C4437" s="508" t="s">
        <v>107</v>
      </c>
      <c r="D4437" s="508">
        <v>140.69</v>
      </c>
      <c r="E4437" s="461" t="s">
        <v>174</v>
      </c>
    </row>
    <row r="4438" spans="1:5" ht="27" x14ac:dyDescent="0.25">
      <c r="A4438" s="508">
        <v>92952</v>
      </c>
      <c r="B4438" s="509" t="s">
        <v>2885</v>
      </c>
      <c r="C4438" s="508" t="s">
        <v>107</v>
      </c>
      <c r="D4438" s="508">
        <v>140.69</v>
      </c>
      <c r="E4438" s="461" t="s">
        <v>174</v>
      </c>
    </row>
    <row r="4439" spans="1:5" ht="27" x14ac:dyDescent="0.25">
      <c r="A4439" s="508">
        <v>92953</v>
      </c>
      <c r="B4439" s="509" t="s">
        <v>2886</v>
      </c>
      <c r="C4439" s="508" t="s">
        <v>107</v>
      </c>
      <c r="D4439" s="508">
        <v>26.99</v>
      </c>
      <c r="E4439" s="461" t="s">
        <v>174</v>
      </c>
    </row>
    <row r="4440" spans="1:5" ht="27" x14ac:dyDescent="0.25">
      <c r="A4440" s="508">
        <v>93050</v>
      </c>
      <c r="B4440" s="509" t="s">
        <v>6692</v>
      </c>
      <c r="C4440" s="508" t="s">
        <v>107</v>
      </c>
      <c r="D4440" s="508">
        <v>12.62</v>
      </c>
      <c r="E4440" s="461" t="s">
        <v>174</v>
      </c>
    </row>
    <row r="4441" spans="1:5" ht="27" x14ac:dyDescent="0.25">
      <c r="A4441" s="508">
        <v>93052</v>
      </c>
      <c r="B4441" s="509" t="s">
        <v>6693</v>
      </c>
      <c r="C4441" s="508" t="s">
        <v>107</v>
      </c>
      <c r="D4441" s="508">
        <v>586.51</v>
      </c>
      <c r="E4441" s="461" t="s">
        <v>174</v>
      </c>
    </row>
    <row r="4442" spans="1:5" ht="27" x14ac:dyDescent="0.25">
      <c r="A4442" s="508">
        <v>93054</v>
      </c>
      <c r="B4442" s="509" t="s">
        <v>6694</v>
      </c>
      <c r="C4442" s="508" t="s">
        <v>107</v>
      </c>
      <c r="D4442" s="508">
        <v>25.16</v>
      </c>
      <c r="E4442" s="461" t="s">
        <v>174</v>
      </c>
    </row>
    <row r="4443" spans="1:5" ht="27" x14ac:dyDescent="0.25">
      <c r="A4443" s="508">
        <v>93055</v>
      </c>
      <c r="B4443" s="509" t="s">
        <v>6695</v>
      </c>
      <c r="C4443" s="508" t="s">
        <v>107</v>
      </c>
      <c r="D4443" s="508">
        <v>50.62</v>
      </c>
      <c r="E4443" s="461" t="s">
        <v>174</v>
      </c>
    </row>
    <row r="4444" spans="1:5" ht="27" x14ac:dyDescent="0.25">
      <c r="A4444" s="508">
        <v>93056</v>
      </c>
      <c r="B4444" s="509" t="s">
        <v>6696</v>
      </c>
      <c r="C4444" s="508" t="s">
        <v>107</v>
      </c>
      <c r="D4444" s="508">
        <v>18.88</v>
      </c>
      <c r="E4444" s="461" t="s">
        <v>174</v>
      </c>
    </row>
    <row r="4445" spans="1:5" ht="27" x14ac:dyDescent="0.25">
      <c r="A4445" s="508">
        <v>93057</v>
      </c>
      <c r="B4445" s="509" t="s">
        <v>6697</v>
      </c>
      <c r="C4445" s="508" t="s">
        <v>107</v>
      </c>
      <c r="D4445" s="508">
        <v>15.68</v>
      </c>
      <c r="E4445" s="461" t="s">
        <v>174</v>
      </c>
    </row>
    <row r="4446" spans="1:5" ht="27" x14ac:dyDescent="0.25">
      <c r="A4446" s="508">
        <v>93058</v>
      </c>
      <c r="B4446" s="509" t="s">
        <v>6698</v>
      </c>
      <c r="C4446" s="508" t="s">
        <v>107</v>
      </c>
      <c r="D4446" s="508">
        <v>645.21</v>
      </c>
      <c r="E4446" s="461" t="s">
        <v>174</v>
      </c>
    </row>
    <row r="4447" spans="1:5" ht="27" x14ac:dyDescent="0.25">
      <c r="A4447" s="508">
        <v>93059</v>
      </c>
      <c r="B4447" s="509" t="s">
        <v>6699</v>
      </c>
      <c r="C4447" s="508" t="s">
        <v>107</v>
      </c>
      <c r="D4447" s="508">
        <v>32.92</v>
      </c>
      <c r="E4447" s="461" t="s">
        <v>174</v>
      </c>
    </row>
    <row r="4448" spans="1:5" ht="27" x14ac:dyDescent="0.25">
      <c r="A4448" s="508">
        <v>93060</v>
      </c>
      <c r="B4448" s="509" t="s">
        <v>6700</v>
      </c>
      <c r="C4448" s="508" t="s">
        <v>107</v>
      </c>
      <c r="D4448" s="508">
        <v>88.76</v>
      </c>
      <c r="E4448" s="461" t="s">
        <v>174</v>
      </c>
    </row>
    <row r="4449" spans="1:5" ht="27" x14ac:dyDescent="0.25">
      <c r="A4449" s="508">
        <v>93061</v>
      </c>
      <c r="B4449" s="509" t="s">
        <v>6701</v>
      </c>
      <c r="C4449" s="508" t="s">
        <v>107</v>
      </c>
      <c r="D4449" s="508">
        <v>35.869999999999997</v>
      </c>
      <c r="E4449" s="461" t="s">
        <v>174</v>
      </c>
    </row>
    <row r="4450" spans="1:5" ht="27" x14ac:dyDescent="0.25">
      <c r="A4450" s="508">
        <v>93062</v>
      </c>
      <c r="B4450" s="509" t="s">
        <v>6702</v>
      </c>
      <c r="C4450" s="508" t="s">
        <v>107</v>
      </c>
      <c r="D4450" s="508">
        <v>30.25</v>
      </c>
      <c r="E4450" s="461" t="s">
        <v>174</v>
      </c>
    </row>
    <row r="4451" spans="1:5" ht="27" x14ac:dyDescent="0.25">
      <c r="A4451" s="508">
        <v>93063</v>
      </c>
      <c r="B4451" s="509" t="s">
        <v>6703</v>
      </c>
      <c r="C4451" s="508" t="s">
        <v>107</v>
      </c>
      <c r="D4451" s="508">
        <v>739.35</v>
      </c>
      <c r="E4451" s="461" t="s">
        <v>174</v>
      </c>
    </row>
    <row r="4452" spans="1:5" ht="27" x14ac:dyDescent="0.25">
      <c r="A4452" s="508">
        <v>93064</v>
      </c>
      <c r="B4452" s="509" t="s">
        <v>6704</v>
      </c>
      <c r="C4452" s="508" t="s">
        <v>107</v>
      </c>
      <c r="D4452" s="508">
        <v>55.13</v>
      </c>
      <c r="E4452" s="461" t="s">
        <v>174</v>
      </c>
    </row>
    <row r="4453" spans="1:5" ht="27" x14ac:dyDescent="0.25">
      <c r="A4453" s="508">
        <v>93065</v>
      </c>
      <c r="B4453" s="509" t="s">
        <v>6705</v>
      </c>
      <c r="C4453" s="508" t="s">
        <v>107</v>
      </c>
      <c r="D4453" s="508">
        <v>49.49</v>
      </c>
      <c r="E4453" s="461" t="s">
        <v>174</v>
      </c>
    </row>
    <row r="4454" spans="1:5" ht="27" x14ac:dyDescent="0.25">
      <c r="A4454" s="508">
        <v>93066</v>
      </c>
      <c r="B4454" s="509" t="s">
        <v>6706</v>
      </c>
      <c r="C4454" s="508" t="s">
        <v>107</v>
      </c>
      <c r="D4454" s="508">
        <v>927.86</v>
      </c>
      <c r="E4454" s="461" t="s">
        <v>174</v>
      </c>
    </row>
    <row r="4455" spans="1:5" ht="27" x14ac:dyDescent="0.25">
      <c r="A4455" s="508">
        <v>93067</v>
      </c>
      <c r="B4455" s="509" t="s">
        <v>6707</v>
      </c>
      <c r="C4455" s="508" t="s">
        <v>107</v>
      </c>
      <c r="D4455" s="508">
        <v>82.02</v>
      </c>
      <c r="E4455" s="461" t="s">
        <v>174</v>
      </c>
    </row>
    <row r="4456" spans="1:5" ht="27" x14ac:dyDescent="0.25">
      <c r="A4456" s="508">
        <v>93068</v>
      </c>
      <c r="B4456" s="509" t="s">
        <v>6708</v>
      </c>
      <c r="C4456" s="508" t="s">
        <v>107</v>
      </c>
      <c r="D4456" s="508">
        <v>69.73</v>
      </c>
      <c r="E4456" s="461" t="s">
        <v>174</v>
      </c>
    </row>
    <row r="4457" spans="1:5" ht="27" x14ac:dyDescent="0.25">
      <c r="A4457" s="508">
        <v>93069</v>
      </c>
      <c r="B4457" s="509" t="s">
        <v>6709</v>
      </c>
      <c r="C4457" s="508" t="s">
        <v>107</v>
      </c>
      <c r="D4457" s="510">
        <v>1286.17</v>
      </c>
      <c r="E4457" s="461" t="s">
        <v>174</v>
      </c>
    </row>
    <row r="4458" spans="1:5" ht="27" x14ac:dyDescent="0.25">
      <c r="A4458" s="508">
        <v>93070</v>
      </c>
      <c r="B4458" s="509" t="s">
        <v>6710</v>
      </c>
      <c r="C4458" s="508" t="s">
        <v>107</v>
      </c>
      <c r="D4458" s="508">
        <v>207.38</v>
      </c>
      <c r="E4458" s="461" t="s">
        <v>174</v>
      </c>
    </row>
    <row r="4459" spans="1:5" ht="27" x14ac:dyDescent="0.25">
      <c r="A4459" s="508">
        <v>93071</v>
      </c>
      <c r="B4459" s="509" t="s">
        <v>6711</v>
      </c>
      <c r="C4459" s="508" t="s">
        <v>107</v>
      </c>
      <c r="D4459" s="508">
        <v>190.65</v>
      </c>
      <c r="E4459" s="461" t="s">
        <v>174</v>
      </c>
    </row>
    <row r="4460" spans="1:5" ht="27" x14ac:dyDescent="0.25">
      <c r="A4460" s="508">
        <v>93072</v>
      </c>
      <c r="B4460" s="509" t="s">
        <v>6712</v>
      </c>
      <c r="C4460" s="508" t="s">
        <v>107</v>
      </c>
      <c r="D4460" s="508">
        <v>1697.43</v>
      </c>
      <c r="E4460" s="461" t="s">
        <v>174</v>
      </c>
    </row>
    <row r="4461" spans="1:5" ht="27" x14ac:dyDescent="0.25">
      <c r="A4461" s="508">
        <v>93074</v>
      </c>
      <c r="B4461" s="509" t="s">
        <v>6713</v>
      </c>
      <c r="C4461" s="508" t="s">
        <v>107</v>
      </c>
      <c r="D4461" s="508">
        <v>14.89</v>
      </c>
      <c r="E4461" s="461" t="s">
        <v>174</v>
      </c>
    </row>
    <row r="4462" spans="1:5" ht="40.5" x14ac:dyDescent="0.25">
      <c r="A4462" s="508">
        <v>93075</v>
      </c>
      <c r="B4462" s="509" t="s">
        <v>6714</v>
      </c>
      <c r="C4462" s="508" t="s">
        <v>107</v>
      </c>
      <c r="D4462" s="508">
        <v>22.06</v>
      </c>
      <c r="E4462" s="461" t="s">
        <v>174</v>
      </c>
    </row>
    <row r="4463" spans="1:5" ht="27" x14ac:dyDescent="0.25">
      <c r="A4463" s="508">
        <v>93076</v>
      </c>
      <c r="B4463" s="509" t="s">
        <v>6715</v>
      </c>
      <c r="C4463" s="508" t="s">
        <v>107</v>
      </c>
      <c r="D4463" s="508">
        <v>23.85</v>
      </c>
      <c r="E4463" s="461" t="s">
        <v>174</v>
      </c>
    </row>
    <row r="4464" spans="1:5" ht="40.5" x14ac:dyDescent="0.25">
      <c r="A4464" s="508">
        <v>93077</v>
      </c>
      <c r="B4464" s="509" t="s">
        <v>6716</v>
      </c>
      <c r="C4464" s="508" t="s">
        <v>107</v>
      </c>
      <c r="D4464" s="508">
        <v>31.25</v>
      </c>
      <c r="E4464" s="461" t="s">
        <v>174</v>
      </c>
    </row>
    <row r="4465" spans="1:5" ht="40.5" x14ac:dyDescent="0.25">
      <c r="A4465" s="508">
        <v>93078</v>
      </c>
      <c r="B4465" s="509" t="s">
        <v>6717</v>
      </c>
      <c r="C4465" s="508" t="s">
        <v>107</v>
      </c>
      <c r="D4465" s="508">
        <v>35.17</v>
      </c>
      <c r="E4465" s="461" t="s">
        <v>174</v>
      </c>
    </row>
    <row r="4466" spans="1:5" ht="27" x14ac:dyDescent="0.25">
      <c r="A4466" s="508">
        <v>93079</v>
      </c>
      <c r="B4466" s="509" t="s">
        <v>6718</v>
      </c>
      <c r="C4466" s="508" t="s">
        <v>107</v>
      </c>
      <c r="D4466" s="508">
        <v>33.21</v>
      </c>
      <c r="E4466" s="461" t="s">
        <v>174</v>
      </c>
    </row>
    <row r="4467" spans="1:5" ht="27" x14ac:dyDescent="0.25">
      <c r="A4467" s="508">
        <v>93080</v>
      </c>
      <c r="B4467" s="509" t="s">
        <v>6719</v>
      </c>
      <c r="C4467" s="508" t="s">
        <v>107</v>
      </c>
      <c r="D4467" s="508">
        <v>9.69</v>
      </c>
      <c r="E4467" s="461" t="s">
        <v>174</v>
      </c>
    </row>
    <row r="4468" spans="1:5" ht="40.5" x14ac:dyDescent="0.25">
      <c r="A4468" s="508">
        <v>93081</v>
      </c>
      <c r="B4468" s="509" t="s">
        <v>6720</v>
      </c>
      <c r="C4468" s="508" t="s">
        <v>107</v>
      </c>
      <c r="D4468" s="508">
        <v>20.83</v>
      </c>
      <c r="E4468" s="461" t="s">
        <v>174</v>
      </c>
    </row>
    <row r="4469" spans="1:5" ht="40.5" x14ac:dyDescent="0.25">
      <c r="A4469" s="508">
        <v>93082</v>
      </c>
      <c r="B4469" s="509" t="s">
        <v>6721</v>
      </c>
      <c r="C4469" s="508" t="s">
        <v>107</v>
      </c>
      <c r="D4469" s="508">
        <v>26.98</v>
      </c>
      <c r="E4469" s="461" t="s">
        <v>174</v>
      </c>
    </row>
    <row r="4470" spans="1:5" ht="27" x14ac:dyDescent="0.25">
      <c r="A4470" s="508">
        <v>93083</v>
      </c>
      <c r="B4470" s="509" t="s">
        <v>6722</v>
      </c>
      <c r="C4470" s="508" t="s">
        <v>107</v>
      </c>
      <c r="D4470" s="508">
        <v>507.82</v>
      </c>
      <c r="E4470" s="461" t="s">
        <v>174</v>
      </c>
    </row>
    <row r="4471" spans="1:5" ht="27" x14ac:dyDescent="0.25">
      <c r="A4471" s="508">
        <v>93084</v>
      </c>
      <c r="B4471" s="509" t="s">
        <v>6723</v>
      </c>
      <c r="C4471" s="508" t="s">
        <v>107</v>
      </c>
      <c r="D4471" s="508">
        <v>15.66</v>
      </c>
      <c r="E4471" s="461" t="s">
        <v>174</v>
      </c>
    </row>
    <row r="4472" spans="1:5" ht="40.5" x14ac:dyDescent="0.25">
      <c r="A4472" s="508">
        <v>93085</v>
      </c>
      <c r="B4472" s="509" t="s">
        <v>6724</v>
      </c>
      <c r="C4472" s="508" t="s">
        <v>107</v>
      </c>
      <c r="D4472" s="508">
        <v>16.77</v>
      </c>
      <c r="E4472" s="461" t="s">
        <v>174</v>
      </c>
    </row>
    <row r="4473" spans="1:5" ht="27" x14ac:dyDescent="0.25">
      <c r="A4473" s="508">
        <v>93086</v>
      </c>
      <c r="B4473" s="509" t="s">
        <v>6725</v>
      </c>
      <c r="C4473" s="508" t="s">
        <v>107</v>
      </c>
      <c r="D4473" s="508">
        <v>589.54999999999995</v>
      </c>
      <c r="E4473" s="461" t="s">
        <v>174</v>
      </c>
    </row>
    <row r="4474" spans="1:5" ht="40.5" x14ac:dyDescent="0.25">
      <c r="A4474" s="508">
        <v>93087</v>
      </c>
      <c r="B4474" s="509" t="s">
        <v>6726</v>
      </c>
      <c r="C4474" s="508" t="s">
        <v>107</v>
      </c>
      <c r="D4474" s="508">
        <v>21.81</v>
      </c>
      <c r="E4474" s="461" t="s">
        <v>174</v>
      </c>
    </row>
    <row r="4475" spans="1:5" ht="40.5" x14ac:dyDescent="0.25">
      <c r="A4475" s="508">
        <v>93088</v>
      </c>
      <c r="B4475" s="509" t="s">
        <v>6727</v>
      </c>
      <c r="C4475" s="508" t="s">
        <v>107</v>
      </c>
      <c r="D4475" s="508">
        <v>27.03</v>
      </c>
      <c r="E4475" s="461" t="s">
        <v>174</v>
      </c>
    </row>
    <row r="4476" spans="1:5" ht="40.5" x14ac:dyDescent="0.25">
      <c r="A4476" s="508">
        <v>93089</v>
      </c>
      <c r="B4476" s="509" t="s">
        <v>6728</v>
      </c>
      <c r="C4476" s="508" t="s">
        <v>107</v>
      </c>
      <c r="D4476" s="508">
        <v>53.66</v>
      </c>
      <c r="E4476" s="461" t="s">
        <v>174</v>
      </c>
    </row>
    <row r="4477" spans="1:5" ht="27" x14ac:dyDescent="0.25">
      <c r="A4477" s="508">
        <v>93090</v>
      </c>
      <c r="B4477" s="509" t="s">
        <v>6729</v>
      </c>
      <c r="C4477" s="508" t="s">
        <v>107</v>
      </c>
      <c r="D4477" s="508">
        <v>21.69</v>
      </c>
      <c r="E4477" s="461" t="s">
        <v>174</v>
      </c>
    </row>
    <row r="4478" spans="1:5" ht="27" x14ac:dyDescent="0.25">
      <c r="A4478" s="508">
        <v>93091</v>
      </c>
      <c r="B4478" s="509" t="s">
        <v>6730</v>
      </c>
      <c r="C4478" s="508" t="s">
        <v>107</v>
      </c>
      <c r="D4478" s="508">
        <v>18.62</v>
      </c>
      <c r="E4478" s="461" t="s">
        <v>174</v>
      </c>
    </row>
    <row r="4479" spans="1:5" ht="27" x14ac:dyDescent="0.25">
      <c r="A4479" s="508">
        <v>93092</v>
      </c>
      <c r="B4479" s="509" t="s">
        <v>6731</v>
      </c>
      <c r="C4479" s="508" t="s">
        <v>107</v>
      </c>
      <c r="D4479" s="508">
        <v>648.02</v>
      </c>
      <c r="E4479" s="461" t="s">
        <v>174</v>
      </c>
    </row>
    <row r="4480" spans="1:5" ht="40.5" x14ac:dyDescent="0.25">
      <c r="A4480" s="508">
        <v>93093</v>
      </c>
      <c r="B4480" s="509" t="s">
        <v>6732</v>
      </c>
      <c r="C4480" s="508" t="s">
        <v>107</v>
      </c>
      <c r="D4480" s="508">
        <v>34.33</v>
      </c>
      <c r="E4480" s="461" t="s">
        <v>174</v>
      </c>
    </row>
    <row r="4481" spans="1:5" ht="40.5" x14ac:dyDescent="0.25">
      <c r="A4481" s="508">
        <v>93094</v>
      </c>
      <c r="B4481" s="509" t="s">
        <v>6733</v>
      </c>
      <c r="C4481" s="508" t="s">
        <v>107</v>
      </c>
      <c r="D4481" s="508">
        <v>91.57</v>
      </c>
      <c r="E4481" s="461" t="s">
        <v>174</v>
      </c>
    </row>
    <row r="4482" spans="1:5" ht="27" x14ac:dyDescent="0.25">
      <c r="A4482" s="508">
        <v>93097</v>
      </c>
      <c r="B4482" s="509" t="s">
        <v>6734</v>
      </c>
      <c r="C4482" s="508" t="s">
        <v>107</v>
      </c>
      <c r="D4482" s="508">
        <v>15.18</v>
      </c>
      <c r="E4482" s="461" t="s">
        <v>174</v>
      </c>
    </row>
    <row r="4483" spans="1:5" ht="40.5" x14ac:dyDescent="0.25">
      <c r="A4483" s="508">
        <v>93098</v>
      </c>
      <c r="B4483" s="509" t="s">
        <v>6735</v>
      </c>
      <c r="C4483" s="508" t="s">
        <v>107</v>
      </c>
      <c r="D4483" s="508">
        <v>22.2</v>
      </c>
      <c r="E4483" s="461" t="s">
        <v>174</v>
      </c>
    </row>
    <row r="4484" spans="1:5" ht="27" x14ac:dyDescent="0.25">
      <c r="A4484" s="508">
        <v>93099</v>
      </c>
      <c r="B4484" s="509" t="s">
        <v>6736</v>
      </c>
      <c r="C4484" s="508" t="s">
        <v>107</v>
      </c>
      <c r="D4484" s="508">
        <v>27.22</v>
      </c>
      <c r="E4484" s="461" t="s">
        <v>174</v>
      </c>
    </row>
    <row r="4485" spans="1:5" ht="40.5" x14ac:dyDescent="0.25">
      <c r="A4485" s="508">
        <v>93100</v>
      </c>
      <c r="B4485" s="509" t="s">
        <v>6737</v>
      </c>
      <c r="C4485" s="508" t="s">
        <v>107</v>
      </c>
      <c r="D4485" s="508">
        <v>32.93</v>
      </c>
      <c r="E4485" s="461" t="s">
        <v>174</v>
      </c>
    </row>
    <row r="4486" spans="1:5" ht="40.5" x14ac:dyDescent="0.25">
      <c r="A4486" s="508">
        <v>93101</v>
      </c>
      <c r="B4486" s="509" t="s">
        <v>6738</v>
      </c>
      <c r="C4486" s="508" t="s">
        <v>107</v>
      </c>
      <c r="D4486" s="508">
        <v>36.85</v>
      </c>
      <c r="E4486" s="461" t="s">
        <v>174</v>
      </c>
    </row>
    <row r="4487" spans="1:5" ht="27" x14ac:dyDescent="0.25">
      <c r="A4487" s="508">
        <v>93102</v>
      </c>
      <c r="B4487" s="509" t="s">
        <v>6739</v>
      </c>
      <c r="C4487" s="508" t="s">
        <v>107</v>
      </c>
      <c r="D4487" s="508">
        <v>39.22</v>
      </c>
      <c r="E4487" s="461" t="s">
        <v>174</v>
      </c>
    </row>
    <row r="4488" spans="1:5" ht="27" x14ac:dyDescent="0.25">
      <c r="A4488" s="508">
        <v>93103</v>
      </c>
      <c r="B4488" s="509" t="s">
        <v>6740</v>
      </c>
      <c r="C4488" s="508" t="s">
        <v>107</v>
      </c>
      <c r="D4488" s="508">
        <v>9.8800000000000008</v>
      </c>
      <c r="E4488" s="461" t="s">
        <v>174</v>
      </c>
    </row>
    <row r="4489" spans="1:5" ht="40.5" x14ac:dyDescent="0.25">
      <c r="A4489" s="508">
        <v>93104</v>
      </c>
      <c r="B4489" s="509" t="s">
        <v>6741</v>
      </c>
      <c r="C4489" s="508" t="s">
        <v>107</v>
      </c>
      <c r="D4489" s="508">
        <v>20.92</v>
      </c>
      <c r="E4489" s="461" t="s">
        <v>174</v>
      </c>
    </row>
    <row r="4490" spans="1:5" ht="40.5" x14ac:dyDescent="0.25">
      <c r="A4490" s="508">
        <v>93105</v>
      </c>
      <c r="B4490" s="509" t="s">
        <v>6742</v>
      </c>
      <c r="C4490" s="508" t="s">
        <v>107</v>
      </c>
      <c r="D4490" s="508">
        <v>27.17</v>
      </c>
      <c r="E4490" s="461" t="s">
        <v>174</v>
      </c>
    </row>
    <row r="4491" spans="1:5" ht="27" x14ac:dyDescent="0.25">
      <c r="A4491" s="508">
        <v>93106</v>
      </c>
      <c r="B4491" s="509" t="s">
        <v>6743</v>
      </c>
      <c r="C4491" s="508" t="s">
        <v>107</v>
      </c>
      <c r="D4491" s="508">
        <v>508.01</v>
      </c>
      <c r="E4491" s="461" t="s">
        <v>174</v>
      </c>
    </row>
    <row r="4492" spans="1:5" ht="27" x14ac:dyDescent="0.25">
      <c r="A4492" s="508">
        <v>93107</v>
      </c>
      <c r="B4492" s="509" t="s">
        <v>6744</v>
      </c>
      <c r="C4492" s="508" t="s">
        <v>107</v>
      </c>
      <c r="D4492" s="508">
        <v>17.920000000000002</v>
      </c>
      <c r="E4492" s="461" t="s">
        <v>174</v>
      </c>
    </row>
    <row r="4493" spans="1:5" ht="40.5" x14ac:dyDescent="0.25">
      <c r="A4493" s="508">
        <v>93108</v>
      </c>
      <c r="B4493" s="509" t="s">
        <v>6745</v>
      </c>
      <c r="C4493" s="508" t="s">
        <v>107</v>
      </c>
      <c r="D4493" s="508">
        <v>15.1</v>
      </c>
      <c r="E4493" s="461" t="s">
        <v>174</v>
      </c>
    </row>
    <row r="4494" spans="1:5" ht="27" x14ac:dyDescent="0.25">
      <c r="A4494" s="508">
        <v>93109</v>
      </c>
      <c r="B4494" s="509" t="s">
        <v>6746</v>
      </c>
      <c r="C4494" s="508" t="s">
        <v>107</v>
      </c>
      <c r="D4494" s="508">
        <v>591.80999999999995</v>
      </c>
      <c r="E4494" s="461" t="s">
        <v>174</v>
      </c>
    </row>
    <row r="4495" spans="1:5" ht="40.5" x14ac:dyDescent="0.25">
      <c r="A4495" s="508">
        <v>93110</v>
      </c>
      <c r="B4495" s="509" t="s">
        <v>6747</v>
      </c>
      <c r="C4495" s="508" t="s">
        <v>107</v>
      </c>
      <c r="D4495" s="508">
        <v>22.94</v>
      </c>
      <c r="E4495" s="461" t="s">
        <v>174</v>
      </c>
    </row>
    <row r="4496" spans="1:5" ht="40.5" x14ac:dyDescent="0.25">
      <c r="A4496" s="508">
        <v>93111</v>
      </c>
      <c r="B4496" s="509" t="s">
        <v>6748</v>
      </c>
      <c r="C4496" s="508" t="s">
        <v>107</v>
      </c>
      <c r="D4496" s="508">
        <v>27.8</v>
      </c>
      <c r="E4496" s="461" t="s">
        <v>174</v>
      </c>
    </row>
    <row r="4497" spans="1:5" ht="40.5" x14ac:dyDescent="0.25">
      <c r="A4497" s="508">
        <v>93112</v>
      </c>
      <c r="B4497" s="509" t="s">
        <v>6749</v>
      </c>
      <c r="C4497" s="508" t="s">
        <v>107</v>
      </c>
      <c r="D4497" s="508">
        <v>55.92</v>
      </c>
      <c r="E4497" s="461" t="s">
        <v>174</v>
      </c>
    </row>
    <row r="4498" spans="1:5" ht="27" x14ac:dyDescent="0.25">
      <c r="A4498" s="508">
        <v>93113</v>
      </c>
      <c r="B4498" s="509" t="s">
        <v>6750</v>
      </c>
      <c r="C4498" s="508" t="s">
        <v>107</v>
      </c>
      <c r="D4498" s="508">
        <v>25.72</v>
      </c>
      <c r="E4498" s="461" t="s">
        <v>174</v>
      </c>
    </row>
    <row r="4499" spans="1:5" ht="40.5" x14ac:dyDescent="0.25">
      <c r="A4499" s="508">
        <v>93114</v>
      </c>
      <c r="B4499" s="509" t="s">
        <v>6751</v>
      </c>
      <c r="C4499" s="508" t="s">
        <v>107</v>
      </c>
      <c r="D4499" s="508">
        <v>36.340000000000003</v>
      </c>
      <c r="E4499" s="461" t="s">
        <v>174</v>
      </c>
    </row>
    <row r="4500" spans="1:5" ht="40.5" x14ac:dyDescent="0.25">
      <c r="A4500" s="508">
        <v>93115</v>
      </c>
      <c r="B4500" s="509" t="s">
        <v>6752</v>
      </c>
      <c r="C4500" s="508" t="s">
        <v>107</v>
      </c>
      <c r="D4500" s="508">
        <v>95.6</v>
      </c>
      <c r="E4500" s="461" t="s">
        <v>174</v>
      </c>
    </row>
    <row r="4501" spans="1:5" ht="27" x14ac:dyDescent="0.25">
      <c r="A4501" s="508">
        <v>93116</v>
      </c>
      <c r="B4501" s="509" t="s">
        <v>6753</v>
      </c>
      <c r="C4501" s="508" t="s">
        <v>107</v>
      </c>
      <c r="D4501" s="508">
        <v>652.04999999999995</v>
      </c>
      <c r="E4501" s="461" t="s">
        <v>174</v>
      </c>
    </row>
    <row r="4502" spans="1:5" ht="40.5" x14ac:dyDescent="0.25">
      <c r="A4502" s="508">
        <v>93117</v>
      </c>
      <c r="B4502" s="509" t="s">
        <v>6754</v>
      </c>
      <c r="C4502" s="508" t="s">
        <v>107</v>
      </c>
      <c r="D4502" s="508">
        <v>65.31</v>
      </c>
      <c r="E4502" s="461" t="s">
        <v>174</v>
      </c>
    </row>
    <row r="4503" spans="1:5" ht="40.5" x14ac:dyDescent="0.25">
      <c r="A4503" s="508">
        <v>93118</v>
      </c>
      <c r="B4503" s="509" t="s">
        <v>6755</v>
      </c>
      <c r="C4503" s="508" t="s">
        <v>107</v>
      </c>
      <c r="D4503" s="508">
        <v>96.26</v>
      </c>
      <c r="E4503" s="461" t="s">
        <v>174</v>
      </c>
    </row>
    <row r="4504" spans="1:5" ht="27" x14ac:dyDescent="0.25">
      <c r="A4504" s="508">
        <v>93119</v>
      </c>
      <c r="B4504" s="509" t="s">
        <v>6756</v>
      </c>
      <c r="C4504" s="508" t="s">
        <v>107</v>
      </c>
      <c r="D4504" s="508">
        <v>19.309999999999999</v>
      </c>
      <c r="E4504" s="461" t="s">
        <v>174</v>
      </c>
    </row>
    <row r="4505" spans="1:5" ht="27" x14ac:dyDescent="0.25">
      <c r="A4505" s="508">
        <v>93120</v>
      </c>
      <c r="B4505" s="509" t="s">
        <v>6757</v>
      </c>
      <c r="C4505" s="508" t="s">
        <v>107</v>
      </c>
      <c r="D4505" s="508">
        <v>28.99</v>
      </c>
      <c r="E4505" s="461" t="s">
        <v>174</v>
      </c>
    </row>
    <row r="4506" spans="1:5" ht="27" x14ac:dyDescent="0.25">
      <c r="A4506" s="508">
        <v>93121</v>
      </c>
      <c r="B4506" s="509" t="s">
        <v>6758</v>
      </c>
      <c r="C4506" s="508" t="s">
        <v>107</v>
      </c>
      <c r="D4506" s="508">
        <v>32.909999999999997</v>
      </c>
      <c r="E4506" s="461" t="s">
        <v>174</v>
      </c>
    </row>
    <row r="4507" spans="1:5" ht="27" x14ac:dyDescent="0.25">
      <c r="A4507" s="508">
        <v>93122</v>
      </c>
      <c r="B4507" s="509" t="s">
        <v>6759</v>
      </c>
      <c r="C4507" s="508" t="s">
        <v>107</v>
      </c>
      <c r="D4507" s="508">
        <v>29.02</v>
      </c>
      <c r="E4507" s="461" t="s">
        <v>174</v>
      </c>
    </row>
    <row r="4508" spans="1:5" ht="27" x14ac:dyDescent="0.25">
      <c r="A4508" s="508">
        <v>93123</v>
      </c>
      <c r="B4508" s="509" t="s">
        <v>6760</v>
      </c>
      <c r="C4508" s="508" t="s">
        <v>107</v>
      </c>
      <c r="D4508" s="508">
        <v>64.92</v>
      </c>
      <c r="E4508" s="461" t="s">
        <v>174</v>
      </c>
    </row>
    <row r="4509" spans="1:5" ht="27" x14ac:dyDescent="0.25">
      <c r="A4509" s="508">
        <v>93124</v>
      </c>
      <c r="B4509" s="509" t="s">
        <v>6761</v>
      </c>
      <c r="C4509" s="508" t="s">
        <v>107</v>
      </c>
      <c r="D4509" s="508">
        <v>102.03</v>
      </c>
      <c r="E4509" s="461" t="s">
        <v>174</v>
      </c>
    </row>
    <row r="4510" spans="1:5" ht="27" x14ac:dyDescent="0.25">
      <c r="A4510" s="508">
        <v>93125</v>
      </c>
      <c r="B4510" s="509" t="s">
        <v>6762</v>
      </c>
      <c r="C4510" s="508" t="s">
        <v>107</v>
      </c>
      <c r="D4510" s="508">
        <v>150.06</v>
      </c>
      <c r="E4510" s="461" t="s">
        <v>174</v>
      </c>
    </row>
    <row r="4511" spans="1:5" ht="27" x14ac:dyDescent="0.25">
      <c r="A4511" s="508">
        <v>93126</v>
      </c>
      <c r="B4511" s="509" t="s">
        <v>6763</v>
      </c>
      <c r="C4511" s="508" t="s">
        <v>107</v>
      </c>
      <c r="D4511" s="508">
        <v>331.9</v>
      </c>
      <c r="E4511" s="461" t="s">
        <v>174</v>
      </c>
    </row>
    <row r="4512" spans="1:5" ht="27" x14ac:dyDescent="0.25">
      <c r="A4512" s="508">
        <v>93133</v>
      </c>
      <c r="B4512" s="509" t="s">
        <v>6764</v>
      </c>
      <c r="C4512" s="508" t="s">
        <v>107</v>
      </c>
      <c r="D4512" s="508">
        <v>21.75</v>
      </c>
      <c r="E4512" s="461" t="s">
        <v>174</v>
      </c>
    </row>
    <row r="4513" spans="1:5" ht="27" x14ac:dyDescent="0.25">
      <c r="A4513" s="508">
        <v>94465</v>
      </c>
      <c r="B4513" s="509" t="s">
        <v>6765</v>
      </c>
      <c r="C4513" s="508" t="s">
        <v>107</v>
      </c>
      <c r="D4513" s="508">
        <v>56.69</v>
      </c>
      <c r="E4513" s="461" t="s">
        <v>174</v>
      </c>
    </row>
    <row r="4514" spans="1:5" ht="27" x14ac:dyDescent="0.25">
      <c r="A4514" s="508">
        <v>94466</v>
      </c>
      <c r="B4514" s="509" t="s">
        <v>6766</v>
      </c>
      <c r="C4514" s="508" t="s">
        <v>107</v>
      </c>
      <c r="D4514" s="508">
        <v>56.72</v>
      </c>
      <c r="E4514" s="461" t="s">
        <v>174</v>
      </c>
    </row>
    <row r="4515" spans="1:5" ht="27" x14ac:dyDescent="0.25">
      <c r="A4515" s="508">
        <v>94467</v>
      </c>
      <c r="B4515" s="509" t="s">
        <v>6767</v>
      </c>
      <c r="C4515" s="508" t="s">
        <v>107</v>
      </c>
      <c r="D4515" s="508">
        <v>92.01</v>
      </c>
      <c r="E4515" s="461" t="s">
        <v>174</v>
      </c>
    </row>
    <row r="4516" spans="1:5" ht="27" x14ac:dyDescent="0.25">
      <c r="A4516" s="508">
        <v>94468</v>
      </c>
      <c r="B4516" s="509" t="s">
        <v>6768</v>
      </c>
      <c r="C4516" s="508" t="s">
        <v>107</v>
      </c>
      <c r="D4516" s="508">
        <v>80.540000000000006</v>
      </c>
      <c r="E4516" s="461" t="s">
        <v>174</v>
      </c>
    </row>
    <row r="4517" spans="1:5" ht="27" x14ac:dyDescent="0.25">
      <c r="A4517" s="508">
        <v>94469</v>
      </c>
      <c r="B4517" s="509" t="s">
        <v>6769</v>
      </c>
      <c r="C4517" s="508" t="s">
        <v>107</v>
      </c>
      <c r="D4517" s="508">
        <v>132.09</v>
      </c>
      <c r="E4517" s="461" t="s">
        <v>174</v>
      </c>
    </row>
    <row r="4518" spans="1:5" ht="27" x14ac:dyDescent="0.25">
      <c r="A4518" s="508">
        <v>94470</v>
      </c>
      <c r="B4518" s="509" t="s">
        <v>6770</v>
      </c>
      <c r="C4518" s="508" t="s">
        <v>107</v>
      </c>
      <c r="D4518" s="508">
        <v>121.88</v>
      </c>
      <c r="E4518" s="461" t="s">
        <v>174</v>
      </c>
    </row>
    <row r="4519" spans="1:5" ht="27" x14ac:dyDescent="0.25">
      <c r="A4519" s="508">
        <v>94471</v>
      </c>
      <c r="B4519" s="509" t="s">
        <v>6771</v>
      </c>
      <c r="C4519" s="508" t="s">
        <v>107</v>
      </c>
      <c r="D4519" s="508">
        <v>81.63</v>
      </c>
      <c r="E4519" s="461" t="s">
        <v>174</v>
      </c>
    </row>
    <row r="4520" spans="1:5" ht="27" x14ac:dyDescent="0.25">
      <c r="A4520" s="508">
        <v>94472</v>
      </c>
      <c r="B4520" s="509" t="s">
        <v>6772</v>
      </c>
      <c r="C4520" s="508" t="s">
        <v>107</v>
      </c>
      <c r="D4520" s="508">
        <v>84.18</v>
      </c>
      <c r="E4520" s="461" t="s">
        <v>174</v>
      </c>
    </row>
    <row r="4521" spans="1:5" ht="27" x14ac:dyDescent="0.25">
      <c r="A4521" s="508">
        <v>94473</v>
      </c>
      <c r="B4521" s="509" t="s">
        <v>6773</v>
      </c>
      <c r="C4521" s="508" t="s">
        <v>107</v>
      </c>
      <c r="D4521" s="508">
        <v>131.72999999999999</v>
      </c>
      <c r="E4521" s="461" t="s">
        <v>174</v>
      </c>
    </row>
    <row r="4522" spans="1:5" ht="27" x14ac:dyDescent="0.25">
      <c r="A4522" s="508">
        <v>94474</v>
      </c>
      <c r="B4522" s="509" t="s">
        <v>6774</v>
      </c>
      <c r="C4522" s="508" t="s">
        <v>107</v>
      </c>
      <c r="D4522" s="508">
        <v>142.96</v>
      </c>
      <c r="E4522" s="461" t="s">
        <v>174</v>
      </c>
    </row>
    <row r="4523" spans="1:5" ht="27" x14ac:dyDescent="0.25">
      <c r="A4523" s="508">
        <v>94475</v>
      </c>
      <c r="B4523" s="509" t="s">
        <v>6775</v>
      </c>
      <c r="C4523" s="508" t="s">
        <v>107</v>
      </c>
      <c r="D4523" s="508">
        <v>178.81</v>
      </c>
      <c r="E4523" s="461" t="s">
        <v>174</v>
      </c>
    </row>
    <row r="4524" spans="1:5" ht="27" x14ac:dyDescent="0.25">
      <c r="A4524" s="508">
        <v>94476</v>
      </c>
      <c r="B4524" s="509" t="s">
        <v>6776</v>
      </c>
      <c r="C4524" s="508" t="s">
        <v>107</v>
      </c>
      <c r="D4524" s="508">
        <v>200.45</v>
      </c>
      <c r="E4524" s="461" t="s">
        <v>174</v>
      </c>
    </row>
    <row r="4525" spans="1:5" ht="27" x14ac:dyDescent="0.25">
      <c r="A4525" s="508">
        <v>94477</v>
      </c>
      <c r="B4525" s="509" t="s">
        <v>6777</v>
      </c>
      <c r="C4525" s="508" t="s">
        <v>107</v>
      </c>
      <c r="D4525" s="508">
        <v>108.75</v>
      </c>
      <c r="E4525" s="461" t="s">
        <v>174</v>
      </c>
    </row>
    <row r="4526" spans="1:5" ht="27" x14ac:dyDescent="0.25">
      <c r="A4526" s="508">
        <v>94478</v>
      </c>
      <c r="B4526" s="509" t="s">
        <v>6778</v>
      </c>
      <c r="C4526" s="508" t="s">
        <v>107</v>
      </c>
      <c r="D4526" s="508">
        <v>181.23</v>
      </c>
      <c r="E4526" s="461" t="s">
        <v>174</v>
      </c>
    </row>
    <row r="4527" spans="1:5" ht="27" x14ac:dyDescent="0.25">
      <c r="A4527" s="508">
        <v>94479</v>
      </c>
      <c r="B4527" s="509" t="s">
        <v>6779</v>
      </c>
      <c r="C4527" s="508" t="s">
        <v>107</v>
      </c>
      <c r="D4527" s="508">
        <v>236.27</v>
      </c>
      <c r="E4527" s="461" t="s">
        <v>174</v>
      </c>
    </row>
    <row r="4528" spans="1:5" ht="27" x14ac:dyDescent="0.25">
      <c r="A4528" s="508">
        <v>94606</v>
      </c>
      <c r="B4528" s="509" t="s">
        <v>6780</v>
      </c>
      <c r="C4528" s="508" t="s">
        <v>107</v>
      </c>
      <c r="D4528" s="508">
        <v>87.42</v>
      </c>
      <c r="E4528" s="461" t="s">
        <v>174</v>
      </c>
    </row>
    <row r="4529" spans="1:5" ht="27" x14ac:dyDescent="0.25">
      <c r="A4529" s="508">
        <v>94608</v>
      </c>
      <c r="B4529" s="509" t="s">
        <v>6781</v>
      </c>
      <c r="C4529" s="508" t="s">
        <v>107</v>
      </c>
      <c r="D4529" s="508">
        <v>220.27</v>
      </c>
      <c r="E4529" s="461" t="s">
        <v>174</v>
      </c>
    </row>
    <row r="4530" spans="1:5" ht="27" x14ac:dyDescent="0.25">
      <c r="A4530" s="508">
        <v>94610</v>
      </c>
      <c r="B4530" s="509" t="s">
        <v>6782</v>
      </c>
      <c r="C4530" s="508" t="s">
        <v>107</v>
      </c>
      <c r="D4530" s="508">
        <v>322.57</v>
      </c>
      <c r="E4530" s="461" t="s">
        <v>174</v>
      </c>
    </row>
    <row r="4531" spans="1:5" ht="27" x14ac:dyDescent="0.25">
      <c r="A4531" s="508">
        <v>94612</v>
      </c>
      <c r="B4531" s="509" t="s">
        <v>6783</v>
      </c>
      <c r="C4531" s="508" t="s">
        <v>107</v>
      </c>
      <c r="D4531" s="508">
        <v>458.75</v>
      </c>
      <c r="E4531" s="461" t="s">
        <v>174</v>
      </c>
    </row>
    <row r="4532" spans="1:5" ht="27" x14ac:dyDescent="0.25">
      <c r="A4532" s="508">
        <v>94614</v>
      </c>
      <c r="B4532" s="509" t="s">
        <v>6784</v>
      </c>
      <c r="C4532" s="508" t="s">
        <v>107</v>
      </c>
      <c r="D4532" s="508">
        <v>149.36000000000001</v>
      </c>
      <c r="E4532" s="461" t="s">
        <v>174</v>
      </c>
    </row>
    <row r="4533" spans="1:5" ht="27" x14ac:dyDescent="0.25">
      <c r="A4533" s="508">
        <v>94615</v>
      </c>
      <c r="B4533" s="509" t="s">
        <v>6785</v>
      </c>
      <c r="C4533" s="508" t="s">
        <v>107</v>
      </c>
      <c r="D4533" s="508">
        <v>169.74</v>
      </c>
      <c r="E4533" s="461" t="s">
        <v>174</v>
      </c>
    </row>
    <row r="4534" spans="1:5" ht="27" x14ac:dyDescent="0.25">
      <c r="A4534" s="508">
        <v>94616</v>
      </c>
      <c r="B4534" s="509" t="s">
        <v>6786</v>
      </c>
      <c r="C4534" s="508" t="s">
        <v>107</v>
      </c>
      <c r="D4534" s="508">
        <v>420.74</v>
      </c>
      <c r="E4534" s="461" t="s">
        <v>174</v>
      </c>
    </row>
    <row r="4535" spans="1:5" ht="27" x14ac:dyDescent="0.25">
      <c r="A4535" s="508">
        <v>94617</v>
      </c>
      <c r="B4535" s="509" t="s">
        <v>6787</v>
      </c>
      <c r="C4535" s="508" t="s">
        <v>107</v>
      </c>
      <c r="D4535" s="508">
        <v>349.85</v>
      </c>
      <c r="E4535" s="461" t="s">
        <v>174</v>
      </c>
    </row>
    <row r="4536" spans="1:5" ht="27" x14ac:dyDescent="0.25">
      <c r="A4536" s="508">
        <v>94618</v>
      </c>
      <c r="B4536" s="509" t="s">
        <v>6788</v>
      </c>
      <c r="C4536" s="508" t="s">
        <v>107</v>
      </c>
      <c r="D4536" s="508">
        <v>408.88</v>
      </c>
      <c r="E4536" s="461" t="s">
        <v>174</v>
      </c>
    </row>
    <row r="4537" spans="1:5" ht="27" x14ac:dyDescent="0.25">
      <c r="A4537" s="508">
        <v>94620</v>
      </c>
      <c r="B4537" s="509" t="s">
        <v>6789</v>
      </c>
      <c r="C4537" s="508" t="s">
        <v>107</v>
      </c>
      <c r="D4537" s="508">
        <v>945.18</v>
      </c>
      <c r="E4537" s="461" t="s">
        <v>174</v>
      </c>
    </row>
    <row r="4538" spans="1:5" ht="27" x14ac:dyDescent="0.25">
      <c r="A4538" s="508">
        <v>94622</v>
      </c>
      <c r="B4538" s="509" t="s">
        <v>6790</v>
      </c>
      <c r="C4538" s="508" t="s">
        <v>107</v>
      </c>
      <c r="D4538" s="508">
        <v>218.01</v>
      </c>
      <c r="E4538" s="461" t="s">
        <v>174</v>
      </c>
    </row>
    <row r="4539" spans="1:5" ht="27" x14ac:dyDescent="0.25">
      <c r="A4539" s="508">
        <v>94623</v>
      </c>
      <c r="B4539" s="509" t="s">
        <v>6791</v>
      </c>
      <c r="C4539" s="508" t="s">
        <v>107</v>
      </c>
      <c r="D4539" s="508">
        <v>520.99</v>
      </c>
      <c r="E4539" s="461" t="s">
        <v>174</v>
      </c>
    </row>
    <row r="4540" spans="1:5" ht="27" x14ac:dyDescent="0.25">
      <c r="A4540" s="508">
        <v>94624</v>
      </c>
      <c r="B4540" s="509" t="s">
        <v>6792</v>
      </c>
      <c r="C4540" s="508" t="s">
        <v>107</v>
      </c>
      <c r="D4540" s="508">
        <v>785.48</v>
      </c>
      <c r="E4540" s="461" t="s">
        <v>174</v>
      </c>
    </row>
    <row r="4541" spans="1:5" ht="27" x14ac:dyDescent="0.25">
      <c r="A4541" s="508">
        <v>94625</v>
      </c>
      <c r="B4541" s="509" t="s">
        <v>6793</v>
      </c>
      <c r="C4541" s="508" t="s">
        <v>107</v>
      </c>
      <c r="D4541" s="508">
        <v>1646.91</v>
      </c>
      <c r="E4541" s="461" t="s">
        <v>174</v>
      </c>
    </row>
    <row r="4542" spans="1:5" ht="27" x14ac:dyDescent="0.25">
      <c r="A4542" s="508">
        <v>94656</v>
      </c>
      <c r="B4542" s="509" t="s">
        <v>6794</v>
      </c>
      <c r="C4542" s="508" t="s">
        <v>107</v>
      </c>
      <c r="D4542" s="508">
        <v>3.55</v>
      </c>
      <c r="E4542" s="461" t="s">
        <v>174</v>
      </c>
    </row>
    <row r="4543" spans="1:5" ht="27" x14ac:dyDescent="0.25">
      <c r="A4543" s="508">
        <v>94657</v>
      </c>
      <c r="B4543" s="509" t="s">
        <v>6795</v>
      </c>
      <c r="C4543" s="508" t="s">
        <v>107</v>
      </c>
      <c r="D4543" s="508">
        <v>3.98</v>
      </c>
      <c r="E4543" s="461" t="s">
        <v>174</v>
      </c>
    </row>
    <row r="4544" spans="1:5" ht="27" x14ac:dyDescent="0.25">
      <c r="A4544" s="508">
        <v>94658</v>
      </c>
      <c r="B4544" s="509" t="s">
        <v>6796</v>
      </c>
      <c r="C4544" s="508" t="s">
        <v>107</v>
      </c>
      <c r="D4544" s="508">
        <v>5.29</v>
      </c>
      <c r="E4544" s="461" t="s">
        <v>174</v>
      </c>
    </row>
    <row r="4545" spans="1:5" ht="27" x14ac:dyDescent="0.25">
      <c r="A4545" s="508">
        <v>94659</v>
      </c>
      <c r="B4545" s="509" t="s">
        <v>6797</v>
      </c>
      <c r="C4545" s="508" t="s">
        <v>107</v>
      </c>
      <c r="D4545" s="508">
        <v>6.16</v>
      </c>
      <c r="E4545" s="461" t="s">
        <v>174</v>
      </c>
    </row>
    <row r="4546" spans="1:5" ht="27" x14ac:dyDescent="0.25">
      <c r="A4546" s="508">
        <v>94660</v>
      </c>
      <c r="B4546" s="509" t="s">
        <v>6798</v>
      </c>
      <c r="C4546" s="508" t="s">
        <v>107</v>
      </c>
      <c r="D4546" s="508">
        <v>8.32</v>
      </c>
      <c r="E4546" s="461" t="s">
        <v>174</v>
      </c>
    </row>
    <row r="4547" spans="1:5" ht="27" x14ac:dyDescent="0.25">
      <c r="A4547" s="508">
        <v>94661</v>
      </c>
      <c r="B4547" s="509" t="s">
        <v>6799</v>
      </c>
      <c r="C4547" s="508" t="s">
        <v>107</v>
      </c>
      <c r="D4547" s="508">
        <v>9.7100000000000009</v>
      </c>
      <c r="E4547" s="461" t="s">
        <v>174</v>
      </c>
    </row>
    <row r="4548" spans="1:5" ht="27" x14ac:dyDescent="0.25">
      <c r="A4548" s="508">
        <v>94662</v>
      </c>
      <c r="B4548" s="509" t="s">
        <v>6800</v>
      </c>
      <c r="C4548" s="508" t="s">
        <v>107</v>
      </c>
      <c r="D4548" s="508">
        <v>10.97</v>
      </c>
      <c r="E4548" s="461" t="s">
        <v>174</v>
      </c>
    </row>
    <row r="4549" spans="1:5" ht="27" x14ac:dyDescent="0.25">
      <c r="A4549" s="508">
        <v>94663</v>
      </c>
      <c r="B4549" s="509" t="s">
        <v>6801</v>
      </c>
      <c r="C4549" s="508" t="s">
        <v>107</v>
      </c>
      <c r="D4549" s="508">
        <v>12.19</v>
      </c>
      <c r="E4549" s="461" t="s">
        <v>174</v>
      </c>
    </row>
    <row r="4550" spans="1:5" ht="27" x14ac:dyDescent="0.25">
      <c r="A4550" s="508">
        <v>94664</v>
      </c>
      <c r="B4550" s="509" t="s">
        <v>6802</v>
      </c>
      <c r="C4550" s="508" t="s">
        <v>107</v>
      </c>
      <c r="D4550" s="508">
        <v>19.82</v>
      </c>
      <c r="E4550" s="461" t="s">
        <v>174</v>
      </c>
    </row>
    <row r="4551" spans="1:5" ht="27" x14ac:dyDescent="0.25">
      <c r="A4551" s="508">
        <v>94665</v>
      </c>
      <c r="B4551" s="509" t="s">
        <v>6803</v>
      </c>
      <c r="C4551" s="508" t="s">
        <v>107</v>
      </c>
      <c r="D4551" s="508">
        <v>23.72</v>
      </c>
      <c r="E4551" s="461" t="s">
        <v>174</v>
      </c>
    </row>
    <row r="4552" spans="1:5" ht="27" x14ac:dyDescent="0.25">
      <c r="A4552" s="508">
        <v>94666</v>
      </c>
      <c r="B4552" s="509" t="s">
        <v>6804</v>
      </c>
      <c r="C4552" s="508" t="s">
        <v>107</v>
      </c>
      <c r="D4552" s="508">
        <v>32.159999999999997</v>
      </c>
      <c r="E4552" s="461" t="s">
        <v>174</v>
      </c>
    </row>
    <row r="4553" spans="1:5" ht="27" x14ac:dyDescent="0.25">
      <c r="A4553" s="508">
        <v>94667</v>
      </c>
      <c r="B4553" s="509" t="s">
        <v>6805</v>
      </c>
      <c r="C4553" s="508" t="s">
        <v>107</v>
      </c>
      <c r="D4553" s="508">
        <v>34.92</v>
      </c>
      <c r="E4553" s="461" t="s">
        <v>174</v>
      </c>
    </row>
    <row r="4554" spans="1:5" ht="27" x14ac:dyDescent="0.25">
      <c r="A4554" s="508">
        <v>94668</v>
      </c>
      <c r="B4554" s="509" t="s">
        <v>6806</v>
      </c>
      <c r="C4554" s="508" t="s">
        <v>107</v>
      </c>
      <c r="D4554" s="508">
        <v>42.68</v>
      </c>
      <c r="E4554" s="461" t="s">
        <v>174</v>
      </c>
    </row>
    <row r="4555" spans="1:5" ht="27" x14ac:dyDescent="0.25">
      <c r="A4555" s="508">
        <v>94669</v>
      </c>
      <c r="B4555" s="509" t="s">
        <v>6807</v>
      </c>
      <c r="C4555" s="508" t="s">
        <v>107</v>
      </c>
      <c r="D4555" s="508">
        <v>62.79</v>
      </c>
      <c r="E4555" s="461" t="s">
        <v>174</v>
      </c>
    </row>
    <row r="4556" spans="1:5" ht="27" x14ac:dyDescent="0.25">
      <c r="A4556" s="508">
        <v>94670</v>
      </c>
      <c r="B4556" s="509" t="s">
        <v>6808</v>
      </c>
      <c r="C4556" s="508" t="s">
        <v>107</v>
      </c>
      <c r="D4556" s="508">
        <v>67.849999999999994</v>
      </c>
      <c r="E4556" s="461" t="s">
        <v>174</v>
      </c>
    </row>
    <row r="4557" spans="1:5" ht="27" x14ac:dyDescent="0.25">
      <c r="A4557" s="508">
        <v>94671</v>
      </c>
      <c r="B4557" s="509" t="s">
        <v>6809</v>
      </c>
      <c r="C4557" s="508" t="s">
        <v>107</v>
      </c>
      <c r="D4557" s="508">
        <v>103.03</v>
      </c>
      <c r="E4557" s="461" t="s">
        <v>174</v>
      </c>
    </row>
    <row r="4558" spans="1:5" ht="27" x14ac:dyDescent="0.25">
      <c r="A4558" s="508">
        <v>94672</v>
      </c>
      <c r="B4558" s="509" t="s">
        <v>6810</v>
      </c>
      <c r="C4558" s="508" t="s">
        <v>107</v>
      </c>
      <c r="D4558" s="508">
        <v>6.1</v>
      </c>
      <c r="E4558" s="461" t="s">
        <v>174</v>
      </c>
    </row>
    <row r="4559" spans="1:5" ht="27" x14ac:dyDescent="0.25">
      <c r="A4559" s="508">
        <v>94673</v>
      </c>
      <c r="B4559" s="509" t="s">
        <v>6811</v>
      </c>
      <c r="C4559" s="508" t="s">
        <v>107</v>
      </c>
      <c r="D4559" s="508">
        <v>7.15</v>
      </c>
      <c r="E4559" s="461" t="s">
        <v>174</v>
      </c>
    </row>
    <row r="4560" spans="1:5" ht="27" x14ac:dyDescent="0.25">
      <c r="A4560" s="508">
        <v>94674</v>
      </c>
      <c r="B4560" s="509" t="s">
        <v>6812</v>
      </c>
      <c r="C4560" s="508" t="s">
        <v>107</v>
      </c>
      <c r="D4560" s="508">
        <v>7.93</v>
      </c>
      <c r="E4560" s="461" t="s">
        <v>174</v>
      </c>
    </row>
    <row r="4561" spans="1:5" ht="27" x14ac:dyDescent="0.25">
      <c r="A4561" s="508">
        <v>94675</v>
      </c>
      <c r="B4561" s="509" t="s">
        <v>6813</v>
      </c>
      <c r="C4561" s="508" t="s">
        <v>107</v>
      </c>
      <c r="D4561" s="508">
        <v>11.89</v>
      </c>
      <c r="E4561" s="461" t="s">
        <v>174</v>
      </c>
    </row>
    <row r="4562" spans="1:5" ht="27" x14ac:dyDescent="0.25">
      <c r="A4562" s="508">
        <v>94676</v>
      </c>
      <c r="B4562" s="509" t="s">
        <v>6814</v>
      </c>
      <c r="C4562" s="508" t="s">
        <v>107</v>
      </c>
      <c r="D4562" s="508">
        <v>13.13</v>
      </c>
      <c r="E4562" s="461" t="s">
        <v>174</v>
      </c>
    </row>
    <row r="4563" spans="1:5" ht="27" x14ac:dyDescent="0.25">
      <c r="A4563" s="508">
        <v>94677</v>
      </c>
      <c r="B4563" s="509" t="s">
        <v>6815</v>
      </c>
      <c r="C4563" s="508" t="s">
        <v>107</v>
      </c>
      <c r="D4563" s="508">
        <v>19.14</v>
      </c>
      <c r="E4563" s="461" t="s">
        <v>174</v>
      </c>
    </row>
    <row r="4564" spans="1:5" ht="27" x14ac:dyDescent="0.25">
      <c r="A4564" s="508">
        <v>94678</v>
      </c>
      <c r="B4564" s="509" t="s">
        <v>6816</v>
      </c>
      <c r="C4564" s="508" t="s">
        <v>107</v>
      </c>
      <c r="D4564" s="508">
        <v>15.33</v>
      </c>
      <c r="E4564" s="461" t="s">
        <v>174</v>
      </c>
    </row>
    <row r="4565" spans="1:5" ht="27" x14ac:dyDescent="0.25">
      <c r="A4565" s="508">
        <v>94679</v>
      </c>
      <c r="B4565" s="509" t="s">
        <v>6817</v>
      </c>
      <c r="C4565" s="508" t="s">
        <v>107</v>
      </c>
      <c r="D4565" s="508">
        <v>23.24</v>
      </c>
      <c r="E4565" s="461" t="s">
        <v>174</v>
      </c>
    </row>
    <row r="4566" spans="1:5" ht="27" x14ac:dyDescent="0.25">
      <c r="A4566" s="508">
        <v>94680</v>
      </c>
      <c r="B4566" s="509" t="s">
        <v>6818</v>
      </c>
      <c r="C4566" s="508" t="s">
        <v>107</v>
      </c>
      <c r="D4566" s="508">
        <v>42.44</v>
      </c>
      <c r="E4566" s="461" t="s">
        <v>174</v>
      </c>
    </row>
    <row r="4567" spans="1:5" ht="27" x14ac:dyDescent="0.25">
      <c r="A4567" s="508">
        <v>94681</v>
      </c>
      <c r="B4567" s="509" t="s">
        <v>6819</v>
      </c>
      <c r="C4567" s="508" t="s">
        <v>107</v>
      </c>
      <c r="D4567" s="508">
        <v>47.49</v>
      </c>
      <c r="E4567" s="461" t="s">
        <v>174</v>
      </c>
    </row>
    <row r="4568" spans="1:5" ht="27" x14ac:dyDescent="0.25">
      <c r="A4568" s="508">
        <v>94682</v>
      </c>
      <c r="B4568" s="509" t="s">
        <v>6820</v>
      </c>
      <c r="C4568" s="508" t="s">
        <v>107</v>
      </c>
      <c r="D4568" s="508">
        <v>104.58</v>
      </c>
      <c r="E4568" s="461" t="s">
        <v>174</v>
      </c>
    </row>
    <row r="4569" spans="1:5" ht="27" x14ac:dyDescent="0.25">
      <c r="A4569" s="508">
        <v>94683</v>
      </c>
      <c r="B4569" s="509" t="s">
        <v>6821</v>
      </c>
      <c r="C4569" s="508" t="s">
        <v>107</v>
      </c>
      <c r="D4569" s="508">
        <v>72.14</v>
      </c>
      <c r="E4569" s="461" t="s">
        <v>174</v>
      </c>
    </row>
    <row r="4570" spans="1:5" ht="27" x14ac:dyDescent="0.25">
      <c r="A4570" s="508">
        <v>94684</v>
      </c>
      <c r="B4570" s="509" t="s">
        <v>6822</v>
      </c>
      <c r="C4570" s="508" t="s">
        <v>107</v>
      </c>
      <c r="D4570" s="508">
        <v>126.24</v>
      </c>
      <c r="E4570" s="461" t="s">
        <v>174</v>
      </c>
    </row>
    <row r="4571" spans="1:5" ht="27" x14ac:dyDescent="0.25">
      <c r="A4571" s="508">
        <v>94685</v>
      </c>
      <c r="B4571" s="509" t="s">
        <v>6823</v>
      </c>
      <c r="C4571" s="508" t="s">
        <v>107</v>
      </c>
      <c r="D4571" s="508">
        <v>91.86</v>
      </c>
      <c r="E4571" s="461" t="s">
        <v>174</v>
      </c>
    </row>
    <row r="4572" spans="1:5" ht="27" x14ac:dyDescent="0.25">
      <c r="A4572" s="508">
        <v>94686</v>
      </c>
      <c r="B4572" s="509" t="s">
        <v>6824</v>
      </c>
      <c r="C4572" s="508" t="s">
        <v>107</v>
      </c>
      <c r="D4572" s="508">
        <v>243.17</v>
      </c>
      <c r="E4572" s="461" t="s">
        <v>174</v>
      </c>
    </row>
    <row r="4573" spans="1:5" ht="27" x14ac:dyDescent="0.25">
      <c r="A4573" s="508">
        <v>94687</v>
      </c>
      <c r="B4573" s="509" t="s">
        <v>6825</v>
      </c>
      <c r="C4573" s="508" t="s">
        <v>107</v>
      </c>
      <c r="D4573" s="508">
        <v>220.35</v>
      </c>
      <c r="E4573" s="461" t="s">
        <v>174</v>
      </c>
    </row>
    <row r="4574" spans="1:5" ht="27" x14ac:dyDescent="0.25">
      <c r="A4574" s="508">
        <v>94688</v>
      </c>
      <c r="B4574" s="509" t="s">
        <v>6826</v>
      </c>
      <c r="C4574" s="508" t="s">
        <v>107</v>
      </c>
      <c r="D4574" s="508">
        <v>6.99</v>
      </c>
      <c r="E4574" s="461" t="s">
        <v>174</v>
      </c>
    </row>
    <row r="4575" spans="1:5" ht="27" x14ac:dyDescent="0.25">
      <c r="A4575" s="508">
        <v>94689</v>
      </c>
      <c r="B4575" s="509" t="s">
        <v>6827</v>
      </c>
      <c r="C4575" s="508" t="s">
        <v>107</v>
      </c>
      <c r="D4575" s="508">
        <v>9.4700000000000006</v>
      </c>
      <c r="E4575" s="461" t="s">
        <v>174</v>
      </c>
    </row>
    <row r="4576" spans="1:5" ht="27" x14ac:dyDescent="0.25">
      <c r="A4576" s="508">
        <v>94690</v>
      </c>
      <c r="B4576" s="509" t="s">
        <v>6828</v>
      </c>
      <c r="C4576" s="508" t="s">
        <v>107</v>
      </c>
      <c r="D4576" s="508">
        <v>11.38</v>
      </c>
      <c r="E4576" s="461" t="s">
        <v>174</v>
      </c>
    </row>
    <row r="4577" spans="1:5" ht="27" x14ac:dyDescent="0.25">
      <c r="A4577" s="508">
        <v>94691</v>
      </c>
      <c r="B4577" s="509" t="s">
        <v>6829</v>
      </c>
      <c r="C4577" s="508" t="s">
        <v>107</v>
      </c>
      <c r="D4577" s="508">
        <v>13.52</v>
      </c>
      <c r="E4577" s="461" t="s">
        <v>174</v>
      </c>
    </row>
    <row r="4578" spans="1:5" ht="27" x14ac:dyDescent="0.25">
      <c r="A4578" s="508">
        <v>94692</v>
      </c>
      <c r="B4578" s="509" t="s">
        <v>6830</v>
      </c>
      <c r="C4578" s="508" t="s">
        <v>107</v>
      </c>
      <c r="D4578" s="508">
        <v>19.16</v>
      </c>
      <c r="E4578" s="461" t="s">
        <v>174</v>
      </c>
    </row>
    <row r="4579" spans="1:5" ht="27" x14ac:dyDescent="0.25">
      <c r="A4579" s="508">
        <v>94693</v>
      </c>
      <c r="B4579" s="509" t="s">
        <v>6831</v>
      </c>
      <c r="C4579" s="508" t="s">
        <v>107</v>
      </c>
      <c r="D4579" s="508">
        <v>17.72</v>
      </c>
      <c r="E4579" s="461" t="s">
        <v>174</v>
      </c>
    </row>
    <row r="4580" spans="1:5" ht="27" x14ac:dyDescent="0.25">
      <c r="A4580" s="508">
        <v>94694</v>
      </c>
      <c r="B4580" s="509" t="s">
        <v>6832</v>
      </c>
      <c r="C4580" s="508" t="s">
        <v>107</v>
      </c>
      <c r="D4580" s="508">
        <v>23.87</v>
      </c>
      <c r="E4580" s="461" t="s">
        <v>174</v>
      </c>
    </row>
    <row r="4581" spans="1:5" ht="27" x14ac:dyDescent="0.25">
      <c r="A4581" s="508">
        <v>94695</v>
      </c>
      <c r="B4581" s="509" t="s">
        <v>6833</v>
      </c>
      <c r="C4581" s="508" t="s">
        <v>107</v>
      </c>
      <c r="D4581" s="508">
        <v>30.73</v>
      </c>
      <c r="E4581" s="461" t="s">
        <v>174</v>
      </c>
    </row>
    <row r="4582" spans="1:5" ht="27" x14ac:dyDescent="0.25">
      <c r="A4582" s="508">
        <v>94696</v>
      </c>
      <c r="B4582" s="509" t="s">
        <v>6834</v>
      </c>
      <c r="C4582" s="508" t="s">
        <v>107</v>
      </c>
      <c r="D4582" s="508">
        <v>49.73</v>
      </c>
      <c r="E4582" s="461" t="s">
        <v>174</v>
      </c>
    </row>
    <row r="4583" spans="1:5" ht="27" x14ac:dyDescent="0.25">
      <c r="A4583" s="508">
        <v>94697</v>
      </c>
      <c r="B4583" s="509" t="s">
        <v>6835</v>
      </c>
      <c r="C4583" s="508" t="s">
        <v>107</v>
      </c>
      <c r="D4583" s="508">
        <v>85.03</v>
      </c>
      <c r="E4583" s="461" t="s">
        <v>174</v>
      </c>
    </row>
    <row r="4584" spans="1:5" ht="27" x14ac:dyDescent="0.25">
      <c r="A4584" s="508">
        <v>94698</v>
      </c>
      <c r="B4584" s="509" t="s">
        <v>6836</v>
      </c>
      <c r="C4584" s="508" t="s">
        <v>107</v>
      </c>
      <c r="D4584" s="508">
        <v>65.709999999999994</v>
      </c>
      <c r="E4584" s="461" t="s">
        <v>174</v>
      </c>
    </row>
    <row r="4585" spans="1:5" ht="27" x14ac:dyDescent="0.25">
      <c r="A4585" s="508">
        <v>94699</v>
      </c>
      <c r="B4585" s="509" t="s">
        <v>6837</v>
      </c>
      <c r="C4585" s="508" t="s">
        <v>107</v>
      </c>
      <c r="D4585" s="508">
        <v>112.55</v>
      </c>
      <c r="E4585" s="461" t="s">
        <v>174</v>
      </c>
    </row>
    <row r="4586" spans="1:5" ht="27" x14ac:dyDescent="0.25">
      <c r="A4586" s="508">
        <v>94700</v>
      </c>
      <c r="B4586" s="509" t="s">
        <v>6838</v>
      </c>
      <c r="C4586" s="508" t="s">
        <v>107</v>
      </c>
      <c r="D4586" s="508">
        <v>127.03</v>
      </c>
      <c r="E4586" s="461" t="s">
        <v>174</v>
      </c>
    </row>
    <row r="4587" spans="1:5" ht="27" x14ac:dyDescent="0.25">
      <c r="A4587" s="508">
        <v>94701</v>
      </c>
      <c r="B4587" s="509" t="s">
        <v>6839</v>
      </c>
      <c r="C4587" s="508" t="s">
        <v>107</v>
      </c>
      <c r="D4587" s="508">
        <v>219.64</v>
      </c>
      <c r="E4587" s="461" t="s">
        <v>174</v>
      </c>
    </row>
    <row r="4588" spans="1:5" ht="27" x14ac:dyDescent="0.25">
      <c r="A4588" s="508">
        <v>94702</v>
      </c>
      <c r="B4588" s="509" t="s">
        <v>6840</v>
      </c>
      <c r="C4588" s="508" t="s">
        <v>107</v>
      </c>
      <c r="D4588" s="508">
        <v>182.94</v>
      </c>
      <c r="E4588" s="461" t="s">
        <v>174</v>
      </c>
    </row>
    <row r="4589" spans="1:5" ht="27" x14ac:dyDescent="0.25">
      <c r="A4589" s="508">
        <v>94703</v>
      </c>
      <c r="B4589" s="509" t="s">
        <v>6841</v>
      </c>
      <c r="C4589" s="508" t="s">
        <v>107</v>
      </c>
      <c r="D4589" s="508">
        <v>19.86</v>
      </c>
      <c r="E4589" s="461" t="s">
        <v>174</v>
      </c>
    </row>
    <row r="4590" spans="1:5" ht="27" x14ac:dyDescent="0.25">
      <c r="A4590" s="508">
        <v>94704</v>
      </c>
      <c r="B4590" s="509" t="s">
        <v>6842</v>
      </c>
      <c r="C4590" s="508" t="s">
        <v>107</v>
      </c>
      <c r="D4590" s="508">
        <v>26.37</v>
      </c>
      <c r="E4590" s="461" t="s">
        <v>174</v>
      </c>
    </row>
    <row r="4591" spans="1:5" ht="27" x14ac:dyDescent="0.25">
      <c r="A4591" s="508">
        <v>94705</v>
      </c>
      <c r="B4591" s="509" t="s">
        <v>6843</v>
      </c>
      <c r="C4591" s="508" t="s">
        <v>107</v>
      </c>
      <c r="D4591" s="508">
        <v>35.86</v>
      </c>
      <c r="E4591" s="461" t="s">
        <v>174</v>
      </c>
    </row>
    <row r="4592" spans="1:5" ht="27" x14ac:dyDescent="0.25">
      <c r="A4592" s="508">
        <v>94706</v>
      </c>
      <c r="B4592" s="509" t="s">
        <v>6844</v>
      </c>
      <c r="C4592" s="508" t="s">
        <v>107</v>
      </c>
      <c r="D4592" s="508">
        <v>35.119999999999997</v>
      </c>
      <c r="E4592" s="461" t="s">
        <v>174</v>
      </c>
    </row>
    <row r="4593" spans="1:5" ht="27" x14ac:dyDescent="0.25">
      <c r="A4593" s="508">
        <v>94707</v>
      </c>
      <c r="B4593" s="509" t="s">
        <v>6845</v>
      </c>
      <c r="C4593" s="508" t="s">
        <v>107</v>
      </c>
      <c r="D4593" s="508">
        <v>55.15</v>
      </c>
      <c r="E4593" s="461" t="s">
        <v>174</v>
      </c>
    </row>
    <row r="4594" spans="1:5" ht="27" x14ac:dyDescent="0.25">
      <c r="A4594" s="508">
        <v>94713</v>
      </c>
      <c r="B4594" s="509" t="s">
        <v>6846</v>
      </c>
      <c r="C4594" s="508" t="s">
        <v>107</v>
      </c>
      <c r="D4594" s="508">
        <v>227.37</v>
      </c>
      <c r="E4594" s="461" t="s">
        <v>174</v>
      </c>
    </row>
    <row r="4595" spans="1:5" ht="27" x14ac:dyDescent="0.25">
      <c r="A4595" s="508">
        <v>94714</v>
      </c>
      <c r="B4595" s="509" t="s">
        <v>6847</v>
      </c>
      <c r="C4595" s="508" t="s">
        <v>107</v>
      </c>
      <c r="D4595" s="508">
        <v>318.74</v>
      </c>
      <c r="E4595" s="461" t="s">
        <v>174</v>
      </c>
    </row>
    <row r="4596" spans="1:5" ht="27" x14ac:dyDescent="0.25">
      <c r="A4596" s="508">
        <v>94715</v>
      </c>
      <c r="B4596" s="509" t="s">
        <v>6848</v>
      </c>
      <c r="C4596" s="508" t="s">
        <v>107</v>
      </c>
      <c r="D4596" s="508">
        <v>283.66000000000003</v>
      </c>
      <c r="E4596" s="461" t="s">
        <v>174</v>
      </c>
    </row>
    <row r="4597" spans="1:5" ht="27" x14ac:dyDescent="0.25">
      <c r="A4597" s="508">
        <v>94724</v>
      </c>
      <c r="B4597" s="509" t="s">
        <v>6849</v>
      </c>
      <c r="C4597" s="508" t="s">
        <v>107</v>
      </c>
      <c r="D4597" s="508">
        <v>21.75</v>
      </c>
      <c r="E4597" s="461" t="s">
        <v>174</v>
      </c>
    </row>
    <row r="4598" spans="1:5" ht="27" x14ac:dyDescent="0.25">
      <c r="A4598" s="508">
        <v>94725</v>
      </c>
      <c r="B4598" s="509" t="s">
        <v>6850</v>
      </c>
      <c r="C4598" s="508" t="s">
        <v>107</v>
      </c>
      <c r="D4598" s="508">
        <v>6.65</v>
      </c>
      <c r="E4598" s="461" t="s">
        <v>174</v>
      </c>
    </row>
    <row r="4599" spans="1:5" ht="27" x14ac:dyDescent="0.25">
      <c r="A4599" s="508">
        <v>94726</v>
      </c>
      <c r="B4599" s="509" t="s">
        <v>6851</v>
      </c>
      <c r="C4599" s="508" t="s">
        <v>107</v>
      </c>
      <c r="D4599" s="508">
        <v>28.04</v>
      </c>
      <c r="E4599" s="461" t="s">
        <v>174</v>
      </c>
    </row>
    <row r="4600" spans="1:5" ht="27" x14ac:dyDescent="0.25">
      <c r="A4600" s="508">
        <v>94727</v>
      </c>
      <c r="B4600" s="509" t="s">
        <v>6852</v>
      </c>
      <c r="C4600" s="508" t="s">
        <v>107</v>
      </c>
      <c r="D4600" s="508">
        <v>10.52</v>
      </c>
      <c r="E4600" s="461" t="s">
        <v>174</v>
      </c>
    </row>
    <row r="4601" spans="1:5" ht="27" x14ac:dyDescent="0.25">
      <c r="A4601" s="508">
        <v>94728</v>
      </c>
      <c r="B4601" s="509" t="s">
        <v>6853</v>
      </c>
      <c r="C4601" s="508" t="s">
        <v>107</v>
      </c>
      <c r="D4601" s="508">
        <v>43.51</v>
      </c>
      <c r="E4601" s="461" t="s">
        <v>174</v>
      </c>
    </row>
    <row r="4602" spans="1:5" ht="27" x14ac:dyDescent="0.25">
      <c r="A4602" s="508">
        <v>94729</v>
      </c>
      <c r="B4602" s="509" t="s">
        <v>6854</v>
      </c>
      <c r="C4602" s="508" t="s">
        <v>107</v>
      </c>
      <c r="D4602" s="508">
        <v>17.600000000000001</v>
      </c>
      <c r="E4602" s="461" t="s">
        <v>174</v>
      </c>
    </row>
    <row r="4603" spans="1:5" ht="27" x14ac:dyDescent="0.25">
      <c r="A4603" s="508">
        <v>94730</v>
      </c>
      <c r="B4603" s="509" t="s">
        <v>6855</v>
      </c>
      <c r="C4603" s="508" t="s">
        <v>107</v>
      </c>
      <c r="D4603" s="508">
        <v>53.36</v>
      </c>
      <c r="E4603" s="461" t="s">
        <v>174</v>
      </c>
    </row>
    <row r="4604" spans="1:5" ht="27" x14ac:dyDescent="0.25">
      <c r="A4604" s="508">
        <v>94731</v>
      </c>
      <c r="B4604" s="509" t="s">
        <v>6856</v>
      </c>
      <c r="C4604" s="508" t="s">
        <v>107</v>
      </c>
      <c r="D4604" s="508">
        <v>23.18</v>
      </c>
      <c r="E4604" s="461" t="s">
        <v>174</v>
      </c>
    </row>
    <row r="4605" spans="1:5" ht="27" x14ac:dyDescent="0.25">
      <c r="A4605" s="508">
        <v>94732</v>
      </c>
      <c r="B4605" s="509" t="s">
        <v>6857</v>
      </c>
      <c r="C4605" s="508" t="s">
        <v>107</v>
      </c>
      <c r="D4605" s="508">
        <v>85.27</v>
      </c>
      <c r="E4605" s="461" t="s">
        <v>174</v>
      </c>
    </row>
    <row r="4606" spans="1:5" ht="27" x14ac:dyDescent="0.25">
      <c r="A4606" s="508">
        <v>94733</v>
      </c>
      <c r="B4606" s="509" t="s">
        <v>6858</v>
      </c>
      <c r="C4606" s="508" t="s">
        <v>107</v>
      </c>
      <c r="D4606" s="508">
        <v>39.86</v>
      </c>
      <c r="E4606" s="461" t="s">
        <v>174</v>
      </c>
    </row>
    <row r="4607" spans="1:5" ht="27" x14ac:dyDescent="0.25">
      <c r="A4607" s="508">
        <v>94734</v>
      </c>
      <c r="B4607" s="509" t="s">
        <v>6859</v>
      </c>
      <c r="C4607" s="508" t="s">
        <v>107</v>
      </c>
      <c r="D4607" s="508">
        <v>306.69</v>
      </c>
      <c r="E4607" s="461" t="s">
        <v>174</v>
      </c>
    </row>
    <row r="4608" spans="1:5" ht="27" x14ac:dyDescent="0.25">
      <c r="A4608" s="508">
        <v>94736</v>
      </c>
      <c r="B4608" s="509" t="s">
        <v>6860</v>
      </c>
      <c r="C4608" s="508" t="s">
        <v>107</v>
      </c>
      <c r="D4608" s="508">
        <v>446.03</v>
      </c>
      <c r="E4608" s="461" t="s">
        <v>174</v>
      </c>
    </row>
    <row r="4609" spans="1:5" ht="27" x14ac:dyDescent="0.25">
      <c r="A4609" s="508">
        <v>94737</v>
      </c>
      <c r="B4609" s="509" t="s">
        <v>6861</v>
      </c>
      <c r="C4609" s="508" t="s">
        <v>107</v>
      </c>
      <c r="D4609" s="508">
        <v>159.83000000000001</v>
      </c>
      <c r="E4609" s="461" t="s">
        <v>174</v>
      </c>
    </row>
    <row r="4610" spans="1:5" ht="27" x14ac:dyDescent="0.25">
      <c r="A4610" s="508">
        <v>94738</v>
      </c>
      <c r="B4610" s="509" t="s">
        <v>6862</v>
      </c>
      <c r="C4610" s="508" t="s">
        <v>107</v>
      </c>
      <c r="D4610" s="508">
        <v>1337.14</v>
      </c>
      <c r="E4610" s="461" t="s">
        <v>174</v>
      </c>
    </row>
    <row r="4611" spans="1:5" ht="27" x14ac:dyDescent="0.25">
      <c r="A4611" s="508">
        <v>94739</v>
      </c>
      <c r="B4611" s="509" t="s">
        <v>6863</v>
      </c>
      <c r="C4611" s="508" t="s">
        <v>107</v>
      </c>
      <c r="D4611" s="508">
        <v>198.82</v>
      </c>
      <c r="E4611" s="461" t="s">
        <v>174</v>
      </c>
    </row>
    <row r="4612" spans="1:5" ht="27" x14ac:dyDescent="0.25">
      <c r="A4612" s="508">
        <v>94740</v>
      </c>
      <c r="B4612" s="509" t="s">
        <v>6864</v>
      </c>
      <c r="C4612" s="508" t="s">
        <v>107</v>
      </c>
      <c r="D4612" s="508">
        <v>9.18</v>
      </c>
      <c r="E4612" s="461" t="s">
        <v>174</v>
      </c>
    </row>
    <row r="4613" spans="1:5" ht="27" x14ac:dyDescent="0.25">
      <c r="A4613" s="508">
        <v>94741</v>
      </c>
      <c r="B4613" s="509" t="s">
        <v>6865</v>
      </c>
      <c r="C4613" s="508" t="s">
        <v>107</v>
      </c>
      <c r="D4613" s="508">
        <v>11.56</v>
      </c>
      <c r="E4613" s="461" t="s">
        <v>174</v>
      </c>
    </row>
    <row r="4614" spans="1:5" ht="27" x14ac:dyDescent="0.25">
      <c r="A4614" s="508">
        <v>94742</v>
      </c>
      <c r="B4614" s="509" t="s">
        <v>6866</v>
      </c>
      <c r="C4614" s="508" t="s">
        <v>107</v>
      </c>
      <c r="D4614" s="508">
        <v>14.89</v>
      </c>
      <c r="E4614" s="461" t="s">
        <v>174</v>
      </c>
    </row>
    <row r="4615" spans="1:5" ht="27" x14ac:dyDescent="0.25">
      <c r="A4615" s="508">
        <v>94743</v>
      </c>
      <c r="B4615" s="509" t="s">
        <v>6867</v>
      </c>
      <c r="C4615" s="508" t="s">
        <v>107</v>
      </c>
      <c r="D4615" s="508">
        <v>18.47</v>
      </c>
      <c r="E4615" s="461" t="s">
        <v>174</v>
      </c>
    </row>
    <row r="4616" spans="1:5" ht="27" x14ac:dyDescent="0.25">
      <c r="A4616" s="508">
        <v>94744</v>
      </c>
      <c r="B4616" s="509" t="s">
        <v>6868</v>
      </c>
      <c r="C4616" s="508" t="s">
        <v>107</v>
      </c>
      <c r="D4616" s="508">
        <v>23.05</v>
      </c>
      <c r="E4616" s="461" t="s">
        <v>174</v>
      </c>
    </row>
    <row r="4617" spans="1:5" ht="27" x14ac:dyDescent="0.25">
      <c r="A4617" s="508">
        <v>94746</v>
      </c>
      <c r="B4617" s="509" t="s">
        <v>6869</v>
      </c>
      <c r="C4617" s="508" t="s">
        <v>107</v>
      </c>
      <c r="D4617" s="508">
        <v>32.72</v>
      </c>
      <c r="E4617" s="461" t="s">
        <v>174</v>
      </c>
    </row>
    <row r="4618" spans="1:5" ht="27" x14ac:dyDescent="0.25">
      <c r="A4618" s="508">
        <v>94748</v>
      </c>
      <c r="B4618" s="509" t="s">
        <v>6870</v>
      </c>
      <c r="C4618" s="508" t="s">
        <v>107</v>
      </c>
      <c r="D4618" s="508">
        <v>69.94</v>
      </c>
      <c r="E4618" s="461" t="s">
        <v>174</v>
      </c>
    </row>
    <row r="4619" spans="1:5" ht="27" x14ac:dyDescent="0.25">
      <c r="A4619" s="508">
        <v>94750</v>
      </c>
      <c r="B4619" s="509" t="s">
        <v>6871</v>
      </c>
      <c r="C4619" s="508" t="s">
        <v>107</v>
      </c>
      <c r="D4619" s="508">
        <v>139.52000000000001</v>
      </c>
      <c r="E4619" s="461" t="s">
        <v>174</v>
      </c>
    </row>
    <row r="4620" spans="1:5" ht="27" x14ac:dyDescent="0.25">
      <c r="A4620" s="508">
        <v>94752</v>
      </c>
      <c r="B4620" s="509" t="s">
        <v>6872</v>
      </c>
      <c r="C4620" s="508" t="s">
        <v>107</v>
      </c>
      <c r="D4620" s="508">
        <v>169.19</v>
      </c>
      <c r="E4620" s="461" t="s">
        <v>174</v>
      </c>
    </row>
    <row r="4621" spans="1:5" ht="27" x14ac:dyDescent="0.25">
      <c r="A4621" s="508">
        <v>94754</v>
      </c>
      <c r="B4621" s="509" t="s">
        <v>6873</v>
      </c>
      <c r="C4621" s="508" t="s">
        <v>107</v>
      </c>
      <c r="D4621" s="508">
        <v>243.72</v>
      </c>
      <c r="E4621" s="461" t="s">
        <v>174</v>
      </c>
    </row>
    <row r="4622" spans="1:5" ht="27" x14ac:dyDescent="0.25">
      <c r="A4622" s="508">
        <v>94756</v>
      </c>
      <c r="B4622" s="509" t="s">
        <v>6874</v>
      </c>
      <c r="C4622" s="508" t="s">
        <v>107</v>
      </c>
      <c r="D4622" s="508">
        <v>11.98</v>
      </c>
      <c r="E4622" s="461" t="s">
        <v>174</v>
      </c>
    </row>
    <row r="4623" spans="1:5" ht="27" x14ac:dyDescent="0.25">
      <c r="A4623" s="508">
        <v>94757</v>
      </c>
      <c r="B4623" s="509" t="s">
        <v>6875</v>
      </c>
      <c r="C4623" s="508" t="s">
        <v>107</v>
      </c>
      <c r="D4623" s="508">
        <v>18.420000000000002</v>
      </c>
      <c r="E4623" s="461" t="s">
        <v>174</v>
      </c>
    </row>
    <row r="4624" spans="1:5" ht="27" x14ac:dyDescent="0.25">
      <c r="A4624" s="508">
        <v>94758</v>
      </c>
      <c r="B4624" s="509" t="s">
        <v>6876</v>
      </c>
      <c r="C4624" s="508" t="s">
        <v>107</v>
      </c>
      <c r="D4624" s="508">
        <v>44.07</v>
      </c>
      <c r="E4624" s="461" t="s">
        <v>174</v>
      </c>
    </row>
    <row r="4625" spans="1:5" ht="27" x14ac:dyDescent="0.25">
      <c r="A4625" s="508">
        <v>94759</v>
      </c>
      <c r="B4625" s="509" t="s">
        <v>6877</v>
      </c>
      <c r="C4625" s="508" t="s">
        <v>107</v>
      </c>
      <c r="D4625" s="508">
        <v>56.02</v>
      </c>
      <c r="E4625" s="461" t="s">
        <v>174</v>
      </c>
    </row>
    <row r="4626" spans="1:5" ht="27" x14ac:dyDescent="0.25">
      <c r="A4626" s="508">
        <v>94760</v>
      </c>
      <c r="B4626" s="509" t="s">
        <v>6878</v>
      </c>
      <c r="C4626" s="508" t="s">
        <v>107</v>
      </c>
      <c r="D4626" s="508">
        <v>88.44</v>
      </c>
      <c r="E4626" s="461" t="s">
        <v>174</v>
      </c>
    </row>
    <row r="4627" spans="1:5" ht="27" x14ac:dyDescent="0.25">
      <c r="A4627" s="508">
        <v>94761</v>
      </c>
      <c r="B4627" s="509" t="s">
        <v>6879</v>
      </c>
      <c r="C4627" s="508" t="s">
        <v>107</v>
      </c>
      <c r="D4627" s="508">
        <v>187.94</v>
      </c>
      <c r="E4627" s="461" t="s">
        <v>174</v>
      </c>
    </row>
    <row r="4628" spans="1:5" ht="27" x14ac:dyDescent="0.25">
      <c r="A4628" s="508">
        <v>94762</v>
      </c>
      <c r="B4628" s="509" t="s">
        <v>6880</v>
      </c>
      <c r="C4628" s="508" t="s">
        <v>107</v>
      </c>
      <c r="D4628" s="508">
        <v>230.09</v>
      </c>
      <c r="E4628" s="461" t="s">
        <v>174</v>
      </c>
    </row>
    <row r="4629" spans="1:5" ht="27" x14ac:dyDescent="0.25">
      <c r="A4629" s="508">
        <v>94763</v>
      </c>
      <c r="B4629" s="509" t="s">
        <v>6881</v>
      </c>
      <c r="C4629" s="508" t="s">
        <v>107</v>
      </c>
      <c r="D4629" s="508">
        <v>305.55</v>
      </c>
      <c r="E4629" s="461" t="s">
        <v>174</v>
      </c>
    </row>
    <row r="4630" spans="1:5" ht="27" x14ac:dyDescent="0.25">
      <c r="A4630" s="508">
        <v>94764</v>
      </c>
      <c r="B4630" s="509" t="s">
        <v>6882</v>
      </c>
      <c r="C4630" s="508" t="s">
        <v>107</v>
      </c>
      <c r="D4630" s="508">
        <v>31.59</v>
      </c>
      <c r="E4630" s="461" t="s">
        <v>174</v>
      </c>
    </row>
    <row r="4631" spans="1:5" ht="27" x14ac:dyDescent="0.25">
      <c r="A4631" s="508">
        <v>94765</v>
      </c>
      <c r="B4631" s="509" t="s">
        <v>6883</v>
      </c>
      <c r="C4631" s="508" t="s">
        <v>107</v>
      </c>
      <c r="D4631" s="508">
        <v>34.770000000000003</v>
      </c>
      <c r="E4631" s="461" t="s">
        <v>174</v>
      </c>
    </row>
    <row r="4632" spans="1:5" ht="27" x14ac:dyDescent="0.25">
      <c r="A4632" s="508">
        <v>94766</v>
      </c>
      <c r="B4632" s="509" t="s">
        <v>6884</v>
      </c>
      <c r="C4632" s="508" t="s">
        <v>107</v>
      </c>
      <c r="D4632" s="508">
        <v>38.799999999999997</v>
      </c>
      <c r="E4632" s="461" t="s">
        <v>174</v>
      </c>
    </row>
    <row r="4633" spans="1:5" ht="27" x14ac:dyDescent="0.25">
      <c r="A4633" s="508">
        <v>94767</v>
      </c>
      <c r="B4633" s="509" t="s">
        <v>6885</v>
      </c>
      <c r="C4633" s="508" t="s">
        <v>107</v>
      </c>
      <c r="D4633" s="508">
        <v>56.77</v>
      </c>
      <c r="E4633" s="461" t="s">
        <v>174</v>
      </c>
    </row>
    <row r="4634" spans="1:5" ht="27" x14ac:dyDescent="0.25">
      <c r="A4634" s="508">
        <v>94768</v>
      </c>
      <c r="B4634" s="509" t="s">
        <v>6886</v>
      </c>
      <c r="C4634" s="508" t="s">
        <v>107</v>
      </c>
      <c r="D4634" s="508">
        <v>64.19</v>
      </c>
      <c r="E4634" s="461" t="s">
        <v>174</v>
      </c>
    </row>
    <row r="4635" spans="1:5" ht="27" x14ac:dyDescent="0.25">
      <c r="A4635" s="508">
        <v>94769</v>
      </c>
      <c r="B4635" s="509" t="s">
        <v>6887</v>
      </c>
      <c r="C4635" s="508" t="s">
        <v>107</v>
      </c>
      <c r="D4635" s="508">
        <v>85.2</v>
      </c>
      <c r="E4635" s="461" t="s">
        <v>174</v>
      </c>
    </row>
    <row r="4636" spans="1:5" ht="27" x14ac:dyDescent="0.25">
      <c r="A4636" s="508">
        <v>94783</v>
      </c>
      <c r="B4636" s="509" t="s">
        <v>6888</v>
      </c>
      <c r="C4636" s="508" t="s">
        <v>107</v>
      </c>
      <c r="D4636" s="508">
        <v>18.579999999999998</v>
      </c>
      <c r="E4636" s="461" t="s">
        <v>174</v>
      </c>
    </row>
    <row r="4637" spans="1:5" ht="27" x14ac:dyDescent="0.25">
      <c r="A4637" s="508">
        <v>94863</v>
      </c>
      <c r="B4637" s="509" t="s">
        <v>6889</v>
      </c>
      <c r="C4637" s="508" t="s">
        <v>107</v>
      </c>
      <c r="D4637" s="508">
        <v>132.97</v>
      </c>
      <c r="E4637" s="461" t="s">
        <v>174</v>
      </c>
    </row>
    <row r="4638" spans="1:5" ht="27" x14ac:dyDescent="0.25">
      <c r="A4638" s="508">
        <v>95237</v>
      </c>
      <c r="B4638" s="509" t="s">
        <v>6890</v>
      </c>
      <c r="C4638" s="508" t="s">
        <v>107</v>
      </c>
      <c r="D4638" s="508">
        <v>23.79</v>
      </c>
      <c r="E4638" s="461" t="s">
        <v>174</v>
      </c>
    </row>
    <row r="4639" spans="1:5" ht="27" x14ac:dyDescent="0.25">
      <c r="A4639" s="508">
        <v>95693</v>
      </c>
      <c r="B4639" s="509" t="s">
        <v>6891</v>
      </c>
      <c r="C4639" s="508" t="s">
        <v>107</v>
      </c>
      <c r="D4639" s="508">
        <v>46.48</v>
      </c>
      <c r="E4639" s="461" t="s">
        <v>174</v>
      </c>
    </row>
    <row r="4640" spans="1:5" ht="27" x14ac:dyDescent="0.25">
      <c r="A4640" s="508">
        <v>95694</v>
      </c>
      <c r="B4640" s="509" t="s">
        <v>6892</v>
      </c>
      <c r="C4640" s="508" t="s">
        <v>107</v>
      </c>
      <c r="D4640" s="508">
        <v>46.89</v>
      </c>
      <c r="E4640" s="461" t="s">
        <v>174</v>
      </c>
    </row>
    <row r="4641" spans="1:5" ht="27" x14ac:dyDescent="0.25">
      <c r="A4641" s="508">
        <v>95695</v>
      </c>
      <c r="B4641" s="509" t="s">
        <v>6893</v>
      </c>
      <c r="C4641" s="508" t="s">
        <v>107</v>
      </c>
      <c r="D4641" s="508">
        <v>54.66</v>
      </c>
      <c r="E4641" s="461" t="s">
        <v>174</v>
      </c>
    </row>
    <row r="4642" spans="1:5" ht="27" x14ac:dyDescent="0.25">
      <c r="A4642" s="508">
        <v>95696</v>
      </c>
      <c r="B4642" s="509" t="s">
        <v>2887</v>
      </c>
      <c r="C4642" s="508" t="s">
        <v>107</v>
      </c>
      <c r="D4642" s="508">
        <v>44.54</v>
      </c>
      <c r="E4642" s="461" t="s">
        <v>174</v>
      </c>
    </row>
    <row r="4643" spans="1:5" ht="27" x14ac:dyDescent="0.25">
      <c r="A4643" s="508">
        <v>96637</v>
      </c>
      <c r="B4643" s="509" t="s">
        <v>6894</v>
      </c>
      <c r="C4643" s="508" t="s">
        <v>107</v>
      </c>
      <c r="D4643" s="508">
        <v>16.920000000000002</v>
      </c>
      <c r="E4643" s="461" t="s">
        <v>174</v>
      </c>
    </row>
    <row r="4644" spans="1:5" ht="27" x14ac:dyDescent="0.25">
      <c r="A4644" s="508">
        <v>96638</v>
      </c>
      <c r="B4644" s="509" t="s">
        <v>6895</v>
      </c>
      <c r="C4644" s="508" t="s">
        <v>107</v>
      </c>
      <c r="D4644" s="508">
        <v>17.36</v>
      </c>
      <c r="E4644" s="461" t="s">
        <v>174</v>
      </c>
    </row>
    <row r="4645" spans="1:5" ht="27" x14ac:dyDescent="0.25">
      <c r="A4645" s="508">
        <v>96639</v>
      </c>
      <c r="B4645" s="509" t="s">
        <v>6896</v>
      </c>
      <c r="C4645" s="508" t="s">
        <v>107</v>
      </c>
      <c r="D4645" s="508">
        <v>11.79</v>
      </c>
      <c r="E4645" s="461" t="s">
        <v>174</v>
      </c>
    </row>
    <row r="4646" spans="1:5" ht="27" x14ac:dyDescent="0.25">
      <c r="A4646" s="508">
        <v>96640</v>
      </c>
      <c r="B4646" s="509" t="s">
        <v>6897</v>
      </c>
      <c r="C4646" s="508" t="s">
        <v>107</v>
      </c>
      <c r="D4646" s="508">
        <v>27.83</v>
      </c>
      <c r="E4646" s="461" t="s">
        <v>174</v>
      </c>
    </row>
    <row r="4647" spans="1:5" ht="27" x14ac:dyDescent="0.25">
      <c r="A4647" s="508">
        <v>96641</v>
      </c>
      <c r="B4647" s="509" t="s">
        <v>6898</v>
      </c>
      <c r="C4647" s="508" t="s">
        <v>107</v>
      </c>
      <c r="D4647" s="508">
        <v>18.52</v>
      </c>
      <c r="E4647" s="461" t="s">
        <v>174</v>
      </c>
    </row>
    <row r="4648" spans="1:5" ht="27" x14ac:dyDescent="0.25">
      <c r="A4648" s="508">
        <v>96642</v>
      </c>
      <c r="B4648" s="509" t="s">
        <v>6899</v>
      </c>
      <c r="C4648" s="508" t="s">
        <v>107</v>
      </c>
      <c r="D4648" s="508">
        <v>22.27</v>
      </c>
      <c r="E4648" s="461" t="s">
        <v>174</v>
      </c>
    </row>
    <row r="4649" spans="1:5" ht="27" x14ac:dyDescent="0.25">
      <c r="A4649" s="508">
        <v>96643</v>
      </c>
      <c r="B4649" s="509" t="s">
        <v>6900</v>
      </c>
      <c r="C4649" s="508" t="s">
        <v>107</v>
      </c>
      <c r="D4649" s="508">
        <v>48.75</v>
      </c>
      <c r="E4649" s="461" t="s">
        <v>174</v>
      </c>
    </row>
    <row r="4650" spans="1:5" ht="27" x14ac:dyDescent="0.25">
      <c r="A4650" s="508">
        <v>96650</v>
      </c>
      <c r="B4650" s="509" t="s">
        <v>6901</v>
      </c>
      <c r="C4650" s="508" t="s">
        <v>107</v>
      </c>
      <c r="D4650" s="508">
        <v>9.51</v>
      </c>
      <c r="E4650" s="461" t="s">
        <v>174</v>
      </c>
    </row>
    <row r="4651" spans="1:5" ht="27" x14ac:dyDescent="0.25">
      <c r="A4651" s="508">
        <v>96651</v>
      </c>
      <c r="B4651" s="509" t="s">
        <v>6902</v>
      </c>
      <c r="C4651" s="508" t="s">
        <v>107</v>
      </c>
      <c r="D4651" s="508">
        <v>9.9499999999999993</v>
      </c>
      <c r="E4651" s="461" t="s">
        <v>174</v>
      </c>
    </row>
    <row r="4652" spans="1:5" ht="27" x14ac:dyDescent="0.25">
      <c r="A4652" s="508">
        <v>96652</v>
      </c>
      <c r="B4652" s="509" t="s">
        <v>6903</v>
      </c>
      <c r="C4652" s="508" t="s">
        <v>107</v>
      </c>
      <c r="D4652" s="508">
        <v>11.31</v>
      </c>
      <c r="E4652" s="461" t="s">
        <v>174</v>
      </c>
    </row>
    <row r="4653" spans="1:5" ht="27" x14ac:dyDescent="0.25">
      <c r="A4653" s="508">
        <v>96653</v>
      </c>
      <c r="B4653" s="509" t="s">
        <v>6904</v>
      </c>
      <c r="C4653" s="508" t="s">
        <v>107</v>
      </c>
      <c r="D4653" s="508">
        <v>14.93</v>
      </c>
      <c r="E4653" s="461" t="s">
        <v>174</v>
      </c>
    </row>
    <row r="4654" spans="1:5" ht="27" x14ac:dyDescent="0.25">
      <c r="A4654" s="508">
        <v>96654</v>
      </c>
      <c r="B4654" s="509" t="s">
        <v>6905</v>
      </c>
      <c r="C4654" s="508" t="s">
        <v>107</v>
      </c>
      <c r="D4654" s="508">
        <v>17.010000000000002</v>
      </c>
      <c r="E4654" s="461" t="s">
        <v>174</v>
      </c>
    </row>
    <row r="4655" spans="1:5" ht="27" x14ac:dyDescent="0.25">
      <c r="A4655" s="508">
        <v>96655</v>
      </c>
      <c r="B4655" s="509" t="s">
        <v>6906</v>
      </c>
      <c r="C4655" s="508" t="s">
        <v>107</v>
      </c>
      <c r="D4655" s="508">
        <v>22.9</v>
      </c>
      <c r="E4655" s="461" t="s">
        <v>174</v>
      </c>
    </row>
    <row r="4656" spans="1:5" ht="27" x14ac:dyDescent="0.25">
      <c r="A4656" s="508">
        <v>96656</v>
      </c>
      <c r="B4656" s="509" t="s">
        <v>6907</v>
      </c>
      <c r="C4656" s="508" t="s">
        <v>107</v>
      </c>
      <c r="D4656" s="508">
        <v>6.85</v>
      </c>
      <c r="E4656" s="461" t="s">
        <v>174</v>
      </c>
    </row>
    <row r="4657" spans="1:5" ht="27" x14ac:dyDescent="0.25">
      <c r="A4657" s="508">
        <v>96657</v>
      </c>
      <c r="B4657" s="509" t="s">
        <v>6908</v>
      </c>
      <c r="C4657" s="508" t="s">
        <v>107</v>
      </c>
      <c r="D4657" s="508">
        <v>25.62</v>
      </c>
      <c r="E4657" s="461" t="s">
        <v>174</v>
      </c>
    </row>
    <row r="4658" spans="1:5" ht="27" x14ac:dyDescent="0.25">
      <c r="A4658" s="508">
        <v>96658</v>
      </c>
      <c r="B4658" s="509" t="s">
        <v>6909</v>
      </c>
      <c r="C4658" s="508" t="s">
        <v>107</v>
      </c>
      <c r="D4658" s="508">
        <v>16.309999999999999</v>
      </c>
      <c r="E4658" s="461" t="s">
        <v>174</v>
      </c>
    </row>
    <row r="4659" spans="1:5" ht="27" x14ac:dyDescent="0.25">
      <c r="A4659" s="508">
        <v>96659</v>
      </c>
      <c r="B4659" s="509" t="s">
        <v>6910</v>
      </c>
      <c r="C4659" s="508" t="s">
        <v>107</v>
      </c>
      <c r="D4659" s="508">
        <v>8.9700000000000006</v>
      </c>
      <c r="E4659" s="461" t="s">
        <v>174</v>
      </c>
    </row>
    <row r="4660" spans="1:5" ht="27" x14ac:dyDescent="0.25">
      <c r="A4660" s="508">
        <v>96660</v>
      </c>
      <c r="B4660" s="509" t="s">
        <v>6911</v>
      </c>
      <c r="C4660" s="508" t="s">
        <v>107</v>
      </c>
      <c r="D4660" s="508">
        <v>34.85</v>
      </c>
      <c r="E4660" s="461" t="s">
        <v>174</v>
      </c>
    </row>
    <row r="4661" spans="1:5" ht="27" x14ac:dyDescent="0.25">
      <c r="A4661" s="508">
        <v>96661</v>
      </c>
      <c r="B4661" s="509" t="s">
        <v>6912</v>
      </c>
      <c r="C4661" s="508" t="s">
        <v>107</v>
      </c>
      <c r="D4661" s="508">
        <v>34.51</v>
      </c>
      <c r="E4661" s="461" t="s">
        <v>174</v>
      </c>
    </row>
    <row r="4662" spans="1:5" ht="27" x14ac:dyDescent="0.25">
      <c r="A4662" s="508">
        <v>96662</v>
      </c>
      <c r="B4662" s="509" t="s">
        <v>6913</v>
      </c>
      <c r="C4662" s="508" t="s">
        <v>107</v>
      </c>
      <c r="D4662" s="508">
        <v>10.01</v>
      </c>
      <c r="E4662" s="461" t="s">
        <v>174</v>
      </c>
    </row>
    <row r="4663" spans="1:5" ht="27" x14ac:dyDescent="0.25">
      <c r="A4663" s="508">
        <v>96663</v>
      </c>
      <c r="B4663" s="509" t="s">
        <v>6914</v>
      </c>
      <c r="C4663" s="508" t="s">
        <v>107</v>
      </c>
      <c r="D4663" s="508">
        <v>17.100000000000001</v>
      </c>
      <c r="E4663" s="461" t="s">
        <v>174</v>
      </c>
    </row>
    <row r="4664" spans="1:5" ht="27" x14ac:dyDescent="0.25">
      <c r="A4664" s="508">
        <v>96664</v>
      </c>
      <c r="B4664" s="509" t="s">
        <v>6915</v>
      </c>
      <c r="C4664" s="508" t="s">
        <v>107</v>
      </c>
      <c r="D4664" s="508">
        <v>18.809999999999999</v>
      </c>
      <c r="E4664" s="461" t="s">
        <v>174</v>
      </c>
    </row>
    <row r="4665" spans="1:5" ht="27" x14ac:dyDescent="0.25">
      <c r="A4665" s="508">
        <v>96665</v>
      </c>
      <c r="B4665" s="509" t="s">
        <v>6916</v>
      </c>
      <c r="C4665" s="508" t="s">
        <v>107</v>
      </c>
      <c r="D4665" s="508">
        <v>12.38</v>
      </c>
      <c r="E4665" s="461" t="s">
        <v>174</v>
      </c>
    </row>
    <row r="4666" spans="1:5" ht="27" x14ac:dyDescent="0.25">
      <c r="A4666" s="508">
        <v>96666</v>
      </c>
      <c r="B4666" s="509" t="s">
        <v>6917</v>
      </c>
      <c r="C4666" s="508" t="s">
        <v>107</v>
      </c>
      <c r="D4666" s="508">
        <v>17.91</v>
      </c>
      <c r="E4666" s="461" t="s">
        <v>174</v>
      </c>
    </row>
    <row r="4667" spans="1:5" ht="27" x14ac:dyDescent="0.25">
      <c r="A4667" s="508">
        <v>96667</v>
      </c>
      <c r="B4667" s="509" t="s">
        <v>6918</v>
      </c>
      <c r="C4667" s="508" t="s">
        <v>107</v>
      </c>
      <c r="D4667" s="508">
        <v>25.41</v>
      </c>
      <c r="E4667" s="461" t="s">
        <v>174</v>
      </c>
    </row>
    <row r="4668" spans="1:5" ht="27" x14ac:dyDescent="0.25">
      <c r="A4668" s="508">
        <v>96684</v>
      </c>
      <c r="B4668" s="509" t="s">
        <v>6919</v>
      </c>
      <c r="C4668" s="508" t="s">
        <v>107</v>
      </c>
      <c r="D4668" s="508">
        <v>12.18</v>
      </c>
      <c r="E4668" s="461" t="s">
        <v>174</v>
      </c>
    </row>
    <row r="4669" spans="1:5" ht="27" x14ac:dyDescent="0.25">
      <c r="A4669" s="508">
        <v>96685</v>
      </c>
      <c r="B4669" s="509" t="s">
        <v>6920</v>
      </c>
      <c r="C4669" s="508" t="s">
        <v>107</v>
      </c>
      <c r="D4669" s="508">
        <v>12.62</v>
      </c>
      <c r="E4669" s="461" t="s">
        <v>174</v>
      </c>
    </row>
    <row r="4670" spans="1:5" ht="27" x14ac:dyDescent="0.25">
      <c r="A4670" s="508">
        <v>96686</v>
      </c>
      <c r="B4670" s="509" t="s">
        <v>6921</v>
      </c>
      <c r="C4670" s="508" t="s">
        <v>107</v>
      </c>
      <c r="D4670" s="508">
        <v>15.71</v>
      </c>
      <c r="E4670" s="461" t="s">
        <v>174</v>
      </c>
    </row>
    <row r="4671" spans="1:5" ht="27" x14ac:dyDescent="0.25">
      <c r="A4671" s="508">
        <v>96687</v>
      </c>
      <c r="B4671" s="509" t="s">
        <v>6922</v>
      </c>
      <c r="C4671" s="508" t="s">
        <v>107</v>
      </c>
      <c r="D4671" s="508">
        <v>19.329999999999998</v>
      </c>
      <c r="E4671" s="461" t="s">
        <v>174</v>
      </c>
    </row>
    <row r="4672" spans="1:5" ht="27" x14ac:dyDescent="0.25">
      <c r="A4672" s="508">
        <v>96688</v>
      </c>
      <c r="B4672" s="509" t="s">
        <v>6923</v>
      </c>
      <c r="C4672" s="508" t="s">
        <v>107</v>
      </c>
      <c r="D4672" s="508">
        <v>23.36</v>
      </c>
      <c r="E4672" s="461" t="s">
        <v>174</v>
      </c>
    </row>
    <row r="4673" spans="1:5" ht="27" x14ac:dyDescent="0.25">
      <c r="A4673" s="508">
        <v>96689</v>
      </c>
      <c r="B4673" s="509" t="s">
        <v>6924</v>
      </c>
      <c r="C4673" s="508" t="s">
        <v>107</v>
      </c>
      <c r="D4673" s="508">
        <v>29.25</v>
      </c>
      <c r="E4673" s="461" t="s">
        <v>174</v>
      </c>
    </row>
    <row r="4674" spans="1:5" ht="27" x14ac:dyDescent="0.25">
      <c r="A4674" s="508">
        <v>96690</v>
      </c>
      <c r="B4674" s="509" t="s">
        <v>6925</v>
      </c>
      <c r="C4674" s="508" t="s">
        <v>107</v>
      </c>
      <c r="D4674" s="508">
        <v>32.57</v>
      </c>
      <c r="E4674" s="461" t="s">
        <v>174</v>
      </c>
    </row>
    <row r="4675" spans="1:5" ht="27" x14ac:dyDescent="0.25">
      <c r="A4675" s="508">
        <v>96691</v>
      </c>
      <c r="B4675" s="509" t="s">
        <v>6926</v>
      </c>
      <c r="C4675" s="508" t="s">
        <v>107</v>
      </c>
      <c r="D4675" s="508">
        <v>41.89</v>
      </c>
      <c r="E4675" s="461" t="s">
        <v>174</v>
      </c>
    </row>
    <row r="4676" spans="1:5" ht="27" x14ac:dyDescent="0.25">
      <c r="A4676" s="508">
        <v>96692</v>
      </c>
      <c r="B4676" s="509" t="s">
        <v>6927</v>
      </c>
      <c r="C4676" s="508" t="s">
        <v>107</v>
      </c>
      <c r="D4676" s="508">
        <v>46.23</v>
      </c>
      <c r="E4676" s="461" t="s">
        <v>174</v>
      </c>
    </row>
    <row r="4677" spans="1:5" ht="27" x14ac:dyDescent="0.25">
      <c r="A4677" s="508">
        <v>96693</v>
      </c>
      <c r="B4677" s="509" t="s">
        <v>6928</v>
      </c>
      <c r="C4677" s="508" t="s">
        <v>107</v>
      </c>
      <c r="D4677" s="508">
        <v>62.87</v>
      </c>
      <c r="E4677" s="461" t="s">
        <v>174</v>
      </c>
    </row>
    <row r="4678" spans="1:5" ht="27" x14ac:dyDescent="0.25">
      <c r="A4678" s="508">
        <v>96694</v>
      </c>
      <c r="B4678" s="509" t="s">
        <v>6929</v>
      </c>
      <c r="C4678" s="508" t="s">
        <v>107</v>
      </c>
      <c r="D4678" s="508">
        <v>98.52</v>
      </c>
      <c r="E4678" s="461" t="s">
        <v>174</v>
      </c>
    </row>
    <row r="4679" spans="1:5" ht="27" x14ac:dyDescent="0.25">
      <c r="A4679" s="508">
        <v>96695</v>
      </c>
      <c r="B4679" s="509" t="s">
        <v>6930</v>
      </c>
      <c r="C4679" s="508" t="s">
        <v>107</v>
      </c>
      <c r="D4679" s="508">
        <v>108.67</v>
      </c>
      <c r="E4679" s="461" t="s">
        <v>174</v>
      </c>
    </row>
    <row r="4680" spans="1:5" ht="27" x14ac:dyDescent="0.25">
      <c r="A4680" s="508">
        <v>96696</v>
      </c>
      <c r="B4680" s="509" t="s">
        <v>6931</v>
      </c>
      <c r="C4680" s="508" t="s">
        <v>107</v>
      </c>
      <c r="D4680" s="508">
        <v>123.07</v>
      </c>
      <c r="E4680" s="461" t="s">
        <v>174</v>
      </c>
    </row>
    <row r="4681" spans="1:5" ht="27" x14ac:dyDescent="0.25">
      <c r="A4681" s="508">
        <v>96697</v>
      </c>
      <c r="B4681" s="509" t="s">
        <v>6932</v>
      </c>
      <c r="C4681" s="508" t="s">
        <v>107</v>
      </c>
      <c r="D4681" s="508">
        <v>365.65</v>
      </c>
      <c r="E4681" s="461" t="s">
        <v>174</v>
      </c>
    </row>
    <row r="4682" spans="1:5" ht="27" x14ac:dyDescent="0.25">
      <c r="A4682" s="508">
        <v>96698</v>
      </c>
      <c r="B4682" s="509" t="s">
        <v>6933</v>
      </c>
      <c r="C4682" s="508" t="s">
        <v>107</v>
      </c>
      <c r="D4682" s="508">
        <v>8.64</v>
      </c>
      <c r="E4682" s="461" t="s">
        <v>174</v>
      </c>
    </row>
    <row r="4683" spans="1:5" ht="27" x14ac:dyDescent="0.25">
      <c r="A4683" s="508">
        <v>96699</v>
      </c>
      <c r="B4683" s="509" t="s">
        <v>6934</v>
      </c>
      <c r="C4683" s="508" t="s">
        <v>107</v>
      </c>
      <c r="D4683" s="508">
        <v>27.41</v>
      </c>
      <c r="E4683" s="461" t="s">
        <v>174</v>
      </c>
    </row>
    <row r="4684" spans="1:5" ht="27" x14ac:dyDescent="0.25">
      <c r="A4684" s="508">
        <v>96700</v>
      </c>
      <c r="B4684" s="509" t="s">
        <v>6935</v>
      </c>
      <c r="C4684" s="508" t="s">
        <v>107</v>
      </c>
      <c r="D4684" s="508">
        <v>18.100000000000001</v>
      </c>
      <c r="E4684" s="461" t="s">
        <v>174</v>
      </c>
    </row>
    <row r="4685" spans="1:5" ht="27" x14ac:dyDescent="0.25">
      <c r="A4685" s="508">
        <v>96701</v>
      </c>
      <c r="B4685" s="509" t="s">
        <v>6936</v>
      </c>
      <c r="C4685" s="508" t="s">
        <v>107</v>
      </c>
      <c r="D4685" s="508">
        <v>11.91</v>
      </c>
      <c r="E4685" s="461" t="s">
        <v>174</v>
      </c>
    </row>
    <row r="4686" spans="1:5" ht="27" x14ac:dyDescent="0.25">
      <c r="A4686" s="508">
        <v>96702</v>
      </c>
      <c r="B4686" s="509" t="s">
        <v>6937</v>
      </c>
      <c r="C4686" s="508" t="s">
        <v>107</v>
      </c>
      <c r="D4686" s="508">
        <v>12.36</v>
      </c>
      <c r="E4686" s="461" t="s">
        <v>174</v>
      </c>
    </row>
    <row r="4687" spans="1:5" ht="27" x14ac:dyDescent="0.25">
      <c r="A4687" s="508">
        <v>96703</v>
      </c>
      <c r="B4687" s="509" t="s">
        <v>6938</v>
      </c>
      <c r="C4687" s="508" t="s">
        <v>107</v>
      </c>
      <c r="D4687" s="508">
        <v>21.33</v>
      </c>
      <c r="E4687" s="461" t="s">
        <v>174</v>
      </c>
    </row>
    <row r="4688" spans="1:5" ht="27" x14ac:dyDescent="0.25">
      <c r="A4688" s="508">
        <v>96704</v>
      </c>
      <c r="B4688" s="509" t="s">
        <v>6939</v>
      </c>
      <c r="C4688" s="508" t="s">
        <v>107</v>
      </c>
      <c r="D4688" s="508">
        <v>21.81</v>
      </c>
      <c r="E4688" s="461" t="s">
        <v>174</v>
      </c>
    </row>
    <row r="4689" spans="1:5" ht="27" x14ac:dyDescent="0.25">
      <c r="A4689" s="508">
        <v>96705</v>
      </c>
      <c r="B4689" s="509" t="s">
        <v>6940</v>
      </c>
      <c r="C4689" s="508" t="s">
        <v>107</v>
      </c>
      <c r="D4689" s="508">
        <v>25.88</v>
      </c>
      <c r="E4689" s="461" t="s">
        <v>174</v>
      </c>
    </row>
    <row r="4690" spans="1:5" ht="27" x14ac:dyDescent="0.25">
      <c r="A4690" s="508">
        <v>96706</v>
      </c>
      <c r="B4690" s="509" t="s">
        <v>6941</v>
      </c>
      <c r="C4690" s="508" t="s">
        <v>107</v>
      </c>
      <c r="D4690" s="508">
        <v>38.42</v>
      </c>
      <c r="E4690" s="461" t="s">
        <v>174</v>
      </c>
    </row>
    <row r="4691" spans="1:5" ht="27" x14ac:dyDescent="0.25">
      <c r="A4691" s="508">
        <v>96707</v>
      </c>
      <c r="B4691" s="509" t="s">
        <v>6942</v>
      </c>
      <c r="C4691" s="508" t="s">
        <v>107</v>
      </c>
      <c r="D4691" s="508">
        <v>61.91</v>
      </c>
      <c r="E4691" s="461" t="s">
        <v>174</v>
      </c>
    </row>
    <row r="4692" spans="1:5" ht="27" x14ac:dyDescent="0.25">
      <c r="A4692" s="508">
        <v>96708</v>
      </c>
      <c r="B4692" s="509" t="s">
        <v>6943</v>
      </c>
      <c r="C4692" s="508" t="s">
        <v>107</v>
      </c>
      <c r="D4692" s="508">
        <v>94.01</v>
      </c>
      <c r="E4692" s="461" t="s">
        <v>174</v>
      </c>
    </row>
    <row r="4693" spans="1:5" ht="27" x14ac:dyDescent="0.25">
      <c r="A4693" s="508">
        <v>96709</v>
      </c>
      <c r="B4693" s="509" t="s">
        <v>6944</v>
      </c>
      <c r="C4693" s="508" t="s">
        <v>107</v>
      </c>
      <c r="D4693" s="508">
        <v>119.98</v>
      </c>
      <c r="E4693" s="461" t="s">
        <v>174</v>
      </c>
    </row>
    <row r="4694" spans="1:5" ht="27" x14ac:dyDescent="0.25">
      <c r="A4694" s="508">
        <v>96710</v>
      </c>
      <c r="B4694" s="509" t="s">
        <v>6945</v>
      </c>
      <c r="C4694" s="508" t="s">
        <v>107</v>
      </c>
      <c r="D4694" s="508">
        <v>15.95</v>
      </c>
      <c r="E4694" s="461" t="s">
        <v>174</v>
      </c>
    </row>
    <row r="4695" spans="1:5" ht="27" x14ac:dyDescent="0.25">
      <c r="A4695" s="508">
        <v>96711</v>
      </c>
      <c r="B4695" s="509" t="s">
        <v>6946</v>
      </c>
      <c r="C4695" s="508" t="s">
        <v>107</v>
      </c>
      <c r="D4695" s="508">
        <v>23.77</v>
      </c>
      <c r="E4695" s="461" t="s">
        <v>174</v>
      </c>
    </row>
    <row r="4696" spans="1:5" ht="27" x14ac:dyDescent="0.25">
      <c r="A4696" s="508">
        <v>96712</v>
      </c>
      <c r="B4696" s="509" t="s">
        <v>6947</v>
      </c>
      <c r="C4696" s="508" t="s">
        <v>107</v>
      </c>
      <c r="D4696" s="508">
        <v>33.880000000000003</v>
      </c>
      <c r="E4696" s="461" t="s">
        <v>174</v>
      </c>
    </row>
    <row r="4697" spans="1:5" ht="27" x14ac:dyDescent="0.25">
      <c r="A4697" s="508">
        <v>96713</v>
      </c>
      <c r="B4697" s="509" t="s">
        <v>6948</v>
      </c>
      <c r="C4697" s="508" t="s">
        <v>107</v>
      </c>
      <c r="D4697" s="508">
        <v>52.1</v>
      </c>
      <c r="E4697" s="461" t="s">
        <v>174</v>
      </c>
    </row>
    <row r="4698" spans="1:5" ht="27" x14ac:dyDescent="0.25">
      <c r="A4698" s="508">
        <v>96714</v>
      </c>
      <c r="B4698" s="509" t="s">
        <v>6949</v>
      </c>
      <c r="C4698" s="508" t="s">
        <v>107</v>
      </c>
      <c r="D4698" s="508">
        <v>74.22</v>
      </c>
      <c r="E4698" s="461" t="s">
        <v>174</v>
      </c>
    </row>
    <row r="4699" spans="1:5" ht="27" x14ac:dyDescent="0.25">
      <c r="A4699" s="508">
        <v>96715</v>
      </c>
      <c r="B4699" s="509" t="s">
        <v>6950</v>
      </c>
      <c r="C4699" s="508" t="s">
        <v>107</v>
      </c>
      <c r="D4699" s="508">
        <v>132.52000000000001</v>
      </c>
      <c r="E4699" s="461" t="s">
        <v>174</v>
      </c>
    </row>
    <row r="4700" spans="1:5" ht="27" x14ac:dyDescent="0.25">
      <c r="A4700" s="508">
        <v>96716</v>
      </c>
      <c r="B4700" s="509" t="s">
        <v>6951</v>
      </c>
      <c r="C4700" s="508" t="s">
        <v>107</v>
      </c>
      <c r="D4700" s="508">
        <v>172.68</v>
      </c>
      <c r="E4700" s="461" t="s">
        <v>174</v>
      </c>
    </row>
    <row r="4701" spans="1:5" ht="27" x14ac:dyDescent="0.25">
      <c r="A4701" s="508">
        <v>96717</v>
      </c>
      <c r="B4701" s="509" t="s">
        <v>6952</v>
      </c>
      <c r="C4701" s="508" t="s">
        <v>107</v>
      </c>
      <c r="D4701" s="508">
        <v>332.31</v>
      </c>
      <c r="E4701" s="461" t="s">
        <v>174</v>
      </c>
    </row>
    <row r="4702" spans="1:5" ht="27" x14ac:dyDescent="0.25">
      <c r="A4702" s="508">
        <v>96736</v>
      </c>
      <c r="B4702" s="509" t="s">
        <v>6953</v>
      </c>
      <c r="C4702" s="508" t="s">
        <v>107</v>
      </c>
      <c r="D4702" s="508">
        <v>6.24</v>
      </c>
      <c r="E4702" s="461" t="s">
        <v>174</v>
      </c>
    </row>
    <row r="4703" spans="1:5" ht="27" x14ac:dyDescent="0.25">
      <c r="A4703" s="508">
        <v>96737</v>
      </c>
      <c r="B4703" s="509" t="s">
        <v>6954</v>
      </c>
      <c r="C4703" s="508" t="s">
        <v>107</v>
      </c>
      <c r="D4703" s="508">
        <v>6.37</v>
      </c>
      <c r="E4703" s="461" t="s">
        <v>174</v>
      </c>
    </row>
    <row r="4704" spans="1:5" ht="27" x14ac:dyDescent="0.25">
      <c r="A4704" s="508">
        <v>96738</v>
      </c>
      <c r="B4704" s="509" t="s">
        <v>6955</v>
      </c>
      <c r="C4704" s="508" t="s">
        <v>107</v>
      </c>
      <c r="D4704" s="508">
        <v>25.18</v>
      </c>
      <c r="E4704" s="461" t="s">
        <v>174</v>
      </c>
    </row>
    <row r="4705" spans="1:5" ht="27" x14ac:dyDescent="0.25">
      <c r="A4705" s="508">
        <v>96739</v>
      </c>
      <c r="B4705" s="509" t="s">
        <v>6956</v>
      </c>
      <c r="C4705" s="508" t="s">
        <v>107</v>
      </c>
      <c r="D4705" s="508">
        <v>8.9</v>
      </c>
      <c r="E4705" s="461" t="s">
        <v>174</v>
      </c>
    </row>
    <row r="4706" spans="1:5" ht="27" x14ac:dyDescent="0.25">
      <c r="A4706" s="508">
        <v>96740</v>
      </c>
      <c r="B4706" s="509" t="s">
        <v>6957</v>
      </c>
      <c r="C4706" s="508" t="s">
        <v>107</v>
      </c>
      <c r="D4706" s="508">
        <v>34.94</v>
      </c>
      <c r="E4706" s="461" t="s">
        <v>174</v>
      </c>
    </row>
    <row r="4707" spans="1:5" ht="27" x14ac:dyDescent="0.25">
      <c r="A4707" s="508">
        <v>96741</v>
      </c>
      <c r="B4707" s="509" t="s">
        <v>6958</v>
      </c>
      <c r="C4707" s="508" t="s">
        <v>107</v>
      </c>
      <c r="D4707" s="508">
        <v>17.66</v>
      </c>
      <c r="E4707" s="461" t="s">
        <v>174</v>
      </c>
    </row>
    <row r="4708" spans="1:5" ht="27" x14ac:dyDescent="0.25">
      <c r="A4708" s="508">
        <v>96742</v>
      </c>
      <c r="B4708" s="509" t="s">
        <v>6959</v>
      </c>
      <c r="C4708" s="508" t="s">
        <v>107</v>
      </c>
      <c r="D4708" s="508">
        <v>21.68</v>
      </c>
      <c r="E4708" s="461" t="s">
        <v>174</v>
      </c>
    </row>
    <row r="4709" spans="1:5" ht="27" x14ac:dyDescent="0.25">
      <c r="A4709" s="508">
        <v>96743</v>
      </c>
      <c r="B4709" s="509" t="s">
        <v>6960</v>
      </c>
      <c r="C4709" s="508" t="s">
        <v>107</v>
      </c>
      <c r="D4709" s="508">
        <v>34.01</v>
      </c>
      <c r="E4709" s="461" t="s">
        <v>174</v>
      </c>
    </row>
    <row r="4710" spans="1:5" ht="27" x14ac:dyDescent="0.25">
      <c r="A4710" s="508">
        <v>96744</v>
      </c>
      <c r="B4710" s="509" t="s">
        <v>6961</v>
      </c>
      <c r="C4710" s="508" t="s">
        <v>107</v>
      </c>
      <c r="D4710" s="508">
        <v>57.77</v>
      </c>
      <c r="E4710" s="461" t="s">
        <v>174</v>
      </c>
    </row>
    <row r="4711" spans="1:5" ht="27" x14ac:dyDescent="0.25">
      <c r="A4711" s="508">
        <v>96745</v>
      </c>
      <c r="B4711" s="509" t="s">
        <v>6962</v>
      </c>
      <c r="C4711" s="508" t="s">
        <v>107</v>
      </c>
      <c r="D4711" s="508">
        <v>90.86</v>
      </c>
      <c r="E4711" s="461" t="s">
        <v>174</v>
      </c>
    </row>
    <row r="4712" spans="1:5" ht="27" x14ac:dyDescent="0.25">
      <c r="A4712" s="508">
        <v>96746</v>
      </c>
      <c r="B4712" s="509" t="s">
        <v>6963</v>
      </c>
      <c r="C4712" s="508" t="s">
        <v>107</v>
      </c>
      <c r="D4712" s="508">
        <v>119.32</v>
      </c>
      <c r="E4712" s="461" t="s">
        <v>174</v>
      </c>
    </row>
    <row r="4713" spans="1:5" ht="27" x14ac:dyDescent="0.25">
      <c r="A4713" s="508">
        <v>96747</v>
      </c>
      <c r="B4713" s="509" t="s">
        <v>6964</v>
      </c>
      <c r="C4713" s="508" t="s">
        <v>107</v>
      </c>
      <c r="D4713" s="508">
        <v>7.54</v>
      </c>
      <c r="E4713" s="461" t="s">
        <v>174</v>
      </c>
    </row>
    <row r="4714" spans="1:5" ht="27" x14ac:dyDescent="0.25">
      <c r="A4714" s="508">
        <v>96748</v>
      </c>
      <c r="B4714" s="509" t="s">
        <v>6965</v>
      </c>
      <c r="C4714" s="508" t="s">
        <v>107</v>
      </c>
      <c r="D4714" s="508">
        <v>8.7899999999999991</v>
      </c>
      <c r="E4714" s="461" t="s">
        <v>174</v>
      </c>
    </row>
    <row r="4715" spans="1:5" ht="27" x14ac:dyDescent="0.25">
      <c r="A4715" s="508">
        <v>96749</v>
      </c>
      <c r="B4715" s="509" t="s">
        <v>6966</v>
      </c>
      <c r="C4715" s="508" t="s">
        <v>107</v>
      </c>
      <c r="D4715" s="508">
        <v>11.2</v>
      </c>
      <c r="E4715" s="461" t="s">
        <v>174</v>
      </c>
    </row>
    <row r="4716" spans="1:5" ht="27" x14ac:dyDescent="0.25">
      <c r="A4716" s="508">
        <v>96750</v>
      </c>
      <c r="B4716" s="509" t="s">
        <v>6967</v>
      </c>
      <c r="C4716" s="508" t="s">
        <v>107</v>
      </c>
      <c r="D4716" s="508">
        <v>17.88</v>
      </c>
      <c r="E4716" s="461" t="s">
        <v>174</v>
      </c>
    </row>
    <row r="4717" spans="1:5" ht="27" x14ac:dyDescent="0.25">
      <c r="A4717" s="508">
        <v>96751</v>
      </c>
      <c r="B4717" s="509" t="s">
        <v>6968</v>
      </c>
      <c r="C4717" s="508" t="s">
        <v>107</v>
      </c>
      <c r="D4717" s="508">
        <v>26.28</v>
      </c>
      <c r="E4717" s="461" t="s">
        <v>174</v>
      </c>
    </row>
    <row r="4718" spans="1:5" ht="27" x14ac:dyDescent="0.25">
      <c r="A4718" s="508">
        <v>96752</v>
      </c>
      <c r="B4718" s="509" t="s">
        <v>6969</v>
      </c>
      <c r="C4718" s="508" t="s">
        <v>107</v>
      </c>
      <c r="D4718" s="508">
        <v>39.619999999999997</v>
      </c>
      <c r="E4718" s="461" t="s">
        <v>174</v>
      </c>
    </row>
    <row r="4719" spans="1:5" ht="27" x14ac:dyDescent="0.25">
      <c r="A4719" s="508">
        <v>96753</v>
      </c>
      <c r="B4719" s="509" t="s">
        <v>6970</v>
      </c>
      <c r="C4719" s="508" t="s">
        <v>107</v>
      </c>
      <c r="D4719" s="508">
        <v>92.31</v>
      </c>
      <c r="E4719" s="461" t="s">
        <v>174</v>
      </c>
    </row>
    <row r="4720" spans="1:5" ht="27" x14ac:dyDescent="0.25">
      <c r="A4720" s="508">
        <v>96754</v>
      </c>
      <c r="B4720" s="509" t="s">
        <v>6971</v>
      </c>
      <c r="C4720" s="508" t="s">
        <v>107</v>
      </c>
      <c r="D4720" s="508">
        <v>118.37</v>
      </c>
      <c r="E4720" s="461" t="s">
        <v>174</v>
      </c>
    </row>
    <row r="4721" spans="1:5" ht="27" x14ac:dyDescent="0.25">
      <c r="A4721" s="508">
        <v>96755</v>
      </c>
      <c r="B4721" s="509" t="s">
        <v>6972</v>
      </c>
      <c r="C4721" s="508" t="s">
        <v>107</v>
      </c>
      <c r="D4721" s="508">
        <v>364.62</v>
      </c>
      <c r="E4721" s="461" t="s">
        <v>174</v>
      </c>
    </row>
    <row r="4722" spans="1:5" ht="27" x14ac:dyDescent="0.25">
      <c r="A4722" s="508">
        <v>96758</v>
      </c>
      <c r="B4722" s="509" t="s">
        <v>6973</v>
      </c>
      <c r="C4722" s="508" t="s">
        <v>107</v>
      </c>
      <c r="D4722" s="508">
        <v>17.75</v>
      </c>
      <c r="E4722" s="461" t="s">
        <v>174</v>
      </c>
    </row>
    <row r="4723" spans="1:5" ht="27" x14ac:dyDescent="0.25">
      <c r="A4723" s="508">
        <v>96759</v>
      </c>
      <c r="B4723" s="509" t="s">
        <v>6974</v>
      </c>
      <c r="C4723" s="508" t="s">
        <v>107</v>
      </c>
      <c r="D4723" s="508">
        <v>26.56</v>
      </c>
      <c r="E4723" s="461" t="s">
        <v>174</v>
      </c>
    </row>
    <row r="4724" spans="1:5" ht="27" x14ac:dyDescent="0.25">
      <c r="A4724" s="508">
        <v>96760</v>
      </c>
      <c r="B4724" s="509" t="s">
        <v>6975</v>
      </c>
      <c r="C4724" s="508" t="s">
        <v>107</v>
      </c>
      <c r="D4724" s="508">
        <v>43.7</v>
      </c>
      <c r="E4724" s="461" t="s">
        <v>174</v>
      </c>
    </row>
    <row r="4725" spans="1:5" ht="27" x14ac:dyDescent="0.25">
      <c r="A4725" s="508">
        <v>96761</v>
      </c>
      <c r="B4725" s="509" t="s">
        <v>6976</v>
      </c>
      <c r="C4725" s="508" t="s">
        <v>107</v>
      </c>
      <c r="D4725" s="508">
        <v>65.39</v>
      </c>
      <c r="E4725" s="461" t="s">
        <v>174</v>
      </c>
    </row>
    <row r="4726" spans="1:5" ht="27" x14ac:dyDescent="0.25">
      <c r="A4726" s="508">
        <v>96762</v>
      </c>
      <c r="B4726" s="509" t="s">
        <v>6977</v>
      </c>
      <c r="C4726" s="508" t="s">
        <v>107</v>
      </c>
      <c r="D4726" s="508">
        <v>124.24</v>
      </c>
      <c r="E4726" s="461" t="s">
        <v>174</v>
      </c>
    </row>
    <row r="4727" spans="1:5" ht="27" x14ac:dyDescent="0.25">
      <c r="A4727" s="508">
        <v>96763</v>
      </c>
      <c r="B4727" s="509" t="s">
        <v>6978</v>
      </c>
      <c r="C4727" s="508" t="s">
        <v>107</v>
      </c>
      <c r="D4727" s="508">
        <v>166.41</v>
      </c>
      <c r="E4727" s="461" t="s">
        <v>174</v>
      </c>
    </row>
    <row r="4728" spans="1:5" ht="27" x14ac:dyDescent="0.25">
      <c r="A4728" s="508">
        <v>96764</v>
      </c>
      <c r="B4728" s="509" t="s">
        <v>6979</v>
      </c>
      <c r="C4728" s="508" t="s">
        <v>107</v>
      </c>
      <c r="D4728" s="508">
        <v>330.95</v>
      </c>
      <c r="E4728" s="461" t="s">
        <v>174</v>
      </c>
    </row>
    <row r="4729" spans="1:5" ht="27" x14ac:dyDescent="0.25">
      <c r="A4729" s="508">
        <v>96802</v>
      </c>
      <c r="B4729" s="509" t="s">
        <v>6980</v>
      </c>
      <c r="C4729" s="508" t="s">
        <v>107</v>
      </c>
      <c r="D4729" s="508">
        <v>379.8</v>
      </c>
      <c r="E4729" s="461" t="s">
        <v>174</v>
      </c>
    </row>
    <row r="4730" spans="1:5" ht="27" x14ac:dyDescent="0.25">
      <c r="A4730" s="508">
        <v>96803</v>
      </c>
      <c r="B4730" s="509" t="s">
        <v>6981</v>
      </c>
      <c r="C4730" s="508" t="s">
        <v>107</v>
      </c>
      <c r="D4730" s="508">
        <v>70.75</v>
      </c>
      <c r="E4730" s="461" t="s">
        <v>174</v>
      </c>
    </row>
    <row r="4731" spans="1:5" ht="40.5" x14ac:dyDescent="0.25">
      <c r="A4731" s="508">
        <v>96804</v>
      </c>
      <c r="B4731" s="509" t="s">
        <v>6982</v>
      </c>
      <c r="C4731" s="508" t="s">
        <v>107</v>
      </c>
      <c r="D4731" s="508">
        <v>115.42</v>
      </c>
      <c r="E4731" s="461" t="s">
        <v>174</v>
      </c>
    </row>
    <row r="4732" spans="1:5" ht="40.5" x14ac:dyDescent="0.25">
      <c r="A4732" s="508">
        <v>96805</v>
      </c>
      <c r="B4732" s="509" t="s">
        <v>6983</v>
      </c>
      <c r="C4732" s="508" t="s">
        <v>107</v>
      </c>
      <c r="D4732" s="508">
        <v>198.3</v>
      </c>
      <c r="E4732" s="461" t="s">
        <v>174</v>
      </c>
    </row>
    <row r="4733" spans="1:5" ht="40.5" x14ac:dyDescent="0.25">
      <c r="A4733" s="508">
        <v>96806</v>
      </c>
      <c r="B4733" s="509" t="s">
        <v>6984</v>
      </c>
      <c r="C4733" s="508" t="s">
        <v>107</v>
      </c>
      <c r="D4733" s="508">
        <v>77.900000000000006</v>
      </c>
      <c r="E4733" s="461" t="s">
        <v>174</v>
      </c>
    </row>
    <row r="4734" spans="1:5" ht="40.5" x14ac:dyDescent="0.25">
      <c r="A4734" s="508">
        <v>96807</v>
      </c>
      <c r="B4734" s="509" t="s">
        <v>6985</v>
      </c>
      <c r="C4734" s="508" t="s">
        <v>107</v>
      </c>
      <c r="D4734" s="508">
        <v>126.13</v>
      </c>
      <c r="E4734" s="461" t="s">
        <v>174</v>
      </c>
    </row>
    <row r="4735" spans="1:5" ht="27" x14ac:dyDescent="0.25">
      <c r="A4735" s="508">
        <v>96808</v>
      </c>
      <c r="B4735" s="509" t="s">
        <v>6986</v>
      </c>
      <c r="C4735" s="508" t="s">
        <v>107</v>
      </c>
      <c r="D4735" s="508">
        <v>16.47</v>
      </c>
      <c r="E4735" s="461" t="s">
        <v>174</v>
      </c>
    </row>
    <row r="4736" spans="1:5" ht="27" x14ac:dyDescent="0.25">
      <c r="A4736" s="508">
        <v>96809</v>
      </c>
      <c r="B4736" s="509" t="s">
        <v>6987</v>
      </c>
      <c r="C4736" s="508" t="s">
        <v>107</v>
      </c>
      <c r="D4736" s="508">
        <v>18.059999999999999</v>
      </c>
      <c r="E4736" s="461" t="s">
        <v>174</v>
      </c>
    </row>
    <row r="4737" spans="1:5" ht="27" x14ac:dyDescent="0.25">
      <c r="A4737" s="508">
        <v>96810</v>
      </c>
      <c r="B4737" s="509" t="s">
        <v>6988</v>
      </c>
      <c r="C4737" s="508" t="s">
        <v>107</v>
      </c>
      <c r="D4737" s="508">
        <v>19.63</v>
      </c>
      <c r="E4737" s="461" t="s">
        <v>174</v>
      </c>
    </row>
    <row r="4738" spans="1:5" ht="27" x14ac:dyDescent="0.25">
      <c r="A4738" s="508">
        <v>96811</v>
      </c>
      <c r="B4738" s="509" t="s">
        <v>6989</v>
      </c>
      <c r="C4738" s="508" t="s">
        <v>107</v>
      </c>
      <c r="D4738" s="508">
        <v>20.71</v>
      </c>
      <c r="E4738" s="461" t="s">
        <v>174</v>
      </c>
    </row>
    <row r="4739" spans="1:5" ht="27" x14ac:dyDescent="0.25">
      <c r="A4739" s="508">
        <v>96812</v>
      </c>
      <c r="B4739" s="509" t="s">
        <v>6990</v>
      </c>
      <c r="C4739" s="508" t="s">
        <v>107</v>
      </c>
      <c r="D4739" s="508">
        <v>18.850000000000001</v>
      </c>
      <c r="E4739" s="461" t="s">
        <v>174</v>
      </c>
    </row>
    <row r="4740" spans="1:5" ht="27" x14ac:dyDescent="0.25">
      <c r="A4740" s="508">
        <v>96813</v>
      </c>
      <c r="B4740" s="509" t="s">
        <v>6991</v>
      </c>
      <c r="C4740" s="508" t="s">
        <v>107</v>
      </c>
      <c r="D4740" s="508">
        <v>21.45</v>
      </c>
      <c r="E4740" s="461" t="s">
        <v>174</v>
      </c>
    </row>
    <row r="4741" spans="1:5" ht="27" x14ac:dyDescent="0.25">
      <c r="A4741" s="508">
        <v>96814</v>
      </c>
      <c r="B4741" s="509" t="s">
        <v>6992</v>
      </c>
      <c r="C4741" s="508" t="s">
        <v>107</v>
      </c>
      <c r="D4741" s="508">
        <v>15.39</v>
      </c>
      <c r="E4741" s="461" t="s">
        <v>174</v>
      </c>
    </row>
    <row r="4742" spans="1:5" ht="27" x14ac:dyDescent="0.25">
      <c r="A4742" s="508">
        <v>96815</v>
      </c>
      <c r="B4742" s="509" t="s">
        <v>6993</v>
      </c>
      <c r="C4742" s="508" t="s">
        <v>107</v>
      </c>
      <c r="D4742" s="508">
        <v>31.68</v>
      </c>
      <c r="E4742" s="461" t="s">
        <v>174</v>
      </c>
    </row>
    <row r="4743" spans="1:5" ht="27" x14ac:dyDescent="0.25">
      <c r="A4743" s="508">
        <v>96816</v>
      </c>
      <c r="B4743" s="509" t="s">
        <v>6994</v>
      </c>
      <c r="C4743" s="508" t="s">
        <v>107</v>
      </c>
      <c r="D4743" s="508">
        <v>24.15</v>
      </c>
      <c r="E4743" s="461" t="s">
        <v>174</v>
      </c>
    </row>
    <row r="4744" spans="1:5" ht="27" x14ac:dyDescent="0.25">
      <c r="A4744" s="508">
        <v>96817</v>
      </c>
      <c r="B4744" s="509" t="s">
        <v>6995</v>
      </c>
      <c r="C4744" s="508" t="s">
        <v>107</v>
      </c>
      <c r="D4744" s="508">
        <v>31.92</v>
      </c>
      <c r="E4744" s="461" t="s">
        <v>174</v>
      </c>
    </row>
    <row r="4745" spans="1:5" ht="27" x14ac:dyDescent="0.25">
      <c r="A4745" s="508">
        <v>96818</v>
      </c>
      <c r="B4745" s="509" t="s">
        <v>6996</v>
      </c>
      <c r="C4745" s="508" t="s">
        <v>107</v>
      </c>
      <c r="D4745" s="508">
        <v>20.48</v>
      </c>
      <c r="E4745" s="461" t="s">
        <v>174</v>
      </c>
    </row>
    <row r="4746" spans="1:5" ht="27" x14ac:dyDescent="0.25">
      <c r="A4746" s="508">
        <v>96819</v>
      </c>
      <c r="B4746" s="509" t="s">
        <v>6997</v>
      </c>
      <c r="C4746" s="508" t="s">
        <v>107</v>
      </c>
      <c r="D4746" s="508">
        <v>21.95</v>
      </c>
      <c r="E4746" s="461" t="s">
        <v>174</v>
      </c>
    </row>
    <row r="4747" spans="1:5" ht="27" x14ac:dyDescent="0.25">
      <c r="A4747" s="508">
        <v>96820</v>
      </c>
      <c r="B4747" s="509" t="s">
        <v>6998</v>
      </c>
      <c r="C4747" s="508" t="s">
        <v>107</v>
      </c>
      <c r="D4747" s="508">
        <v>38.15</v>
      </c>
      <c r="E4747" s="461" t="s">
        <v>174</v>
      </c>
    </row>
    <row r="4748" spans="1:5" ht="27" x14ac:dyDescent="0.25">
      <c r="A4748" s="508">
        <v>96821</v>
      </c>
      <c r="B4748" s="509" t="s">
        <v>6999</v>
      </c>
      <c r="C4748" s="508" t="s">
        <v>107</v>
      </c>
      <c r="D4748" s="508">
        <v>35.5</v>
      </c>
      <c r="E4748" s="461" t="s">
        <v>174</v>
      </c>
    </row>
    <row r="4749" spans="1:5" ht="27" x14ac:dyDescent="0.25">
      <c r="A4749" s="508">
        <v>96822</v>
      </c>
      <c r="B4749" s="509" t="s">
        <v>7000</v>
      </c>
      <c r="C4749" s="508" t="s">
        <v>107</v>
      </c>
      <c r="D4749" s="508">
        <v>28.73</v>
      </c>
      <c r="E4749" s="461" t="s">
        <v>174</v>
      </c>
    </row>
    <row r="4750" spans="1:5" ht="27" x14ac:dyDescent="0.25">
      <c r="A4750" s="508">
        <v>96823</v>
      </c>
      <c r="B4750" s="509" t="s">
        <v>7001</v>
      </c>
      <c r="C4750" s="508" t="s">
        <v>107</v>
      </c>
      <c r="D4750" s="508">
        <v>10.77</v>
      </c>
      <c r="E4750" s="461" t="s">
        <v>174</v>
      </c>
    </row>
    <row r="4751" spans="1:5" ht="27" x14ac:dyDescent="0.25">
      <c r="A4751" s="508">
        <v>96824</v>
      </c>
      <c r="B4751" s="509" t="s">
        <v>7002</v>
      </c>
      <c r="C4751" s="508" t="s">
        <v>107</v>
      </c>
      <c r="D4751" s="508">
        <v>16.87</v>
      </c>
      <c r="E4751" s="461" t="s">
        <v>174</v>
      </c>
    </row>
    <row r="4752" spans="1:5" ht="27" x14ac:dyDescent="0.25">
      <c r="A4752" s="508">
        <v>96826</v>
      </c>
      <c r="B4752" s="509" t="s">
        <v>7003</v>
      </c>
      <c r="C4752" s="508" t="s">
        <v>107</v>
      </c>
      <c r="D4752" s="508">
        <v>12.5</v>
      </c>
      <c r="E4752" s="461" t="s">
        <v>174</v>
      </c>
    </row>
    <row r="4753" spans="1:5" ht="27" x14ac:dyDescent="0.25">
      <c r="A4753" s="508">
        <v>96827</v>
      </c>
      <c r="B4753" s="509" t="s">
        <v>7004</v>
      </c>
      <c r="C4753" s="508" t="s">
        <v>107</v>
      </c>
      <c r="D4753" s="508">
        <v>18.350000000000001</v>
      </c>
      <c r="E4753" s="461" t="s">
        <v>174</v>
      </c>
    </row>
    <row r="4754" spans="1:5" ht="27" x14ac:dyDescent="0.25">
      <c r="A4754" s="508">
        <v>96828</v>
      </c>
      <c r="B4754" s="509" t="s">
        <v>7005</v>
      </c>
      <c r="C4754" s="508" t="s">
        <v>107</v>
      </c>
      <c r="D4754" s="508">
        <v>22.5</v>
      </c>
      <c r="E4754" s="461" t="s">
        <v>174</v>
      </c>
    </row>
    <row r="4755" spans="1:5" ht="27" x14ac:dyDescent="0.25">
      <c r="A4755" s="508">
        <v>96829</v>
      </c>
      <c r="B4755" s="509" t="s">
        <v>7006</v>
      </c>
      <c r="C4755" s="508" t="s">
        <v>107</v>
      </c>
      <c r="D4755" s="508">
        <v>17.2</v>
      </c>
      <c r="E4755" s="461" t="s">
        <v>174</v>
      </c>
    </row>
    <row r="4756" spans="1:5" ht="27" x14ac:dyDescent="0.25">
      <c r="A4756" s="508">
        <v>96830</v>
      </c>
      <c r="B4756" s="509" t="s">
        <v>7007</v>
      </c>
      <c r="C4756" s="508" t="s">
        <v>107</v>
      </c>
      <c r="D4756" s="508">
        <v>19.45</v>
      </c>
      <c r="E4756" s="461" t="s">
        <v>174</v>
      </c>
    </row>
    <row r="4757" spans="1:5" ht="27" x14ac:dyDescent="0.25">
      <c r="A4757" s="508">
        <v>96832</v>
      </c>
      <c r="B4757" s="509" t="s">
        <v>7008</v>
      </c>
      <c r="C4757" s="508" t="s">
        <v>107</v>
      </c>
      <c r="D4757" s="508">
        <v>28.08</v>
      </c>
      <c r="E4757" s="461" t="s">
        <v>174</v>
      </c>
    </row>
    <row r="4758" spans="1:5" ht="27" x14ac:dyDescent="0.25">
      <c r="A4758" s="508">
        <v>96833</v>
      </c>
      <c r="B4758" s="509" t="s">
        <v>7009</v>
      </c>
      <c r="C4758" s="508" t="s">
        <v>107</v>
      </c>
      <c r="D4758" s="508">
        <v>21.84</v>
      </c>
      <c r="E4758" s="461" t="s">
        <v>174</v>
      </c>
    </row>
    <row r="4759" spans="1:5" ht="27" x14ac:dyDescent="0.25">
      <c r="A4759" s="508">
        <v>96834</v>
      </c>
      <c r="B4759" s="509" t="s">
        <v>7010</v>
      </c>
      <c r="C4759" s="508" t="s">
        <v>107</v>
      </c>
      <c r="D4759" s="508">
        <v>26.24</v>
      </c>
      <c r="E4759" s="461" t="s">
        <v>174</v>
      </c>
    </row>
    <row r="4760" spans="1:5" ht="27" x14ac:dyDescent="0.25">
      <c r="A4760" s="508">
        <v>96836</v>
      </c>
      <c r="B4760" s="509" t="s">
        <v>7011</v>
      </c>
      <c r="C4760" s="508" t="s">
        <v>107</v>
      </c>
      <c r="D4760" s="508">
        <v>31.16</v>
      </c>
      <c r="E4760" s="461" t="s">
        <v>174</v>
      </c>
    </row>
    <row r="4761" spans="1:5" ht="27" x14ac:dyDescent="0.25">
      <c r="A4761" s="508">
        <v>96837</v>
      </c>
      <c r="B4761" s="509" t="s">
        <v>7012</v>
      </c>
      <c r="C4761" s="508" t="s">
        <v>107</v>
      </c>
      <c r="D4761" s="508">
        <v>20.12</v>
      </c>
      <c r="E4761" s="461" t="s">
        <v>174</v>
      </c>
    </row>
    <row r="4762" spans="1:5" ht="27" x14ac:dyDescent="0.25">
      <c r="A4762" s="508">
        <v>96838</v>
      </c>
      <c r="B4762" s="509" t="s">
        <v>7013</v>
      </c>
      <c r="C4762" s="508" t="s">
        <v>107</v>
      </c>
      <c r="D4762" s="508">
        <v>24.39</v>
      </c>
      <c r="E4762" s="461" t="s">
        <v>174</v>
      </c>
    </row>
    <row r="4763" spans="1:5" ht="27" x14ac:dyDescent="0.25">
      <c r="A4763" s="508">
        <v>96839</v>
      </c>
      <c r="B4763" s="509" t="s">
        <v>7014</v>
      </c>
      <c r="C4763" s="508" t="s">
        <v>107</v>
      </c>
      <c r="D4763" s="508">
        <v>25.16</v>
      </c>
      <c r="E4763" s="461" t="s">
        <v>174</v>
      </c>
    </row>
    <row r="4764" spans="1:5" ht="27" x14ac:dyDescent="0.25">
      <c r="A4764" s="508">
        <v>96840</v>
      </c>
      <c r="B4764" s="509" t="s">
        <v>7015</v>
      </c>
      <c r="C4764" s="508" t="s">
        <v>107</v>
      </c>
      <c r="D4764" s="508">
        <v>24.26</v>
      </c>
      <c r="E4764" s="461" t="s">
        <v>174</v>
      </c>
    </row>
    <row r="4765" spans="1:5" ht="27" x14ac:dyDescent="0.25">
      <c r="A4765" s="508">
        <v>96841</v>
      </c>
      <c r="B4765" s="509" t="s">
        <v>7016</v>
      </c>
      <c r="C4765" s="508" t="s">
        <v>107</v>
      </c>
      <c r="D4765" s="508">
        <v>27.01</v>
      </c>
      <c r="E4765" s="461" t="s">
        <v>174</v>
      </c>
    </row>
    <row r="4766" spans="1:5" ht="27" x14ac:dyDescent="0.25">
      <c r="A4766" s="508">
        <v>96842</v>
      </c>
      <c r="B4766" s="509" t="s">
        <v>7017</v>
      </c>
      <c r="C4766" s="508" t="s">
        <v>107</v>
      </c>
      <c r="D4766" s="508">
        <v>30.86</v>
      </c>
      <c r="E4766" s="461" t="s">
        <v>174</v>
      </c>
    </row>
    <row r="4767" spans="1:5" ht="27" x14ac:dyDescent="0.25">
      <c r="A4767" s="508">
        <v>96843</v>
      </c>
      <c r="B4767" s="509" t="s">
        <v>7018</v>
      </c>
      <c r="C4767" s="508" t="s">
        <v>107</v>
      </c>
      <c r="D4767" s="508">
        <v>28.06</v>
      </c>
      <c r="E4767" s="461" t="s">
        <v>174</v>
      </c>
    </row>
    <row r="4768" spans="1:5" ht="27" x14ac:dyDescent="0.25">
      <c r="A4768" s="508">
        <v>96844</v>
      </c>
      <c r="B4768" s="509" t="s">
        <v>7019</v>
      </c>
      <c r="C4768" s="508" t="s">
        <v>107</v>
      </c>
      <c r="D4768" s="508">
        <v>32.21</v>
      </c>
      <c r="E4768" s="461" t="s">
        <v>174</v>
      </c>
    </row>
    <row r="4769" spans="1:5" ht="27" x14ac:dyDescent="0.25">
      <c r="A4769" s="508">
        <v>96845</v>
      </c>
      <c r="B4769" s="509" t="s">
        <v>7020</v>
      </c>
      <c r="C4769" s="508" t="s">
        <v>107</v>
      </c>
      <c r="D4769" s="508">
        <v>37.630000000000003</v>
      </c>
      <c r="E4769" s="461" t="s">
        <v>174</v>
      </c>
    </row>
    <row r="4770" spans="1:5" ht="27" x14ac:dyDescent="0.25">
      <c r="A4770" s="508">
        <v>96846</v>
      </c>
      <c r="B4770" s="509" t="s">
        <v>7021</v>
      </c>
      <c r="C4770" s="508" t="s">
        <v>107</v>
      </c>
      <c r="D4770" s="508">
        <v>35.799999999999997</v>
      </c>
      <c r="E4770" s="461" t="s">
        <v>174</v>
      </c>
    </row>
    <row r="4771" spans="1:5" ht="27" x14ac:dyDescent="0.25">
      <c r="A4771" s="508">
        <v>96847</v>
      </c>
      <c r="B4771" s="509" t="s">
        <v>7022</v>
      </c>
      <c r="C4771" s="508" t="s">
        <v>107</v>
      </c>
      <c r="D4771" s="508">
        <v>35.340000000000003</v>
      </c>
      <c r="E4771" s="461" t="s">
        <v>174</v>
      </c>
    </row>
    <row r="4772" spans="1:5" ht="27" x14ac:dyDescent="0.25">
      <c r="A4772" s="508">
        <v>96848</v>
      </c>
      <c r="B4772" s="509" t="s">
        <v>7023</v>
      </c>
      <c r="C4772" s="508" t="s">
        <v>107</v>
      </c>
      <c r="D4772" s="508">
        <v>49.78</v>
      </c>
      <c r="E4772" s="461" t="s">
        <v>174</v>
      </c>
    </row>
    <row r="4773" spans="1:5" ht="27" x14ac:dyDescent="0.25">
      <c r="A4773" s="508">
        <v>96849</v>
      </c>
      <c r="B4773" s="509" t="s">
        <v>7024</v>
      </c>
      <c r="C4773" s="508" t="s">
        <v>107</v>
      </c>
      <c r="D4773" s="508">
        <v>15.92</v>
      </c>
      <c r="E4773" s="461" t="s">
        <v>174</v>
      </c>
    </row>
    <row r="4774" spans="1:5" ht="27" x14ac:dyDescent="0.25">
      <c r="A4774" s="508">
        <v>96850</v>
      </c>
      <c r="B4774" s="509" t="s">
        <v>7025</v>
      </c>
      <c r="C4774" s="508" t="s">
        <v>107</v>
      </c>
      <c r="D4774" s="508">
        <v>22.67</v>
      </c>
      <c r="E4774" s="461" t="s">
        <v>174</v>
      </c>
    </row>
    <row r="4775" spans="1:5" ht="27" x14ac:dyDescent="0.25">
      <c r="A4775" s="508">
        <v>96852</v>
      </c>
      <c r="B4775" s="509" t="s">
        <v>7026</v>
      </c>
      <c r="C4775" s="508" t="s">
        <v>107</v>
      </c>
      <c r="D4775" s="508">
        <v>20.18</v>
      </c>
      <c r="E4775" s="461" t="s">
        <v>174</v>
      </c>
    </row>
    <row r="4776" spans="1:5" ht="27" x14ac:dyDescent="0.25">
      <c r="A4776" s="508">
        <v>96853</v>
      </c>
      <c r="B4776" s="509" t="s">
        <v>7027</v>
      </c>
      <c r="C4776" s="508" t="s">
        <v>107</v>
      </c>
      <c r="D4776" s="508">
        <v>24.33</v>
      </c>
      <c r="E4776" s="461" t="s">
        <v>174</v>
      </c>
    </row>
    <row r="4777" spans="1:5" ht="27" x14ac:dyDescent="0.25">
      <c r="A4777" s="508">
        <v>96854</v>
      </c>
      <c r="B4777" s="509" t="s">
        <v>7028</v>
      </c>
      <c r="C4777" s="508" t="s">
        <v>107</v>
      </c>
      <c r="D4777" s="508">
        <v>29.8</v>
      </c>
      <c r="E4777" s="461" t="s">
        <v>174</v>
      </c>
    </row>
    <row r="4778" spans="1:5" ht="27" x14ac:dyDescent="0.25">
      <c r="A4778" s="508">
        <v>96855</v>
      </c>
      <c r="B4778" s="509" t="s">
        <v>7029</v>
      </c>
      <c r="C4778" s="508" t="s">
        <v>107</v>
      </c>
      <c r="D4778" s="508">
        <v>31.27</v>
      </c>
      <c r="E4778" s="461" t="s">
        <v>174</v>
      </c>
    </row>
    <row r="4779" spans="1:5" ht="27" x14ac:dyDescent="0.25">
      <c r="A4779" s="508">
        <v>96856</v>
      </c>
      <c r="B4779" s="509" t="s">
        <v>7030</v>
      </c>
      <c r="C4779" s="508" t="s">
        <v>107</v>
      </c>
      <c r="D4779" s="508">
        <v>33.83</v>
      </c>
      <c r="E4779" s="461" t="s">
        <v>174</v>
      </c>
    </row>
    <row r="4780" spans="1:5" ht="27" x14ac:dyDescent="0.25">
      <c r="A4780" s="508">
        <v>96860</v>
      </c>
      <c r="B4780" s="509" t="s">
        <v>7031</v>
      </c>
      <c r="C4780" s="508" t="s">
        <v>107</v>
      </c>
      <c r="D4780" s="508">
        <v>28.66</v>
      </c>
      <c r="E4780" s="461" t="s">
        <v>174</v>
      </c>
    </row>
    <row r="4781" spans="1:5" ht="27" x14ac:dyDescent="0.25">
      <c r="A4781" s="508">
        <v>96861</v>
      </c>
      <c r="B4781" s="509" t="s">
        <v>7032</v>
      </c>
      <c r="C4781" s="508" t="s">
        <v>107</v>
      </c>
      <c r="D4781" s="508">
        <v>36.15</v>
      </c>
      <c r="E4781" s="461" t="s">
        <v>174</v>
      </c>
    </row>
    <row r="4782" spans="1:5" ht="27" x14ac:dyDescent="0.25">
      <c r="A4782" s="508">
        <v>96862</v>
      </c>
      <c r="B4782" s="509" t="s">
        <v>7033</v>
      </c>
      <c r="C4782" s="508" t="s">
        <v>107</v>
      </c>
      <c r="D4782" s="508">
        <v>35.15</v>
      </c>
      <c r="E4782" s="461" t="s">
        <v>174</v>
      </c>
    </row>
    <row r="4783" spans="1:5" ht="27" x14ac:dyDescent="0.25">
      <c r="A4783" s="508">
        <v>96863</v>
      </c>
      <c r="B4783" s="509" t="s">
        <v>7034</v>
      </c>
      <c r="C4783" s="508" t="s">
        <v>107</v>
      </c>
      <c r="D4783" s="508">
        <v>37.200000000000003</v>
      </c>
      <c r="E4783" s="461" t="s">
        <v>174</v>
      </c>
    </row>
    <row r="4784" spans="1:5" ht="27" x14ac:dyDescent="0.25">
      <c r="A4784" s="508">
        <v>96864</v>
      </c>
      <c r="B4784" s="509" t="s">
        <v>7035</v>
      </c>
      <c r="C4784" s="508" t="s">
        <v>107</v>
      </c>
      <c r="D4784" s="508">
        <v>49.23</v>
      </c>
      <c r="E4784" s="461" t="s">
        <v>174</v>
      </c>
    </row>
    <row r="4785" spans="1:5" ht="27" x14ac:dyDescent="0.25">
      <c r="A4785" s="508">
        <v>96865</v>
      </c>
      <c r="B4785" s="509" t="s">
        <v>7036</v>
      </c>
      <c r="C4785" s="508" t="s">
        <v>107</v>
      </c>
      <c r="D4785" s="508">
        <v>43.92</v>
      </c>
      <c r="E4785" s="461" t="s">
        <v>174</v>
      </c>
    </row>
    <row r="4786" spans="1:5" ht="27" x14ac:dyDescent="0.25">
      <c r="A4786" s="508">
        <v>96866</v>
      </c>
      <c r="B4786" s="509" t="s">
        <v>7037</v>
      </c>
      <c r="C4786" s="508" t="s">
        <v>107</v>
      </c>
      <c r="D4786" s="508">
        <v>63.88</v>
      </c>
      <c r="E4786" s="461" t="s">
        <v>174</v>
      </c>
    </row>
    <row r="4787" spans="1:5" ht="27" x14ac:dyDescent="0.25">
      <c r="A4787" s="508">
        <v>96868</v>
      </c>
      <c r="B4787" s="509" t="s">
        <v>7038</v>
      </c>
      <c r="C4787" s="508" t="s">
        <v>107</v>
      </c>
      <c r="D4787" s="508">
        <v>18.79</v>
      </c>
      <c r="E4787" s="461" t="s">
        <v>174</v>
      </c>
    </row>
    <row r="4788" spans="1:5" ht="27" x14ac:dyDescent="0.25">
      <c r="A4788" s="508">
        <v>96869</v>
      </c>
      <c r="B4788" s="509" t="s">
        <v>7039</v>
      </c>
      <c r="C4788" s="508" t="s">
        <v>107</v>
      </c>
      <c r="D4788" s="508">
        <v>28.39</v>
      </c>
      <c r="E4788" s="461" t="s">
        <v>174</v>
      </c>
    </row>
    <row r="4789" spans="1:5" ht="27" x14ac:dyDescent="0.25">
      <c r="A4789" s="508">
        <v>96870</v>
      </c>
      <c r="B4789" s="509" t="s">
        <v>7040</v>
      </c>
      <c r="C4789" s="508" t="s">
        <v>107</v>
      </c>
      <c r="D4789" s="508">
        <v>42.21</v>
      </c>
      <c r="E4789" s="461" t="s">
        <v>174</v>
      </c>
    </row>
    <row r="4790" spans="1:5" ht="27" x14ac:dyDescent="0.25">
      <c r="A4790" s="508">
        <v>96871</v>
      </c>
      <c r="B4790" s="509" t="s">
        <v>7041</v>
      </c>
      <c r="C4790" s="508" t="s">
        <v>107</v>
      </c>
      <c r="D4790" s="508">
        <v>48.4</v>
      </c>
      <c r="E4790" s="461" t="s">
        <v>174</v>
      </c>
    </row>
    <row r="4791" spans="1:5" ht="27" x14ac:dyDescent="0.25">
      <c r="A4791" s="508">
        <v>96872</v>
      </c>
      <c r="B4791" s="509" t="s">
        <v>7042</v>
      </c>
      <c r="C4791" s="508" t="s">
        <v>107</v>
      </c>
      <c r="D4791" s="508">
        <v>45.3</v>
      </c>
      <c r="E4791" s="461" t="s">
        <v>174</v>
      </c>
    </row>
    <row r="4792" spans="1:5" ht="27" x14ac:dyDescent="0.25">
      <c r="A4792" s="508">
        <v>96873</v>
      </c>
      <c r="B4792" s="509" t="s">
        <v>7043</v>
      </c>
      <c r="C4792" s="508" t="s">
        <v>107</v>
      </c>
      <c r="D4792" s="508">
        <v>59.86</v>
      </c>
      <c r="E4792" s="461" t="s">
        <v>174</v>
      </c>
    </row>
    <row r="4793" spans="1:5" ht="27" x14ac:dyDescent="0.25">
      <c r="A4793" s="508">
        <v>96874</v>
      </c>
      <c r="B4793" s="509" t="s">
        <v>7044</v>
      </c>
      <c r="C4793" s="508" t="s">
        <v>107</v>
      </c>
      <c r="D4793" s="508">
        <v>55.01</v>
      </c>
      <c r="E4793" s="461" t="s">
        <v>174</v>
      </c>
    </row>
    <row r="4794" spans="1:5" ht="27" x14ac:dyDescent="0.25">
      <c r="A4794" s="508">
        <v>96875</v>
      </c>
      <c r="B4794" s="509" t="s">
        <v>7045</v>
      </c>
      <c r="C4794" s="508" t="s">
        <v>107</v>
      </c>
      <c r="D4794" s="508">
        <v>71.62</v>
      </c>
      <c r="E4794" s="461" t="s">
        <v>174</v>
      </c>
    </row>
    <row r="4795" spans="1:5" ht="27" x14ac:dyDescent="0.25">
      <c r="A4795" s="508">
        <v>96876</v>
      </c>
      <c r="B4795" s="509" t="s">
        <v>7046</v>
      </c>
      <c r="C4795" s="508" t="s">
        <v>107</v>
      </c>
      <c r="D4795" s="508">
        <v>165</v>
      </c>
      <c r="E4795" s="461" t="s">
        <v>174</v>
      </c>
    </row>
    <row r="4796" spans="1:5" ht="27" x14ac:dyDescent="0.25">
      <c r="A4796" s="508">
        <v>96878</v>
      </c>
      <c r="B4796" s="509" t="s">
        <v>7047</v>
      </c>
      <c r="C4796" s="508" t="s">
        <v>107</v>
      </c>
      <c r="D4796" s="508">
        <v>184.77</v>
      </c>
      <c r="E4796" s="461" t="s">
        <v>174</v>
      </c>
    </row>
    <row r="4797" spans="1:5" ht="27" x14ac:dyDescent="0.25">
      <c r="A4797" s="508">
        <v>96879</v>
      </c>
      <c r="B4797" s="509" t="s">
        <v>7048</v>
      </c>
      <c r="C4797" s="508" t="s">
        <v>107</v>
      </c>
      <c r="D4797" s="508">
        <v>179.28</v>
      </c>
      <c r="E4797" s="461" t="s">
        <v>174</v>
      </c>
    </row>
    <row r="4798" spans="1:5" ht="27" x14ac:dyDescent="0.25">
      <c r="A4798" s="508">
        <v>96881</v>
      </c>
      <c r="B4798" s="509" t="s">
        <v>7049</v>
      </c>
      <c r="C4798" s="508" t="s">
        <v>107</v>
      </c>
      <c r="D4798" s="508">
        <v>211.89</v>
      </c>
      <c r="E4798" s="461" t="s">
        <v>174</v>
      </c>
    </row>
    <row r="4799" spans="1:5" ht="27" x14ac:dyDescent="0.25">
      <c r="A4799" s="508">
        <v>97430</v>
      </c>
      <c r="B4799" s="509" t="s">
        <v>2888</v>
      </c>
      <c r="C4799" s="508" t="s">
        <v>107</v>
      </c>
      <c r="D4799" s="508">
        <v>39.49</v>
      </c>
      <c r="E4799" s="461" t="s">
        <v>174</v>
      </c>
    </row>
    <row r="4800" spans="1:5" ht="27" x14ac:dyDescent="0.25">
      <c r="A4800" s="508">
        <v>97431</v>
      </c>
      <c r="B4800" s="509" t="s">
        <v>2889</v>
      </c>
      <c r="C4800" s="508" t="s">
        <v>107</v>
      </c>
      <c r="D4800" s="508">
        <v>44.22</v>
      </c>
      <c r="E4800" s="461" t="s">
        <v>174</v>
      </c>
    </row>
    <row r="4801" spans="1:5" ht="27" x14ac:dyDescent="0.25">
      <c r="A4801" s="508">
        <v>97432</v>
      </c>
      <c r="B4801" s="509" t="s">
        <v>2890</v>
      </c>
      <c r="C4801" s="508" t="s">
        <v>107</v>
      </c>
      <c r="D4801" s="508">
        <v>49.93</v>
      </c>
      <c r="E4801" s="461" t="s">
        <v>174</v>
      </c>
    </row>
    <row r="4802" spans="1:5" ht="27" x14ac:dyDescent="0.25">
      <c r="A4802" s="508">
        <v>97433</v>
      </c>
      <c r="B4802" s="509" t="s">
        <v>2891</v>
      </c>
      <c r="C4802" s="508" t="s">
        <v>107</v>
      </c>
      <c r="D4802" s="508">
        <v>86.85</v>
      </c>
      <c r="E4802" s="461" t="s">
        <v>174</v>
      </c>
    </row>
    <row r="4803" spans="1:5" ht="27" x14ac:dyDescent="0.25">
      <c r="A4803" s="508">
        <v>97434</v>
      </c>
      <c r="B4803" s="509" t="s">
        <v>2892</v>
      </c>
      <c r="C4803" s="508" t="s">
        <v>107</v>
      </c>
      <c r="D4803" s="508">
        <v>88.36</v>
      </c>
      <c r="E4803" s="461" t="s">
        <v>174</v>
      </c>
    </row>
    <row r="4804" spans="1:5" ht="27" x14ac:dyDescent="0.25">
      <c r="A4804" s="508">
        <v>97435</v>
      </c>
      <c r="B4804" s="509" t="s">
        <v>2893</v>
      </c>
      <c r="C4804" s="508" t="s">
        <v>107</v>
      </c>
      <c r="D4804" s="508">
        <v>101.5</v>
      </c>
      <c r="E4804" s="461" t="s">
        <v>174</v>
      </c>
    </row>
    <row r="4805" spans="1:5" ht="27" x14ac:dyDescent="0.25">
      <c r="A4805" s="508">
        <v>97436</v>
      </c>
      <c r="B4805" s="509" t="s">
        <v>2894</v>
      </c>
      <c r="C4805" s="508" t="s">
        <v>107</v>
      </c>
      <c r="D4805" s="508">
        <v>104.4</v>
      </c>
      <c r="E4805" s="461" t="s">
        <v>174</v>
      </c>
    </row>
    <row r="4806" spans="1:5" ht="27" x14ac:dyDescent="0.25">
      <c r="A4806" s="508">
        <v>97437</v>
      </c>
      <c r="B4806" s="509" t="s">
        <v>7050</v>
      </c>
      <c r="C4806" s="508" t="s">
        <v>107</v>
      </c>
      <c r="D4806" s="508">
        <v>116.11</v>
      </c>
      <c r="E4806" s="461" t="s">
        <v>174</v>
      </c>
    </row>
    <row r="4807" spans="1:5" ht="27" x14ac:dyDescent="0.25">
      <c r="A4807" s="508">
        <v>97438</v>
      </c>
      <c r="B4807" s="509" t="s">
        <v>2895</v>
      </c>
      <c r="C4807" s="508" t="s">
        <v>107</v>
      </c>
      <c r="D4807" s="508">
        <v>119.21</v>
      </c>
      <c r="E4807" s="461" t="s">
        <v>174</v>
      </c>
    </row>
    <row r="4808" spans="1:5" ht="27" x14ac:dyDescent="0.25">
      <c r="A4808" s="508">
        <v>97439</v>
      </c>
      <c r="B4808" s="509" t="s">
        <v>2896</v>
      </c>
      <c r="C4808" s="508" t="s">
        <v>107</v>
      </c>
      <c r="D4808" s="508">
        <v>130.28</v>
      </c>
      <c r="E4808" s="461" t="s">
        <v>174</v>
      </c>
    </row>
    <row r="4809" spans="1:5" ht="27" x14ac:dyDescent="0.25">
      <c r="A4809" s="508">
        <v>97440</v>
      </c>
      <c r="B4809" s="509" t="s">
        <v>2897</v>
      </c>
      <c r="C4809" s="508" t="s">
        <v>107</v>
      </c>
      <c r="D4809" s="508">
        <v>155.82</v>
      </c>
      <c r="E4809" s="461" t="s">
        <v>174</v>
      </c>
    </row>
    <row r="4810" spans="1:5" ht="27" x14ac:dyDescent="0.25">
      <c r="A4810" s="508">
        <v>97442</v>
      </c>
      <c r="B4810" s="509" t="s">
        <v>2898</v>
      </c>
      <c r="C4810" s="508" t="s">
        <v>107</v>
      </c>
      <c r="D4810" s="508">
        <v>172.34</v>
      </c>
      <c r="E4810" s="461" t="s">
        <v>174</v>
      </c>
    </row>
    <row r="4811" spans="1:5" ht="27" x14ac:dyDescent="0.25">
      <c r="A4811" s="508">
        <v>97443</v>
      </c>
      <c r="B4811" s="509" t="s">
        <v>2899</v>
      </c>
      <c r="C4811" s="508" t="s">
        <v>107</v>
      </c>
      <c r="D4811" s="508">
        <v>118.56</v>
      </c>
      <c r="E4811" s="461" t="s">
        <v>174</v>
      </c>
    </row>
    <row r="4812" spans="1:5" ht="27" x14ac:dyDescent="0.25">
      <c r="A4812" s="508">
        <v>97444</v>
      </c>
      <c r="B4812" s="509" t="s">
        <v>2900</v>
      </c>
      <c r="C4812" s="508" t="s">
        <v>107</v>
      </c>
      <c r="D4812" s="508">
        <v>139.29</v>
      </c>
      <c r="E4812" s="461" t="s">
        <v>174</v>
      </c>
    </row>
    <row r="4813" spans="1:5" ht="27" x14ac:dyDescent="0.25">
      <c r="A4813" s="508">
        <v>97446</v>
      </c>
      <c r="B4813" s="509" t="s">
        <v>2901</v>
      </c>
      <c r="C4813" s="508" t="s">
        <v>107</v>
      </c>
      <c r="D4813" s="508">
        <v>240.12</v>
      </c>
      <c r="E4813" s="461" t="s">
        <v>174</v>
      </c>
    </row>
    <row r="4814" spans="1:5" ht="27" x14ac:dyDescent="0.25">
      <c r="A4814" s="508">
        <v>97447</v>
      </c>
      <c r="B4814" s="509" t="s">
        <v>2902</v>
      </c>
      <c r="C4814" s="508" t="s">
        <v>107</v>
      </c>
      <c r="D4814" s="508">
        <v>240.12</v>
      </c>
      <c r="E4814" s="461" t="s">
        <v>174</v>
      </c>
    </row>
    <row r="4815" spans="1:5" ht="27" x14ac:dyDescent="0.25">
      <c r="A4815" s="508">
        <v>97449</v>
      </c>
      <c r="B4815" s="509" t="s">
        <v>2903</v>
      </c>
      <c r="C4815" s="508" t="s">
        <v>107</v>
      </c>
      <c r="D4815" s="508">
        <v>255.86</v>
      </c>
      <c r="E4815" s="461" t="s">
        <v>174</v>
      </c>
    </row>
    <row r="4816" spans="1:5" ht="27" x14ac:dyDescent="0.25">
      <c r="A4816" s="508">
        <v>97450</v>
      </c>
      <c r="B4816" s="509" t="s">
        <v>2904</v>
      </c>
      <c r="C4816" s="508" t="s">
        <v>107</v>
      </c>
      <c r="D4816" s="508">
        <v>312.3</v>
      </c>
      <c r="E4816" s="461" t="s">
        <v>174</v>
      </c>
    </row>
    <row r="4817" spans="1:5" ht="27" x14ac:dyDescent="0.25">
      <c r="A4817" s="508">
        <v>97452</v>
      </c>
      <c r="B4817" s="509" t="s">
        <v>2905</v>
      </c>
      <c r="C4817" s="508" t="s">
        <v>107</v>
      </c>
      <c r="D4817" s="508">
        <v>194.76</v>
      </c>
      <c r="E4817" s="461" t="s">
        <v>174</v>
      </c>
    </row>
    <row r="4818" spans="1:5" ht="27" x14ac:dyDescent="0.25">
      <c r="A4818" s="508">
        <v>97453</v>
      </c>
      <c r="B4818" s="509" t="s">
        <v>2906</v>
      </c>
      <c r="C4818" s="508" t="s">
        <v>107</v>
      </c>
      <c r="D4818" s="508">
        <v>206.59</v>
      </c>
      <c r="E4818" s="461" t="s">
        <v>174</v>
      </c>
    </row>
    <row r="4819" spans="1:5" ht="27" x14ac:dyDescent="0.25">
      <c r="A4819" s="508">
        <v>97454</v>
      </c>
      <c r="B4819" s="509" t="s">
        <v>2907</v>
      </c>
      <c r="C4819" s="508" t="s">
        <v>107</v>
      </c>
      <c r="D4819" s="508">
        <v>330.16</v>
      </c>
      <c r="E4819" s="461" t="s">
        <v>174</v>
      </c>
    </row>
    <row r="4820" spans="1:5" ht="27" x14ac:dyDescent="0.25">
      <c r="A4820" s="508">
        <v>97455</v>
      </c>
      <c r="B4820" s="509" t="s">
        <v>2908</v>
      </c>
      <c r="C4820" s="508" t="s">
        <v>107</v>
      </c>
      <c r="D4820" s="508">
        <v>349.08</v>
      </c>
      <c r="E4820" s="461" t="s">
        <v>174</v>
      </c>
    </row>
    <row r="4821" spans="1:5" ht="27" x14ac:dyDescent="0.25">
      <c r="A4821" s="508">
        <v>97456</v>
      </c>
      <c r="B4821" s="509" t="s">
        <v>2909</v>
      </c>
      <c r="C4821" s="508" t="s">
        <v>107</v>
      </c>
      <c r="D4821" s="508">
        <v>744.7</v>
      </c>
      <c r="E4821" s="461" t="s">
        <v>174</v>
      </c>
    </row>
    <row r="4822" spans="1:5" ht="27" x14ac:dyDescent="0.25">
      <c r="A4822" s="508">
        <v>97457</v>
      </c>
      <c r="B4822" s="509" t="s">
        <v>2910</v>
      </c>
      <c r="C4822" s="508" t="s">
        <v>107</v>
      </c>
      <c r="D4822" s="508">
        <v>659.81</v>
      </c>
      <c r="E4822" s="461" t="s">
        <v>174</v>
      </c>
    </row>
    <row r="4823" spans="1:5" ht="27" x14ac:dyDescent="0.25">
      <c r="A4823" s="508">
        <v>97458</v>
      </c>
      <c r="B4823" s="509" t="s">
        <v>2911</v>
      </c>
      <c r="C4823" s="508" t="s">
        <v>107</v>
      </c>
      <c r="D4823" s="508">
        <v>307.23</v>
      </c>
      <c r="E4823" s="461" t="s">
        <v>174</v>
      </c>
    </row>
    <row r="4824" spans="1:5" ht="27" x14ac:dyDescent="0.25">
      <c r="A4824" s="508">
        <v>97459</v>
      </c>
      <c r="B4824" s="509" t="s">
        <v>2912</v>
      </c>
      <c r="C4824" s="508" t="s">
        <v>107</v>
      </c>
      <c r="D4824" s="508">
        <v>525.25</v>
      </c>
      <c r="E4824" s="461" t="s">
        <v>174</v>
      </c>
    </row>
    <row r="4825" spans="1:5" ht="27" x14ac:dyDescent="0.25">
      <c r="A4825" s="508">
        <v>97460</v>
      </c>
      <c r="B4825" s="509" t="s">
        <v>2913</v>
      </c>
      <c r="C4825" s="508" t="s">
        <v>107</v>
      </c>
      <c r="D4825" s="508">
        <v>805.74</v>
      </c>
      <c r="E4825" s="461" t="s">
        <v>174</v>
      </c>
    </row>
    <row r="4826" spans="1:5" ht="27" x14ac:dyDescent="0.25">
      <c r="A4826" s="508">
        <v>97461</v>
      </c>
      <c r="B4826" s="509" t="s">
        <v>2914</v>
      </c>
      <c r="C4826" s="508" t="s">
        <v>107</v>
      </c>
      <c r="D4826" s="508">
        <v>37.380000000000003</v>
      </c>
      <c r="E4826" s="461" t="s">
        <v>174</v>
      </c>
    </row>
    <row r="4827" spans="1:5" ht="27" x14ac:dyDescent="0.25">
      <c r="A4827" s="508">
        <v>97462</v>
      </c>
      <c r="B4827" s="509" t="s">
        <v>2915</v>
      </c>
      <c r="C4827" s="508" t="s">
        <v>107</v>
      </c>
      <c r="D4827" s="508">
        <v>31.3</v>
      </c>
      <c r="E4827" s="461" t="s">
        <v>174</v>
      </c>
    </row>
    <row r="4828" spans="1:5" ht="27" x14ac:dyDescent="0.25">
      <c r="A4828" s="508">
        <v>97464</v>
      </c>
      <c r="B4828" s="509" t="s">
        <v>2916</v>
      </c>
      <c r="C4828" s="508" t="s">
        <v>107</v>
      </c>
      <c r="D4828" s="508">
        <v>53.73</v>
      </c>
      <c r="E4828" s="461" t="s">
        <v>174</v>
      </c>
    </row>
    <row r="4829" spans="1:5" ht="27" x14ac:dyDescent="0.25">
      <c r="A4829" s="508">
        <v>97465</v>
      </c>
      <c r="B4829" s="509" t="s">
        <v>2917</v>
      </c>
      <c r="C4829" s="508" t="s">
        <v>107</v>
      </c>
      <c r="D4829" s="508">
        <v>63.97</v>
      </c>
      <c r="E4829" s="461" t="s">
        <v>174</v>
      </c>
    </row>
    <row r="4830" spans="1:5" ht="27" x14ac:dyDescent="0.25">
      <c r="A4830" s="508">
        <v>97467</v>
      </c>
      <c r="B4830" s="509" t="s">
        <v>2918</v>
      </c>
      <c r="C4830" s="508" t="s">
        <v>107</v>
      </c>
      <c r="D4830" s="508">
        <v>68.17</v>
      </c>
      <c r="E4830" s="461" t="s">
        <v>174</v>
      </c>
    </row>
    <row r="4831" spans="1:5" ht="40.5" x14ac:dyDescent="0.25">
      <c r="A4831" s="508">
        <v>97468</v>
      </c>
      <c r="B4831" s="509" t="s">
        <v>2919</v>
      </c>
      <c r="C4831" s="508" t="s">
        <v>107</v>
      </c>
      <c r="D4831" s="508">
        <v>81.28</v>
      </c>
      <c r="E4831" s="461" t="s">
        <v>174</v>
      </c>
    </row>
    <row r="4832" spans="1:5" ht="27" x14ac:dyDescent="0.25">
      <c r="A4832" s="508">
        <v>97470</v>
      </c>
      <c r="B4832" s="509" t="s">
        <v>2920</v>
      </c>
      <c r="C4832" s="508" t="s">
        <v>107</v>
      </c>
      <c r="D4832" s="508">
        <v>100.46</v>
      </c>
      <c r="E4832" s="461" t="s">
        <v>174</v>
      </c>
    </row>
    <row r="4833" spans="1:5" ht="27" x14ac:dyDescent="0.25">
      <c r="A4833" s="508">
        <v>97471</v>
      </c>
      <c r="B4833" s="509" t="s">
        <v>2921</v>
      </c>
      <c r="C4833" s="508" t="s">
        <v>107</v>
      </c>
      <c r="D4833" s="508">
        <v>121.19</v>
      </c>
      <c r="E4833" s="461" t="s">
        <v>174</v>
      </c>
    </row>
    <row r="4834" spans="1:5" ht="27" x14ac:dyDescent="0.25">
      <c r="A4834" s="508">
        <v>97474</v>
      </c>
      <c r="B4834" s="509" t="s">
        <v>2922</v>
      </c>
      <c r="C4834" s="508" t="s">
        <v>107</v>
      </c>
      <c r="D4834" s="508">
        <v>183.2</v>
      </c>
      <c r="E4834" s="461" t="s">
        <v>174</v>
      </c>
    </row>
    <row r="4835" spans="1:5" ht="27" x14ac:dyDescent="0.25">
      <c r="A4835" s="508">
        <v>97475</v>
      </c>
      <c r="B4835" s="509" t="s">
        <v>2923</v>
      </c>
      <c r="C4835" s="508" t="s">
        <v>107</v>
      </c>
      <c r="D4835" s="508">
        <v>225.1</v>
      </c>
      <c r="E4835" s="461" t="s">
        <v>174</v>
      </c>
    </row>
    <row r="4836" spans="1:5" ht="27" x14ac:dyDescent="0.25">
      <c r="A4836" s="508">
        <v>97477</v>
      </c>
      <c r="B4836" s="509" t="s">
        <v>2924</v>
      </c>
      <c r="C4836" s="508" t="s">
        <v>107</v>
      </c>
      <c r="D4836" s="508">
        <v>243.93</v>
      </c>
      <c r="E4836" s="461" t="s">
        <v>174</v>
      </c>
    </row>
    <row r="4837" spans="1:5" ht="27" x14ac:dyDescent="0.25">
      <c r="A4837" s="508">
        <v>97478</v>
      </c>
      <c r="B4837" s="509" t="s">
        <v>2925</v>
      </c>
      <c r="C4837" s="508" t="s">
        <v>107</v>
      </c>
      <c r="D4837" s="508">
        <v>300.37</v>
      </c>
      <c r="E4837" s="461" t="s">
        <v>174</v>
      </c>
    </row>
    <row r="4838" spans="1:5" ht="27" x14ac:dyDescent="0.25">
      <c r="A4838" s="508">
        <v>97479</v>
      </c>
      <c r="B4838" s="509" t="s">
        <v>2926</v>
      </c>
      <c r="C4838" s="508" t="s">
        <v>107</v>
      </c>
      <c r="D4838" s="508">
        <v>60.16</v>
      </c>
      <c r="E4838" s="461" t="s">
        <v>174</v>
      </c>
    </row>
    <row r="4839" spans="1:5" ht="27" x14ac:dyDescent="0.25">
      <c r="A4839" s="508">
        <v>97480</v>
      </c>
      <c r="B4839" s="509" t="s">
        <v>2927</v>
      </c>
      <c r="C4839" s="508" t="s">
        <v>107</v>
      </c>
      <c r="D4839" s="508">
        <v>60.16</v>
      </c>
      <c r="E4839" s="461" t="s">
        <v>174</v>
      </c>
    </row>
    <row r="4840" spans="1:5" ht="27" x14ac:dyDescent="0.25">
      <c r="A4840" s="508">
        <v>97481</v>
      </c>
      <c r="B4840" s="509" t="s">
        <v>2928</v>
      </c>
      <c r="C4840" s="508" t="s">
        <v>107</v>
      </c>
      <c r="D4840" s="508">
        <v>87.04</v>
      </c>
      <c r="E4840" s="461" t="s">
        <v>174</v>
      </c>
    </row>
    <row r="4841" spans="1:5" ht="27" x14ac:dyDescent="0.25">
      <c r="A4841" s="508">
        <v>97482</v>
      </c>
      <c r="B4841" s="509" t="s">
        <v>2929</v>
      </c>
      <c r="C4841" s="508" t="s">
        <v>107</v>
      </c>
      <c r="D4841" s="508">
        <v>87.04</v>
      </c>
      <c r="E4841" s="461" t="s">
        <v>174</v>
      </c>
    </row>
    <row r="4842" spans="1:5" ht="27" x14ac:dyDescent="0.25">
      <c r="A4842" s="508">
        <v>97483</v>
      </c>
      <c r="B4842" s="509" t="s">
        <v>2930</v>
      </c>
      <c r="C4842" s="508" t="s">
        <v>107</v>
      </c>
      <c r="D4842" s="508">
        <v>121.7</v>
      </c>
      <c r="E4842" s="461" t="s">
        <v>174</v>
      </c>
    </row>
    <row r="4843" spans="1:5" ht="27" x14ac:dyDescent="0.25">
      <c r="A4843" s="508">
        <v>97484</v>
      </c>
      <c r="B4843" s="509" t="s">
        <v>2931</v>
      </c>
      <c r="C4843" s="508" t="s">
        <v>107</v>
      </c>
      <c r="D4843" s="508">
        <v>121.7</v>
      </c>
      <c r="E4843" s="461" t="s">
        <v>174</v>
      </c>
    </row>
    <row r="4844" spans="1:5" ht="27" x14ac:dyDescent="0.25">
      <c r="A4844" s="508">
        <v>97485</v>
      </c>
      <c r="B4844" s="509" t="s">
        <v>2932</v>
      </c>
      <c r="C4844" s="508" t="s">
        <v>107</v>
      </c>
      <c r="D4844" s="508">
        <v>167.65</v>
      </c>
      <c r="E4844" s="461" t="s">
        <v>174</v>
      </c>
    </row>
    <row r="4845" spans="1:5" ht="27" x14ac:dyDescent="0.25">
      <c r="A4845" s="508">
        <v>97486</v>
      </c>
      <c r="B4845" s="509" t="s">
        <v>2933</v>
      </c>
      <c r="C4845" s="508" t="s">
        <v>107</v>
      </c>
      <c r="D4845" s="508">
        <v>179.48</v>
      </c>
      <c r="E4845" s="461" t="s">
        <v>174</v>
      </c>
    </row>
    <row r="4846" spans="1:5" ht="27" x14ac:dyDescent="0.25">
      <c r="A4846" s="508">
        <v>97487</v>
      </c>
      <c r="B4846" s="509" t="s">
        <v>2934</v>
      </c>
      <c r="C4846" s="508" t="s">
        <v>107</v>
      </c>
      <c r="D4846" s="508">
        <v>307.7</v>
      </c>
      <c r="E4846" s="461" t="s">
        <v>174</v>
      </c>
    </row>
    <row r="4847" spans="1:5" ht="27" x14ac:dyDescent="0.25">
      <c r="A4847" s="508">
        <v>97488</v>
      </c>
      <c r="B4847" s="509" t="s">
        <v>2935</v>
      </c>
      <c r="C4847" s="508" t="s">
        <v>107</v>
      </c>
      <c r="D4847" s="508">
        <v>326.62</v>
      </c>
      <c r="E4847" s="461" t="s">
        <v>174</v>
      </c>
    </row>
    <row r="4848" spans="1:5" ht="27" x14ac:dyDescent="0.25">
      <c r="A4848" s="508">
        <v>97489</v>
      </c>
      <c r="B4848" s="509" t="s">
        <v>2936</v>
      </c>
      <c r="C4848" s="508" t="s">
        <v>107</v>
      </c>
      <c r="D4848" s="508">
        <v>726.77</v>
      </c>
      <c r="E4848" s="461" t="s">
        <v>174</v>
      </c>
    </row>
    <row r="4849" spans="1:5" ht="27" x14ac:dyDescent="0.25">
      <c r="A4849" s="508">
        <v>97490</v>
      </c>
      <c r="B4849" s="509" t="s">
        <v>2937</v>
      </c>
      <c r="C4849" s="508" t="s">
        <v>107</v>
      </c>
      <c r="D4849" s="508">
        <v>641.88</v>
      </c>
      <c r="E4849" s="461" t="s">
        <v>174</v>
      </c>
    </row>
    <row r="4850" spans="1:5" ht="27" x14ac:dyDescent="0.25">
      <c r="A4850" s="508">
        <v>97491</v>
      </c>
      <c r="B4850" s="509" t="s">
        <v>2938</v>
      </c>
      <c r="C4850" s="508" t="s">
        <v>107</v>
      </c>
      <c r="D4850" s="508">
        <v>92.75</v>
      </c>
      <c r="E4850" s="461" t="s">
        <v>174</v>
      </c>
    </row>
    <row r="4851" spans="1:5" ht="27" x14ac:dyDescent="0.25">
      <c r="A4851" s="508">
        <v>97492</v>
      </c>
      <c r="B4851" s="509" t="s">
        <v>2939</v>
      </c>
      <c r="C4851" s="508" t="s">
        <v>107</v>
      </c>
      <c r="D4851" s="508">
        <v>135.86000000000001</v>
      </c>
      <c r="E4851" s="461" t="s">
        <v>174</v>
      </c>
    </row>
    <row r="4852" spans="1:5" ht="27" x14ac:dyDescent="0.25">
      <c r="A4852" s="508">
        <v>97493</v>
      </c>
      <c r="B4852" s="509" t="s">
        <v>2940</v>
      </c>
      <c r="C4852" s="508" t="s">
        <v>107</v>
      </c>
      <c r="D4852" s="508">
        <v>175.12</v>
      </c>
      <c r="E4852" s="461" t="s">
        <v>174</v>
      </c>
    </row>
    <row r="4853" spans="1:5" ht="27" x14ac:dyDescent="0.25">
      <c r="A4853" s="508">
        <v>97494</v>
      </c>
      <c r="B4853" s="509" t="s">
        <v>2941</v>
      </c>
      <c r="C4853" s="508" t="s">
        <v>107</v>
      </c>
      <c r="D4853" s="508">
        <v>271.04000000000002</v>
      </c>
      <c r="E4853" s="461" t="s">
        <v>174</v>
      </c>
    </row>
    <row r="4854" spans="1:5" ht="27" x14ac:dyDescent="0.25">
      <c r="A4854" s="508">
        <v>97495</v>
      </c>
      <c r="B4854" s="509" t="s">
        <v>2942</v>
      </c>
      <c r="C4854" s="508" t="s">
        <v>107</v>
      </c>
      <c r="D4854" s="508">
        <v>495.23</v>
      </c>
      <c r="E4854" s="461" t="s">
        <v>174</v>
      </c>
    </row>
    <row r="4855" spans="1:5" ht="27" x14ac:dyDescent="0.25">
      <c r="A4855" s="508">
        <v>97496</v>
      </c>
      <c r="B4855" s="509" t="s">
        <v>2943</v>
      </c>
      <c r="C4855" s="508" t="s">
        <v>107</v>
      </c>
      <c r="D4855" s="508">
        <v>781.9</v>
      </c>
      <c r="E4855" s="461" t="s">
        <v>174</v>
      </c>
    </row>
    <row r="4856" spans="1:5" ht="27" x14ac:dyDescent="0.25">
      <c r="A4856" s="508">
        <v>97499</v>
      </c>
      <c r="B4856" s="509" t="s">
        <v>2944</v>
      </c>
      <c r="C4856" s="508" t="s">
        <v>107</v>
      </c>
      <c r="D4856" s="508">
        <v>34.46</v>
      </c>
      <c r="E4856" s="461" t="s">
        <v>174</v>
      </c>
    </row>
    <row r="4857" spans="1:5" ht="27" x14ac:dyDescent="0.25">
      <c r="A4857" s="508">
        <v>97500</v>
      </c>
      <c r="B4857" s="509" t="s">
        <v>2945</v>
      </c>
      <c r="C4857" s="508" t="s">
        <v>107</v>
      </c>
      <c r="D4857" s="508">
        <v>28.38</v>
      </c>
      <c r="E4857" s="461" t="s">
        <v>174</v>
      </c>
    </row>
    <row r="4858" spans="1:5" ht="27" x14ac:dyDescent="0.25">
      <c r="A4858" s="508">
        <v>97502</v>
      </c>
      <c r="B4858" s="509" t="s">
        <v>2946</v>
      </c>
      <c r="C4858" s="508" t="s">
        <v>107</v>
      </c>
      <c r="D4858" s="508">
        <v>48.31</v>
      </c>
      <c r="E4858" s="461" t="s">
        <v>174</v>
      </c>
    </row>
    <row r="4859" spans="1:5" ht="27" x14ac:dyDescent="0.25">
      <c r="A4859" s="508">
        <v>97503</v>
      </c>
      <c r="B4859" s="509" t="s">
        <v>2947</v>
      </c>
      <c r="C4859" s="508" t="s">
        <v>107</v>
      </c>
      <c r="D4859" s="508">
        <v>58.82</v>
      </c>
      <c r="E4859" s="461" t="s">
        <v>174</v>
      </c>
    </row>
    <row r="4860" spans="1:5" ht="27" x14ac:dyDescent="0.25">
      <c r="A4860" s="508">
        <v>97505</v>
      </c>
      <c r="B4860" s="509" t="s">
        <v>2948</v>
      </c>
      <c r="C4860" s="508" t="s">
        <v>107</v>
      </c>
      <c r="D4860" s="508">
        <v>60.53</v>
      </c>
      <c r="E4860" s="461" t="s">
        <v>174</v>
      </c>
    </row>
    <row r="4861" spans="1:5" ht="40.5" x14ac:dyDescent="0.25">
      <c r="A4861" s="508">
        <v>97506</v>
      </c>
      <c r="B4861" s="509" t="s">
        <v>2949</v>
      </c>
      <c r="C4861" s="508" t="s">
        <v>107</v>
      </c>
      <c r="D4861" s="508">
        <v>73.64</v>
      </c>
      <c r="E4861" s="461" t="s">
        <v>174</v>
      </c>
    </row>
    <row r="4862" spans="1:5" ht="27" x14ac:dyDescent="0.25">
      <c r="A4862" s="508">
        <v>97508</v>
      </c>
      <c r="B4862" s="509" t="s">
        <v>2950</v>
      </c>
      <c r="C4862" s="508" t="s">
        <v>107</v>
      </c>
      <c r="D4862" s="508">
        <v>89.66</v>
      </c>
      <c r="E4862" s="461" t="s">
        <v>174</v>
      </c>
    </row>
    <row r="4863" spans="1:5" ht="27" x14ac:dyDescent="0.25">
      <c r="A4863" s="508">
        <v>97509</v>
      </c>
      <c r="B4863" s="509" t="s">
        <v>2951</v>
      </c>
      <c r="C4863" s="508" t="s">
        <v>107</v>
      </c>
      <c r="D4863" s="508">
        <v>110.39</v>
      </c>
      <c r="E4863" s="461" t="s">
        <v>174</v>
      </c>
    </row>
    <row r="4864" spans="1:5" ht="27" x14ac:dyDescent="0.25">
      <c r="A4864" s="508">
        <v>97511</v>
      </c>
      <c r="B4864" s="509" t="s">
        <v>2952</v>
      </c>
      <c r="C4864" s="508" t="s">
        <v>107</v>
      </c>
      <c r="D4864" s="508">
        <v>167.67</v>
      </c>
      <c r="E4864" s="461" t="s">
        <v>174</v>
      </c>
    </row>
    <row r="4865" spans="1:5" ht="27" x14ac:dyDescent="0.25">
      <c r="A4865" s="508">
        <v>97512</v>
      </c>
      <c r="B4865" s="509" t="s">
        <v>2953</v>
      </c>
      <c r="C4865" s="508" t="s">
        <v>107</v>
      </c>
      <c r="D4865" s="508">
        <v>209.57</v>
      </c>
      <c r="E4865" s="461" t="s">
        <v>174</v>
      </c>
    </row>
    <row r="4866" spans="1:5" ht="27" x14ac:dyDescent="0.25">
      <c r="A4866" s="508">
        <v>97514</v>
      </c>
      <c r="B4866" s="509" t="s">
        <v>2954</v>
      </c>
      <c r="C4866" s="508" t="s">
        <v>107</v>
      </c>
      <c r="D4866" s="508">
        <v>223.52</v>
      </c>
      <c r="E4866" s="461" t="s">
        <v>174</v>
      </c>
    </row>
    <row r="4867" spans="1:5" ht="27" x14ac:dyDescent="0.25">
      <c r="A4867" s="508">
        <v>97515</v>
      </c>
      <c r="B4867" s="509" t="s">
        <v>2955</v>
      </c>
      <c r="C4867" s="508" t="s">
        <v>107</v>
      </c>
      <c r="D4867" s="508">
        <v>279.95999999999998</v>
      </c>
      <c r="E4867" s="461" t="s">
        <v>174</v>
      </c>
    </row>
    <row r="4868" spans="1:5" ht="27" x14ac:dyDescent="0.25">
      <c r="A4868" s="508">
        <v>97517</v>
      </c>
      <c r="B4868" s="509" t="s">
        <v>2956</v>
      </c>
      <c r="C4868" s="508" t="s">
        <v>107</v>
      </c>
      <c r="D4868" s="508">
        <v>55.79</v>
      </c>
      <c r="E4868" s="461" t="s">
        <v>174</v>
      </c>
    </row>
    <row r="4869" spans="1:5" ht="27" x14ac:dyDescent="0.25">
      <c r="A4869" s="508">
        <v>97518</v>
      </c>
      <c r="B4869" s="509" t="s">
        <v>2957</v>
      </c>
      <c r="C4869" s="508" t="s">
        <v>107</v>
      </c>
      <c r="D4869" s="508">
        <v>55.79</v>
      </c>
      <c r="E4869" s="461" t="s">
        <v>174</v>
      </c>
    </row>
    <row r="4870" spans="1:5" ht="27" x14ac:dyDescent="0.25">
      <c r="A4870" s="508">
        <v>97519</v>
      </c>
      <c r="B4870" s="509" t="s">
        <v>2958</v>
      </c>
      <c r="C4870" s="508" t="s">
        <v>107</v>
      </c>
      <c r="D4870" s="508">
        <v>79.31</v>
      </c>
      <c r="E4870" s="461" t="s">
        <v>174</v>
      </c>
    </row>
    <row r="4871" spans="1:5" ht="27" x14ac:dyDescent="0.25">
      <c r="A4871" s="508">
        <v>97520</v>
      </c>
      <c r="B4871" s="509" t="s">
        <v>2959</v>
      </c>
      <c r="C4871" s="508" t="s">
        <v>107</v>
      </c>
      <c r="D4871" s="508">
        <v>79.31</v>
      </c>
      <c r="E4871" s="461" t="s">
        <v>174</v>
      </c>
    </row>
    <row r="4872" spans="1:5" ht="27" x14ac:dyDescent="0.25">
      <c r="A4872" s="508">
        <v>97521</v>
      </c>
      <c r="B4872" s="509" t="s">
        <v>2960</v>
      </c>
      <c r="C4872" s="508" t="s">
        <v>107</v>
      </c>
      <c r="D4872" s="508">
        <v>110.21</v>
      </c>
      <c r="E4872" s="461" t="s">
        <v>174</v>
      </c>
    </row>
    <row r="4873" spans="1:5" ht="27" x14ac:dyDescent="0.25">
      <c r="A4873" s="508">
        <v>97522</v>
      </c>
      <c r="B4873" s="509" t="s">
        <v>2961</v>
      </c>
      <c r="C4873" s="508" t="s">
        <v>107</v>
      </c>
      <c r="D4873" s="508">
        <v>110.21</v>
      </c>
      <c r="E4873" s="461" t="s">
        <v>174</v>
      </c>
    </row>
    <row r="4874" spans="1:5" ht="27" x14ac:dyDescent="0.25">
      <c r="A4874" s="508">
        <v>97523</v>
      </c>
      <c r="B4874" s="509" t="s">
        <v>2962</v>
      </c>
      <c r="C4874" s="508" t="s">
        <v>107</v>
      </c>
      <c r="D4874" s="508">
        <v>151.44</v>
      </c>
      <c r="E4874" s="461" t="s">
        <v>174</v>
      </c>
    </row>
    <row r="4875" spans="1:5" ht="27" x14ac:dyDescent="0.25">
      <c r="A4875" s="508">
        <v>97524</v>
      </c>
      <c r="B4875" s="509" t="s">
        <v>2963</v>
      </c>
      <c r="C4875" s="508" t="s">
        <v>107</v>
      </c>
      <c r="D4875" s="508">
        <v>163.27000000000001</v>
      </c>
      <c r="E4875" s="461" t="s">
        <v>174</v>
      </c>
    </row>
    <row r="4876" spans="1:5" ht="27" x14ac:dyDescent="0.25">
      <c r="A4876" s="508">
        <v>97525</v>
      </c>
      <c r="B4876" s="509" t="s">
        <v>2964</v>
      </c>
      <c r="C4876" s="508" t="s">
        <v>107</v>
      </c>
      <c r="D4876" s="508">
        <v>284.27999999999997</v>
      </c>
      <c r="E4876" s="461" t="s">
        <v>174</v>
      </c>
    </row>
    <row r="4877" spans="1:5" ht="27" x14ac:dyDescent="0.25">
      <c r="A4877" s="508">
        <v>97526</v>
      </c>
      <c r="B4877" s="509" t="s">
        <v>2965</v>
      </c>
      <c r="C4877" s="508" t="s">
        <v>107</v>
      </c>
      <c r="D4877" s="508">
        <v>303.2</v>
      </c>
      <c r="E4877" s="461" t="s">
        <v>174</v>
      </c>
    </row>
    <row r="4878" spans="1:5" ht="27" x14ac:dyDescent="0.25">
      <c r="A4878" s="508">
        <v>97527</v>
      </c>
      <c r="B4878" s="509" t="s">
        <v>2966</v>
      </c>
      <c r="C4878" s="508" t="s">
        <v>107</v>
      </c>
      <c r="D4878" s="508">
        <v>696.25</v>
      </c>
      <c r="E4878" s="461" t="s">
        <v>174</v>
      </c>
    </row>
    <row r="4879" spans="1:5" ht="27" x14ac:dyDescent="0.25">
      <c r="A4879" s="508">
        <v>97528</v>
      </c>
      <c r="B4879" s="509" t="s">
        <v>2967</v>
      </c>
      <c r="C4879" s="508" t="s">
        <v>107</v>
      </c>
      <c r="D4879" s="508">
        <v>611.36</v>
      </c>
      <c r="E4879" s="461" t="s">
        <v>174</v>
      </c>
    </row>
    <row r="4880" spans="1:5" ht="27" x14ac:dyDescent="0.25">
      <c r="A4880" s="508">
        <v>97529</v>
      </c>
      <c r="B4880" s="509" t="s">
        <v>2968</v>
      </c>
      <c r="C4880" s="508" t="s">
        <v>107</v>
      </c>
      <c r="D4880" s="508">
        <v>87</v>
      </c>
      <c r="E4880" s="461" t="s">
        <v>174</v>
      </c>
    </row>
    <row r="4881" spans="1:5" ht="27" x14ac:dyDescent="0.25">
      <c r="A4881" s="508">
        <v>97530</v>
      </c>
      <c r="B4881" s="509" t="s">
        <v>2969</v>
      </c>
      <c r="C4881" s="508" t="s">
        <v>107</v>
      </c>
      <c r="D4881" s="508">
        <v>125.56</v>
      </c>
      <c r="E4881" s="461" t="s">
        <v>174</v>
      </c>
    </row>
    <row r="4882" spans="1:5" ht="27" x14ac:dyDescent="0.25">
      <c r="A4882" s="508">
        <v>97531</v>
      </c>
      <c r="B4882" s="509" t="s">
        <v>2970</v>
      </c>
      <c r="C4882" s="508" t="s">
        <v>107</v>
      </c>
      <c r="D4882" s="508">
        <v>159.77000000000001</v>
      </c>
      <c r="E4882" s="461" t="s">
        <v>174</v>
      </c>
    </row>
    <row r="4883" spans="1:5" ht="27" x14ac:dyDescent="0.25">
      <c r="A4883" s="508">
        <v>97532</v>
      </c>
      <c r="B4883" s="509" t="s">
        <v>2971</v>
      </c>
      <c r="C4883" s="508" t="s">
        <v>107</v>
      </c>
      <c r="D4883" s="508">
        <v>249.43</v>
      </c>
      <c r="E4883" s="461" t="s">
        <v>174</v>
      </c>
    </row>
    <row r="4884" spans="1:5" ht="27" x14ac:dyDescent="0.25">
      <c r="A4884" s="508">
        <v>97533</v>
      </c>
      <c r="B4884" s="509" t="s">
        <v>2972</v>
      </c>
      <c r="C4884" s="508" t="s">
        <v>107</v>
      </c>
      <c r="D4884" s="508">
        <v>468.64</v>
      </c>
      <c r="E4884" s="461" t="s">
        <v>174</v>
      </c>
    </row>
    <row r="4885" spans="1:5" ht="27" x14ac:dyDescent="0.25">
      <c r="A4885" s="508">
        <v>97534</v>
      </c>
      <c r="B4885" s="509" t="s">
        <v>2973</v>
      </c>
      <c r="C4885" s="508" t="s">
        <v>107</v>
      </c>
      <c r="D4885" s="508">
        <v>741.16</v>
      </c>
      <c r="E4885" s="461" t="s">
        <v>174</v>
      </c>
    </row>
    <row r="4886" spans="1:5" ht="27" x14ac:dyDescent="0.25">
      <c r="A4886" s="508">
        <v>97537</v>
      </c>
      <c r="B4886" s="509" t="s">
        <v>2974</v>
      </c>
      <c r="C4886" s="508" t="s">
        <v>107</v>
      </c>
      <c r="D4886" s="508">
        <v>25.93</v>
      </c>
      <c r="E4886" s="461" t="s">
        <v>174</v>
      </c>
    </row>
    <row r="4887" spans="1:5" ht="27" x14ac:dyDescent="0.25">
      <c r="A4887" s="508">
        <v>97540</v>
      </c>
      <c r="B4887" s="509" t="s">
        <v>2975</v>
      </c>
      <c r="C4887" s="508" t="s">
        <v>107</v>
      </c>
      <c r="D4887" s="508">
        <v>35.020000000000003</v>
      </c>
      <c r="E4887" s="461" t="s">
        <v>174</v>
      </c>
    </row>
    <row r="4888" spans="1:5" ht="27" x14ac:dyDescent="0.25">
      <c r="A4888" s="508">
        <v>97541</v>
      </c>
      <c r="B4888" s="509" t="s">
        <v>2976</v>
      </c>
      <c r="C4888" s="508" t="s">
        <v>107</v>
      </c>
      <c r="D4888" s="508">
        <v>29.98</v>
      </c>
      <c r="E4888" s="461" t="s">
        <v>174</v>
      </c>
    </row>
    <row r="4889" spans="1:5" ht="27" x14ac:dyDescent="0.25">
      <c r="A4889" s="508">
        <v>97543</v>
      </c>
      <c r="B4889" s="509" t="s">
        <v>2977</v>
      </c>
      <c r="C4889" s="508" t="s">
        <v>107</v>
      </c>
      <c r="D4889" s="508">
        <v>57.19</v>
      </c>
      <c r="E4889" s="461" t="s">
        <v>174</v>
      </c>
    </row>
    <row r="4890" spans="1:5" ht="27" x14ac:dyDescent="0.25">
      <c r="A4890" s="508">
        <v>97544</v>
      </c>
      <c r="B4890" s="509" t="s">
        <v>2978</v>
      </c>
      <c r="C4890" s="508" t="s">
        <v>107</v>
      </c>
      <c r="D4890" s="508">
        <v>51.11</v>
      </c>
      <c r="E4890" s="461" t="s">
        <v>174</v>
      </c>
    </row>
    <row r="4891" spans="1:5" ht="27" x14ac:dyDescent="0.25">
      <c r="A4891" s="508">
        <v>97546</v>
      </c>
      <c r="B4891" s="509" t="s">
        <v>2979</v>
      </c>
      <c r="C4891" s="508" t="s">
        <v>107</v>
      </c>
      <c r="D4891" s="508">
        <v>36.32</v>
      </c>
      <c r="E4891" s="461" t="s">
        <v>174</v>
      </c>
    </row>
    <row r="4892" spans="1:5" ht="27" x14ac:dyDescent="0.25">
      <c r="A4892" s="508">
        <v>97547</v>
      </c>
      <c r="B4892" s="509" t="s">
        <v>2980</v>
      </c>
      <c r="C4892" s="508" t="s">
        <v>107</v>
      </c>
      <c r="D4892" s="508">
        <v>36.32</v>
      </c>
      <c r="E4892" s="461" t="s">
        <v>174</v>
      </c>
    </row>
    <row r="4893" spans="1:5" ht="27" x14ac:dyDescent="0.25">
      <c r="A4893" s="508">
        <v>97548</v>
      </c>
      <c r="B4893" s="509" t="s">
        <v>2981</v>
      </c>
      <c r="C4893" s="508" t="s">
        <v>107</v>
      </c>
      <c r="D4893" s="508">
        <v>53.98</v>
      </c>
      <c r="E4893" s="461" t="s">
        <v>174</v>
      </c>
    </row>
    <row r="4894" spans="1:5" ht="27" x14ac:dyDescent="0.25">
      <c r="A4894" s="508">
        <v>97549</v>
      </c>
      <c r="B4894" s="509" t="s">
        <v>2982</v>
      </c>
      <c r="C4894" s="508" t="s">
        <v>107</v>
      </c>
      <c r="D4894" s="508">
        <v>53.98</v>
      </c>
      <c r="E4894" s="461" t="s">
        <v>174</v>
      </c>
    </row>
    <row r="4895" spans="1:5" ht="27" x14ac:dyDescent="0.25">
      <c r="A4895" s="508">
        <v>97550</v>
      </c>
      <c r="B4895" s="509" t="s">
        <v>2983</v>
      </c>
      <c r="C4895" s="508" t="s">
        <v>107</v>
      </c>
      <c r="D4895" s="508">
        <v>89.92</v>
      </c>
      <c r="E4895" s="461" t="s">
        <v>174</v>
      </c>
    </row>
    <row r="4896" spans="1:5" ht="27" x14ac:dyDescent="0.25">
      <c r="A4896" s="508">
        <v>97551</v>
      </c>
      <c r="B4896" s="509" t="s">
        <v>2984</v>
      </c>
      <c r="C4896" s="508" t="s">
        <v>107</v>
      </c>
      <c r="D4896" s="508">
        <v>89.92</v>
      </c>
      <c r="E4896" s="461" t="s">
        <v>174</v>
      </c>
    </row>
    <row r="4897" spans="1:5" ht="27" x14ac:dyDescent="0.25">
      <c r="A4897" s="508">
        <v>97552</v>
      </c>
      <c r="B4897" s="509" t="s">
        <v>2985</v>
      </c>
      <c r="C4897" s="508" t="s">
        <v>107</v>
      </c>
      <c r="D4897" s="508">
        <v>52.82</v>
      </c>
      <c r="E4897" s="461" t="s">
        <v>174</v>
      </c>
    </row>
    <row r="4898" spans="1:5" ht="27" x14ac:dyDescent="0.25">
      <c r="A4898" s="508">
        <v>97553</v>
      </c>
      <c r="B4898" s="509" t="s">
        <v>2986</v>
      </c>
      <c r="C4898" s="508" t="s">
        <v>107</v>
      </c>
      <c r="D4898" s="508">
        <v>76.36</v>
      </c>
      <c r="E4898" s="461" t="s">
        <v>174</v>
      </c>
    </row>
    <row r="4899" spans="1:5" ht="27" x14ac:dyDescent="0.25">
      <c r="A4899" s="508">
        <v>97554</v>
      </c>
      <c r="B4899" s="509" t="s">
        <v>2987</v>
      </c>
      <c r="C4899" s="508" t="s">
        <v>107</v>
      </c>
      <c r="D4899" s="508">
        <v>132.55000000000001</v>
      </c>
      <c r="E4899" s="461" t="s">
        <v>174</v>
      </c>
    </row>
    <row r="4900" spans="1:5" ht="27" x14ac:dyDescent="0.25">
      <c r="A4900" s="508">
        <v>98602</v>
      </c>
      <c r="B4900" s="509" t="s">
        <v>7051</v>
      </c>
      <c r="C4900" s="508" t="s">
        <v>107</v>
      </c>
      <c r="D4900" s="508">
        <v>20.29</v>
      </c>
      <c r="E4900" s="461" t="s">
        <v>174</v>
      </c>
    </row>
    <row r="4901" spans="1:5" ht="27" x14ac:dyDescent="0.25">
      <c r="A4901" s="508">
        <v>103805</v>
      </c>
      <c r="B4901" s="509" t="s">
        <v>7052</v>
      </c>
      <c r="C4901" s="508" t="s">
        <v>107</v>
      </c>
      <c r="D4901" s="508">
        <v>20.02</v>
      </c>
      <c r="E4901" s="461" t="s">
        <v>174</v>
      </c>
    </row>
    <row r="4902" spans="1:5" ht="27" x14ac:dyDescent="0.25">
      <c r="A4902" s="508">
        <v>103806</v>
      </c>
      <c r="B4902" s="509" t="s">
        <v>7053</v>
      </c>
      <c r="C4902" s="508" t="s">
        <v>107</v>
      </c>
      <c r="D4902" s="508">
        <v>19.989999999999998</v>
      </c>
      <c r="E4902" s="461" t="s">
        <v>174</v>
      </c>
    </row>
    <row r="4903" spans="1:5" ht="40.5" x14ac:dyDescent="0.25">
      <c r="A4903" s="508">
        <v>103807</v>
      </c>
      <c r="B4903" s="509" t="s">
        <v>7054</v>
      </c>
      <c r="C4903" s="508" t="s">
        <v>107</v>
      </c>
      <c r="D4903" s="508">
        <v>24.61</v>
      </c>
      <c r="E4903" s="461" t="s">
        <v>174</v>
      </c>
    </row>
    <row r="4904" spans="1:5" ht="27" x14ac:dyDescent="0.25">
      <c r="A4904" s="508">
        <v>103808</v>
      </c>
      <c r="B4904" s="509" t="s">
        <v>7055</v>
      </c>
      <c r="C4904" s="508" t="s">
        <v>107</v>
      </c>
      <c r="D4904" s="508">
        <v>37.51</v>
      </c>
      <c r="E4904" s="461" t="s">
        <v>174</v>
      </c>
    </row>
    <row r="4905" spans="1:5" ht="27" x14ac:dyDescent="0.25">
      <c r="A4905" s="508">
        <v>103809</v>
      </c>
      <c r="B4905" s="509" t="s">
        <v>7056</v>
      </c>
      <c r="C4905" s="508" t="s">
        <v>107</v>
      </c>
      <c r="D4905" s="508">
        <v>37.19</v>
      </c>
      <c r="E4905" s="461" t="s">
        <v>174</v>
      </c>
    </row>
    <row r="4906" spans="1:5" ht="40.5" x14ac:dyDescent="0.25">
      <c r="A4906" s="508">
        <v>103810</v>
      </c>
      <c r="B4906" s="509" t="s">
        <v>7057</v>
      </c>
      <c r="C4906" s="508" t="s">
        <v>107</v>
      </c>
      <c r="D4906" s="508">
        <v>37.92</v>
      </c>
      <c r="E4906" s="461" t="s">
        <v>174</v>
      </c>
    </row>
    <row r="4907" spans="1:5" ht="40.5" x14ac:dyDescent="0.25">
      <c r="A4907" s="508">
        <v>103811</v>
      </c>
      <c r="B4907" s="509" t="s">
        <v>7058</v>
      </c>
      <c r="C4907" s="508" t="s">
        <v>107</v>
      </c>
      <c r="D4907" s="508">
        <v>41.85</v>
      </c>
      <c r="E4907" s="461" t="s">
        <v>174</v>
      </c>
    </row>
    <row r="4908" spans="1:5" ht="27" x14ac:dyDescent="0.25">
      <c r="A4908" s="508">
        <v>103812</v>
      </c>
      <c r="B4908" s="509" t="s">
        <v>7059</v>
      </c>
      <c r="C4908" s="508" t="s">
        <v>107</v>
      </c>
      <c r="D4908" s="508">
        <v>55.6</v>
      </c>
      <c r="E4908" s="461" t="s">
        <v>174</v>
      </c>
    </row>
    <row r="4909" spans="1:5" ht="27" x14ac:dyDescent="0.25">
      <c r="A4909" s="508">
        <v>103813</v>
      </c>
      <c r="B4909" s="509" t="s">
        <v>7060</v>
      </c>
      <c r="C4909" s="508" t="s">
        <v>107</v>
      </c>
      <c r="D4909" s="508">
        <v>53.6</v>
      </c>
      <c r="E4909" s="461" t="s">
        <v>174</v>
      </c>
    </row>
    <row r="4910" spans="1:5" ht="27" x14ac:dyDescent="0.25">
      <c r="A4910" s="508">
        <v>103814</v>
      </c>
      <c r="B4910" s="509" t="s">
        <v>7061</v>
      </c>
      <c r="C4910" s="508" t="s">
        <v>107</v>
      </c>
      <c r="D4910" s="508">
        <v>13.08</v>
      </c>
      <c r="E4910" s="461" t="s">
        <v>174</v>
      </c>
    </row>
    <row r="4911" spans="1:5" ht="27" x14ac:dyDescent="0.25">
      <c r="A4911" s="508">
        <v>103815</v>
      </c>
      <c r="B4911" s="509" t="s">
        <v>7062</v>
      </c>
      <c r="C4911" s="508" t="s">
        <v>107</v>
      </c>
      <c r="D4911" s="508">
        <v>13.12</v>
      </c>
      <c r="E4911" s="461" t="s">
        <v>174</v>
      </c>
    </row>
    <row r="4912" spans="1:5" ht="40.5" x14ac:dyDescent="0.25">
      <c r="A4912" s="508">
        <v>103816</v>
      </c>
      <c r="B4912" s="509" t="s">
        <v>7063</v>
      </c>
      <c r="C4912" s="508" t="s">
        <v>107</v>
      </c>
      <c r="D4912" s="508">
        <v>30.41</v>
      </c>
      <c r="E4912" s="461" t="s">
        <v>174</v>
      </c>
    </row>
    <row r="4913" spans="1:5" ht="27" x14ac:dyDescent="0.25">
      <c r="A4913" s="508">
        <v>103817</v>
      </c>
      <c r="B4913" s="509" t="s">
        <v>7064</v>
      </c>
      <c r="C4913" s="508" t="s">
        <v>107</v>
      </c>
      <c r="D4913" s="508">
        <v>511.25</v>
      </c>
      <c r="E4913" s="461" t="s">
        <v>174</v>
      </c>
    </row>
    <row r="4914" spans="1:5" ht="40.5" x14ac:dyDescent="0.25">
      <c r="A4914" s="508">
        <v>103818</v>
      </c>
      <c r="B4914" s="509" t="s">
        <v>7065</v>
      </c>
      <c r="C4914" s="508" t="s">
        <v>107</v>
      </c>
      <c r="D4914" s="508">
        <v>22.54</v>
      </c>
      <c r="E4914" s="461" t="s">
        <v>174</v>
      </c>
    </row>
    <row r="4915" spans="1:5" ht="27" x14ac:dyDescent="0.25">
      <c r="A4915" s="508">
        <v>103819</v>
      </c>
      <c r="B4915" s="509" t="s">
        <v>7066</v>
      </c>
      <c r="C4915" s="508" t="s">
        <v>107</v>
      </c>
      <c r="D4915" s="508">
        <v>23.11</v>
      </c>
      <c r="E4915" s="461" t="s">
        <v>174</v>
      </c>
    </row>
    <row r="4916" spans="1:5" ht="27" x14ac:dyDescent="0.25">
      <c r="A4916" s="508">
        <v>103820</v>
      </c>
      <c r="B4916" s="509" t="s">
        <v>7067</v>
      </c>
      <c r="C4916" s="508" t="s">
        <v>107</v>
      </c>
      <c r="D4916" s="508">
        <v>24.61</v>
      </c>
      <c r="E4916" s="461" t="s">
        <v>174</v>
      </c>
    </row>
    <row r="4917" spans="1:5" ht="27" x14ac:dyDescent="0.25">
      <c r="A4917" s="508">
        <v>103821</v>
      </c>
      <c r="B4917" s="509" t="s">
        <v>7068</v>
      </c>
      <c r="C4917" s="508" t="s">
        <v>107</v>
      </c>
      <c r="D4917" s="508">
        <v>598.5</v>
      </c>
      <c r="E4917" s="461" t="s">
        <v>174</v>
      </c>
    </row>
    <row r="4918" spans="1:5" ht="40.5" x14ac:dyDescent="0.25">
      <c r="A4918" s="508">
        <v>103822</v>
      </c>
      <c r="B4918" s="509" t="s">
        <v>7069</v>
      </c>
      <c r="C4918" s="508" t="s">
        <v>107</v>
      </c>
      <c r="D4918" s="508">
        <v>62.61</v>
      </c>
      <c r="E4918" s="461" t="s">
        <v>174</v>
      </c>
    </row>
    <row r="4919" spans="1:5" ht="40.5" x14ac:dyDescent="0.25">
      <c r="A4919" s="508">
        <v>103823</v>
      </c>
      <c r="B4919" s="509" t="s">
        <v>7070</v>
      </c>
      <c r="C4919" s="508" t="s">
        <v>107</v>
      </c>
      <c r="D4919" s="508">
        <v>20.07</v>
      </c>
      <c r="E4919" s="461" t="s">
        <v>174</v>
      </c>
    </row>
    <row r="4920" spans="1:5" ht="40.5" x14ac:dyDescent="0.25">
      <c r="A4920" s="508">
        <v>103824</v>
      </c>
      <c r="B4920" s="509" t="s">
        <v>7071</v>
      </c>
      <c r="C4920" s="508" t="s">
        <v>107</v>
      </c>
      <c r="D4920" s="508">
        <v>26.28</v>
      </c>
      <c r="E4920" s="461" t="s">
        <v>174</v>
      </c>
    </row>
    <row r="4921" spans="1:5" ht="40.5" x14ac:dyDescent="0.25">
      <c r="A4921" s="508">
        <v>103825</v>
      </c>
      <c r="B4921" s="509" t="s">
        <v>7072</v>
      </c>
      <c r="C4921" s="508" t="s">
        <v>107</v>
      </c>
      <c r="D4921" s="508">
        <v>31.16</v>
      </c>
      <c r="E4921" s="461" t="s">
        <v>174</v>
      </c>
    </row>
    <row r="4922" spans="1:5" ht="27" x14ac:dyDescent="0.25">
      <c r="A4922" s="508">
        <v>103826</v>
      </c>
      <c r="B4922" s="509" t="s">
        <v>7073</v>
      </c>
      <c r="C4922" s="508" t="s">
        <v>107</v>
      </c>
      <c r="D4922" s="508">
        <v>34.83</v>
      </c>
      <c r="E4922" s="461" t="s">
        <v>174</v>
      </c>
    </row>
    <row r="4923" spans="1:5" ht="27" x14ac:dyDescent="0.25">
      <c r="A4923" s="508">
        <v>103827</v>
      </c>
      <c r="B4923" s="509" t="s">
        <v>7074</v>
      </c>
      <c r="C4923" s="508" t="s">
        <v>107</v>
      </c>
      <c r="D4923" s="508">
        <v>34.83</v>
      </c>
      <c r="E4923" s="461" t="s">
        <v>174</v>
      </c>
    </row>
    <row r="4924" spans="1:5" ht="40.5" x14ac:dyDescent="0.25">
      <c r="A4924" s="508">
        <v>103828</v>
      </c>
      <c r="B4924" s="509" t="s">
        <v>7075</v>
      </c>
      <c r="C4924" s="508" t="s">
        <v>107</v>
      </c>
      <c r="D4924" s="508">
        <v>104.71</v>
      </c>
      <c r="E4924" s="461" t="s">
        <v>174</v>
      </c>
    </row>
    <row r="4925" spans="1:5" ht="27" x14ac:dyDescent="0.25">
      <c r="A4925" s="508">
        <v>103829</v>
      </c>
      <c r="B4925" s="509" t="s">
        <v>7076</v>
      </c>
      <c r="C4925" s="508" t="s">
        <v>107</v>
      </c>
      <c r="D4925" s="508">
        <v>661.16</v>
      </c>
      <c r="E4925" s="461" t="s">
        <v>174</v>
      </c>
    </row>
    <row r="4926" spans="1:5" ht="40.5" x14ac:dyDescent="0.25">
      <c r="A4926" s="508">
        <v>103830</v>
      </c>
      <c r="B4926" s="509" t="s">
        <v>7077</v>
      </c>
      <c r="C4926" s="508" t="s">
        <v>107</v>
      </c>
      <c r="D4926" s="508">
        <v>40.9</v>
      </c>
      <c r="E4926" s="461" t="s">
        <v>174</v>
      </c>
    </row>
    <row r="4927" spans="1:5" ht="27" x14ac:dyDescent="0.25">
      <c r="A4927" s="508">
        <v>103831</v>
      </c>
      <c r="B4927" s="509" t="s">
        <v>7078</v>
      </c>
      <c r="C4927" s="508" t="s">
        <v>107</v>
      </c>
      <c r="D4927" s="508">
        <v>29.92</v>
      </c>
      <c r="E4927" s="461" t="s">
        <v>174</v>
      </c>
    </row>
    <row r="4928" spans="1:5" ht="27" x14ac:dyDescent="0.25">
      <c r="A4928" s="508">
        <v>103832</v>
      </c>
      <c r="B4928" s="509" t="s">
        <v>7079</v>
      </c>
      <c r="C4928" s="508" t="s">
        <v>107</v>
      </c>
      <c r="D4928" s="508">
        <v>27.07</v>
      </c>
      <c r="E4928" s="461" t="s">
        <v>174</v>
      </c>
    </row>
    <row r="4929" spans="1:5" ht="27" x14ac:dyDescent="0.25">
      <c r="A4929" s="508">
        <v>103833</v>
      </c>
      <c r="B4929" s="509" t="s">
        <v>7080</v>
      </c>
      <c r="C4929" s="508" t="s">
        <v>107</v>
      </c>
      <c r="D4929" s="508">
        <v>49.69</v>
      </c>
      <c r="E4929" s="461" t="s">
        <v>174</v>
      </c>
    </row>
    <row r="4930" spans="1:5" ht="27" x14ac:dyDescent="0.25">
      <c r="A4930" s="508">
        <v>103834</v>
      </c>
      <c r="B4930" s="509" t="s">
        <v>7081</v>
      </c>
      <c r="C4930" s="508" t="s">
        <v>107</v>
      </c>
      <c r="D4930" s="508">
        <v>72.260000000000005</v>
      </c>
      <c r="E4930" s="461" t="s">
        <v>174</v>
      </c>
    </row>
    <row r="4931" spans="1:5" ht="27" x14ac:dyDescent="0.25">
      <c r="A4931" s="508">
        <v>103838</v>
      </c>
      <c r="B4931" s="509" t="s">
        <v>7082</v>
      </c>
      <c r="C4931" s="508" t="s">
        <v>107</v>
      </c>
      <c r="D4931" s="508">
        <v>19.25</v>
      </c>
      <c r="E4931" s="461" t="s">
        <v>174</v>
      </c>
    </row>
    <row r="4932" spans="1:5" ht="27" x14ac:dyDescent="0.25">
      <c r="A4932" s="508">
        <v>103839</v>
      </c>
      <c r="B4932" s="509" t="s">
        <v>7083</v>
      </c>
      <c r="C4932" s="508" t="s">
        <v>107</v>
      </c>
      <c r="D4932" s="508">
        <v>19.22</v>
      </c>
      <c r="E4932" s="461" t="s">
        <v>174</v>
      </c>
    </row>
    <row r="4933" spans="1:5" ht="40.5" x14ac:dyDescent="0.25">
      <c r="A4933" s="508">
        <v>103840</v>
      </c>
      <c r="B4933" s="509" t="s">
        <v>7084</v>
      </c>
      <c r="C4933" s="508" t="s">
        <v>107</v>
      </c>
      <c r="D4933" s="508">
        <v>24.23</v>
      </c>
      <c r="E4933" s="461" t="s">
        <v>174</v>
      </c>
    </row>
    <row r="4934" spans="1:5" ht="27" x14ac:dyDescent="0.25">
      <c r="A4934" s="508">
        <v>103841</v>
      </c>
      <c r="B4934" s="509" t="s">
        <v>7085</v>
      </c>
      <c r="C4934" s="508" t="s">
        <v>107</v>
      </c>
      <c r="D4934" s="508">
        <v>31.4</v>
      </c>
      <c r="E4934" s="461" t="s">
        <v>174</v>
      </c>
    </row>
    <row r="4935" spans="1:5" ht="27" x14ac:dyDescent="0.25">
      <c r="A4935" s="508">
        <v>103842</v>
      </c>
      <c r="B4935" s="509" t="s">
        <v>7086</v>
      </c>
      <c r="C4935" s="508" t="s">
        <v>107</v>
      </c>
      <c r="D4935" s="508">
        <v>31.08</v>
      </c>
      <c r="E4935" s="461" t="s">
        <v>174</v>
      </c>
    </row>
    <row r="4936" spans="1:5" ht="40.5" x14ac:dyDescent="0.25">
      <c r="A4936" s="508">
        <v>103843</v>
      </c>
      <c r="B4936" s="509" t="s">
        <v>7087</v>
      </c>
      <c r="C4936" s="508" t="s">
        <v>107</v>
      </c>
      <c r="D4936" s="508">
        <v>34.869999999999997</v>
      </c>
      <c r="E4936" s="461" t="s">
        <v>174</v>
      </c>
    </row>
    <row r="4937" spans="1:5" ht="40.5" x14ac:dyDescent="0.25">
      <c r="A4937" s="508">
        <v>103844</v>
      </c>
      <c r="B4937" s="509" t="s">
        <v>7088</v>
      </c>
      <c r="C4937" s="508" t="s">
        <v>107</v>
      </c>
      <c r="D4937" s="508">
        <v>38.799999999999997</v>
      </c>
      <c r="E4937" s="461" t="s">
        <v>174</v>
      </c>
    </row>
    <row r="4938" spans="1:5" ht="27" x14ac:dyDescent="0.25">
      <c r="A4938" s="508">
        <v>103845</v>
      </c>
      <c r="B4938" s="509" t="s">
        <v>7089</v>
      </c>
      <c r="C4938" s="508" t="s">
        <v>107</v>
      </c>
      <c r="D4938" s="508">
        <v>44.93</v>
      </c>
      <c r="E4938" s="461" t="s">
        <v>174</v>
      </c>
    </row>
    <row r="4939" spans="1:5" ht="27" x14ac:dyDescent="0.25">
      <c r="A4939" s="508">
        <v>103846</v>
      </c>
      <c r="B4939" s="509" t="s">
        <v>7090</v>
      </c>
      <c r="C4939" s="508" t="s">
        <v>107</v>
      </c>
      <c r="D4939" s="508">
        <v>42.93</v>
      </c>
      <c r="E4939" s="461" t="s">
        <v>174</v>
      </c>
    </row>
    <row r="4940" spans="1:5" ht="27" x14ac:dyDescent="0.25">
      <c r="A4940" s="508">
        <v>103847</v>
      </c>
      <c r="B4940" s="509" t="s">
        <v>7091</v>
      </c>
      <c r="C4940" s="508" t="s">
        <v>107</v>
      </c>
      <c r="D4940" s="508">
        <v>12.56</v>
      </c>
      <c r="E4940" s="461" t="s">
        <v>174</v>
      </c>
    </row>
    <row r="4941" spans="1:5" ht="27" x14ac:dyDescent="0.25">
      <c r="A4941" s="508">
        <v>103848</v>
      </c>
      <c r="B4941" s="509" t="s">
        <v>7092</v>
      </c>
      <c r="C4941" s="508" t="s">
        <v>107</v>
      </c>
      <c r="D4941" s="508">
        <v>12.6</v>
      </c>
      <c r="E4941" s="461" t="s">
        <v>174</v>
      </c>
    </row>
    <row r="4942" spans="1:5" ht="40.5" x14ac:dyDescent="0.25">
      <c r="A4942" s="508">
        <v>103849</v>
      </c>
      <c r="B4942" s="509" t="s">
        <v>7093</v>
      </c>
      <c r="C4942" s="508" t="s">
        <v>107</v>
      </c>
      <c r="D4942" s="508">
        <v>29.89</v>
      </c>
      <c r="E4942" s="461" t="s">
        <v>174</v>
      </c>
    </row>
    <row r="4943" spans="1:5" ht="27" x14ac:dyDescent="0.25">
      <c r="A4943" s="508">
        <v>103850</v>
      </c>
      <c r="B4943" s="509" t="s">
        <v>7094</v>
      </c>
      <c r="C4943" s="508" t="s">
        <v>107</v>
      </c>
      <c r="D4943" s="508">
        <v>510.73</v>
      </c>
      <c r="E4943" s="461" t="s">
        <v>174</v>
      </c>
    </row>
    <row r="4944" spans="1:5" ht="40.5" x14ac:dyDescent="0.25">
      <c r="A4944" s="508">
        <v>103851</v>
      </c>
      <c r="B4944" s="509" t="s">
        <v>7095</v>
      </c>
      <c r="C4944" s="508" t="s">
        <v>107</v>
      </c>
      <c r="D4944" s="508">
        <v>22.29</v>
      </c>
      <c r="E4944" s="461" t="s">
        <v>174</v>
      </c>
    </row>
    <row r="4945" spans="1:5" ht="27" x14ac:dyDescent="0.25">
      <c r="A4945" s="508">
        <v>103852</v>
      </c>
      <c r="B4945" s="509" t="s">
        <v>7096</v>
      </c>
      <c r="C4945" s="508" t="s">
        <v>107</v>
      </c>
      <c r="D4945" s="508">
        <v>19.02</v>
      </c>
      <c r="E4945" s="461" t="s">
        <v>174</v>
      </c>
    </row>
    <row r="4946" spans="1:5" ht="27" x14ac:dyDescent="0.25">
      <c r="A4946" s="508">
        <v>103853</v>
      </c>
      <c r="B4946" s="509" t="s">
        <v>7097</v>
      </c>
      <c r="C4946" s="508" t="s">
        <v>107</v>
      </c>
      <c r="D4946" s="508">
        <v>20.52</v>
      </c>
      <c r="E4946" s="461" t="s">
        <v>174</v>
      </c>
    </row>
    <row r="4947" spans="1:5" ht="27" x14ac:dyDescent="0.25">
      <c r="A4947" s="508">
        <v>103854</v>
      </c>
      <c r="B4947" s="509" t="s">
        <v>7098</v>
      </c>
      <c r="C4947" s="508" t="s">
        <v>107</v>
      </c>
      <c r="D4947" s="508">
        <v>594.41</v>
      </c>
      <c r="E4947" s="461" t="s">
        <v>174</v>
      </c>
    </row>
    <row r="4948" spans="1:5" ht="40.5" x14ac:dyDescent="0.25">
      <c r="A4948" s="508">
        <v>103855</v>
      </c>
      <c r="B4948" s="509" t="s">
        <v>7099</v>
      </c>
      <c r="C4948" s="508" t="s">
        <v>107</v>
      </c>
      <c r="D4948" s="508">
        <v>58.52</v>
      </c>
      <c r="E4948" s="461" t="s">
        <v>174</v>
      </c>
    </row>
    <row r="4949" spans="1:5" ht="40.5" x14ac:dyDescent="0.25">
      <c r="A4949" s="508">
        <v>103856</v>
      </c>
      <c r="B4949" s="509" t="s">
        <v>7100</v>
      </c>
      <c r="C4949" s="508" t="s">
        <v>107</v>
      </c>
      <c r="D4949" s="508">
        <v>17.86</v>
      </c>
      <c r="E4949" s="461" t="s">
        <v>174</v>
      </c>
    </row>
    <row r="4950" spans="1:5" ht="40.5" x14ac:dyDescent="0.25">
      <c r="A4950" s="508">
        <v>103857</v>
      </c>
      <c r="B4950" s="509" t="s">
        <v>7101</v>
      </c>
      <c r="C4950" s="508" t="s">
        <v>107</v>
      </c>
      <c r="D4950" s="508">
        <v>24.24</v>
      </c>
      <c r="E4950" s="461" t="s">
        <v>174</v>
      </c>
    </row>
    <row r="4951" spans="1:5" ht="40.5" x14ac:dyDescent="0.25">
      <c r="A4951" s="508">
        <v>103858</v>
      </c>
      <c r="B4951" s="509" t="s">
        <v>7102</v>
      </c>
      <c r="C4951" s="508" t="s">
        <v>107</v>
      </c>
      <c r="D4951" s="508">
        <v>29.11</v>
      </c>
      <c r="E4951" s="461" t="s">
        <v>174</v>
      </c>
    </row>
    <row r="4952" spans="1:5" ht="27" x14ac:dyDescent="0.25">
      <c r="A4952" s="508">
        <v>103859</v>
      </c>
      <c r="B4952" s="509" t="s">
        <v>7103</v>
      </c>
      <c r="C4952" s="508" t="s">
        <v>107</v>
      </c>
      <c r="D4952" s="508">
        <v>28.21</v>
      </c>
      <c r="E4952" s="461" t="s">
        <v>174</v>
      </c>
    </row>
    <row r="4953" spans="1:5" ht="27" x14ac:dyDescent="0.25">
      <c r="A4953" s="508">
        <v>103860</v>
      </c>
      <c r="B4953" s="509" t="s">
        <v>7104</v>
      </c>
      <c r="C4953" s="508" t="s">
        <v>107</v>
      </c>
      <c r="D4953" s="508">
        <v>28.21</v>
      </c>
      <c r="E4953" s="461" t="s">
        <v>174</v>
      </c>
    </row>
    <row r="4954" spans="1:5" ht="40.5" x14ac:dyDescent="0.25">
      <c r="A4954" s="508">
        <v>103861</v>
      </c>
      <c r="B4954" s="509" t="s">
        <v>7105</v>
      </c>
      <c r="C4954" s="508" t="s">
        <v>107</v>
      </c>
      <c r="D4954" s="508">
        <v>98.09</v>
      </c>
      <c r="E4954" s="461" t="s">
        <v>174</v>
      </c>
    </row>
    <row r="4955" spans="1:5" ht="27" x14ac:dyDescent="0.25">
      <c r="A4955" s="508">
        <v>103862</v>
      </c>
      <c r="B4955" s="509" t="s">
        <v>7106</v>
      </c>
      <c r="C4955" s="508" t="s">
        <v>107</v>
      </c>
      <c r="D4955" s="508">
        <v>654.54</v>
      </c>
      <c r="E4955" s="461" t="s">
        <v>174</v>
      </c>
    </row>
    <row r="4956" spans="1:5" ht="40.5" x14ac:dyDescent="0.25">
      <c r="A4956" s="508">
        <v>103863</v>
      </c>
      <c r="B4956" s="509" t="s">
        <v>7107</v>
      </c>
      <c r="C4956" s="508" t="s">
        <v>107</v>
      </c>
      <c r="D4956" s="508">
        <v>37.58</v>
      </c>
      <c r="E4956" s="461" t="s">
        <v>174</v>
      </c>
    </row>
    <row r="4957" spans="1:5" ht="27" x14ac:dyDescent="0.25">
      <c r="A4957" s="508">
        <v>103864</v>
      </c>
      <c r="B4957" s="509" t="s">
        <v>7108</v>
      </c>
      <c r="C4957" s="508" t="s">
        <v>107</v>
      </c>
      <c r="D4957" s="508">
        <v>24.43</v>
      </c>
      <c r="E4957" s="461" t="s">
        <v>174</v>
      </c>
    </row>
    <row r="4958" spans="1:5" ht="27" x14ac:dyDescent="0.25">
      <c r="A4958" s="508">
        <v>103865</v>
      </c>
      <c r="B4958" s="509" t="s">
        <v>7109</v>
      </c>
      <c r="C4958" s="508" t="s">
        <v>107</v>
      </c>
      <c r="D4958" s="508">
        <v>26.03</v>
      </c>
      <c r="E4958" s="461" t="s">
        <v>174</v>
      </c>
    </row>
    <row r="4959" spans="1:5" ht="27" x14ac:dyDescent="0.25">
      <c r="A4959" s="508">
        <v>103866</v>
      </c>
      <c r="B4959" s="509" t="s">
        <v>7110</v>
      </c>
      <c r="C4959" s="508" t="s">
        <v>107</v>
      </c>
      <c r="D4959" s="508">
        <v>41.53</v>
      </c>
      <c r="E4959" s="461" t="s">
        <v>174</v>
      </c>
    </row>
    <row r="4960" spans="1:5" ht="27" x14ac:dyDescent="0.25">
      <c r="A4960" s="508">
        <v>103867</v>
      </c>
      <c r="B4960" s="509" t="s">
        <v>7111</v>
      </c>
      <c r="C4960" s="508" t="s">
        <v>107</v>
      </c>
      <c r="D4960" s="508">
        <v>58</v>
      </c>
      <c r="E4960" s="461" t="s">
        <v>174</v>
      </c>
    </row>
    <row r="4961" spans="1:5" ht="27" x14ac:dyDescent="0.25">
      <c r="A4961" s="508">
        <v>103874</v>
      </c>
      <c r="B4961" s="509" t="s">
        <v>7112</v>
      </c>
      <c r="C4961" s="508" t="s">
        <v>107</v>
      </c>
      <c r="D4961" s="508">
        <v>20.09</v>
      </c>
      <c r="E4961" s="461" t="s">
        <v>174</v>
      </c>
    </row>
    <row r="4962" spans="1:5" ht="27" x14ac:dyDescent="0.25">
      <c r="A4962" s="508">
        <v>103875</v>
      </c>
      <c r="B4962" s="509" t="s">
        <v>7113</v>
      </c>
      <c r="C4962" s="508" t="s">
        <v>107</v>
      </c>
      <c r="D4962" s="508">
        <v>20.059999999999999</v>
      </c>
      <c r="E4962" s="461" t="s">
        <v>174</v>
      </c>
    </row>
    <row r="4963" spans="1:5" ht="40.5" x14ac:dyDescent="0.25">
      <c r="A4963" s="508">
        <v>103876</v>
      </c>
      <c r="B4963" s="509" t="s">
        <v>7114</v>
      </c>
      <c r="C4963" s="508" t="s">
        <v>107</v>
      </c>
      <c r="D4963" s="508">
        <v>24.65</v>
      </c>
      <c r="E4963" s="461" t="s">
        <v>174</v>
      </c>
    </row>
    <row r="4964" spans="1:5" ht="27" x14ac:dyDescent="0.25">
      <c r="A4964" s="508">
        <v>103877</v>
      </c>
      <c r="B4964" s="509" t="s">
        <v>7115</v>
      </c>
      <c r="C4964" s="508" t="s">
        <v>107</v>
      </c>
      <c r="D4964" s="508">
        <v>30.52</v>
      </c>
      <c r="E4964" s="461" t="s">
        <v>174</v>
      </c>
    </row>
    <row r="4965" spans="1:5" ht="27" x14ac:dyDescent="0.25">
      <c r="A4965" s="508">
        <v>103878</v>
      </c>
      <c r="B4965" s="509" t="s">
        <v>7116</v>
      </c>
      <c r="C4965" s="508" t="s">
        <v>107</v>
      </c>
      <c r="D4965" s="508">
        <v>30.2</v>
      </c>
      <c r="E4965" s="461" t="s">
        <v>174</v>
      </c>
    </row>
    <row r="4966" spans="1:5" ht="40.5" x14ac:dyDescent="0.25">
      <c r="A4966" s="508">
        <v>103879</v>
      </c>
      <c r="B4966" s="509" t="s">
        <v>7117</v>
      </c>
      <c r="C4966" s="508" t="s">
        <v>107</v>
      </c>
      <c r="D4966" s="508">
        <v>34.43</v>
      </c>
      <c r="E4966" s="461" t="s">
        <v>174</v>
      </c>
    </row>
    <row r="4967" spans="1:5" ht="40.5" x14ac:dyDescent="0.25">
      <c r="A4967" s="508">
        <v>103880</v>
      </c>
      <c r="B4967" s="509" t="s">
        <v>7118</v>
      </c>
      <c r="C4967" s="508" t="s">
        <v>107</v>
      </c>
      <c r="D4967" s="508">
        <v>38.35</v>
      </c>
      <c r="E4967" s="461" t="s">
        <v>174</v>
      </c>
    </row>
    <row r="4968" spans="1:5" ht="27" x14ac:dyDescent="0.25">
      <c r="A4968" s="508">
        <v>103881</v>
      </c>
      <c r="B4968" s="509" t="s">
        <v>7119</v>
      </c>
      <c r="C4968" s="508" t="s">
        <v>107</v>
      </c>
      <c r="D4968" s="508">
        <v>42.55</v>
      </c>
      <c r="E4968" s="461" t="s">
        <v>174</v>
      </c>
    </row>
    <row r="4969" spans="1:5" ht="27" x14ac:dyDescent="0.25">
      <c r="A4969" s="508">
        <v>103882</v>
      </c>
      <c r="B4969" s="509" t="s">
        <v>7120</v>
      </c>
      <c r="C4969" s="508" t="s">
        <v>107</v>
      </c>
      <c r="D4969" s="508">
        <v>40.549999999999997</v>
      </c>
      <c r="E4969" s="461" t="s">
        <v>174</v>
      </c>
    </row>
    <row r="4970" spans="1:5" ht="27" x14ac:dyDescent="0.25">
      <c r="A4970" s="508">
        <v>103883</v>
      </c>
      <c r="B4970" s="509" t="s">
        <v>7121</v>
      </c>
      <c r="C4970" s="508" t="s">
        <v>107</v>
      </c>
      <c r="D4970" s="508">
        <v>13.1</v>
      </c>
      <c r="E4970" s="461" t="s">
        <v>174</v>
      </c>
    </row>
    <row r="4971" spans="1:5" ht="27" x14ac:dyDescent="0.25">
      <c r="A4971" s="508">
        <v>103884</v>
      </c>
      <c r="B4971" s="509" t="s">
        <v>7122</v>
      </c>
      <c r="C4971" s="508" t="s">
        <v>107</v>
      </c>
      <c r="D4971" s="508">
        <v>13.14</v>
      </c>
      <c r="E4971" s="461" t="s">
        <v>174</v>
      </c>
    </row>
    <row r="4972" spans="1:5" ht="40.5" x14ac:dyDescent="0.25">
      <c r="A4972" s="508">
        <v>103885</v>
      </c>
      <c r="B4972" s="509" t="s">
        <v>7123</v>
      </c>
      <c r="C4972" s="508" t="s">
        <v>107</v>
      </c>
      <c r="D4972" s="508">
        <v>30.43</v>
      </c>
      <c r="E4972" s="461" t="s">
        <v>174</v>
      </c>
    </row>
    <row r="4973" spans="1:5" ht="27" x14ac:dyDescent="0.25">
      <c r="A4973" s="508">
        <v>103886</v>
      </c>
      <c r="B4973" s="509" t="s">
        <v>7124</v>
      </c>
      <c r="C4973" s="508" t="s">
        <v>107</v>
      </c>
      <c r="D4973" s="508">
        <v>511.27</v>
      </c>
      <c r="E4973" s="461" t="s">
        <v>174</v>
      </c>
    </row>
    <row r="4974" spans="1:5" ht="40.5" x14ac:dyDescent="0.25">
      <c r="A4974" s="508">
        <v>103887</v>
      </c>
      <c r="B4974" s="509" t="s">
        <v>7125</v>
      </c>
      <c r="C4974" s="508" t="s">
        <v>107</v>
      </c>
      <c r="D4974" s="508">
        <v>22.55</v>
      </c>
      <c r="E4974" s="461" t="s">
        <v>174</v>
      </c>
    </row>
    <row r="4975" spans="1:5" ht="27" x14ac:dyDescent="0.25">
      <c r="A4975" s="508">
        <v>103888</v>
      </c>
      <c r="B4975" s="509" t="s">
        <v>7126</v>
      </c>
      <c r="C4975" s="508" t="s">
        <v>107</v>
      </c>
      <c r="D4975" s="508">
        <v>18.399999999999999</v>
      </c>
      <c r="E4975" s="461" t="s">
        <v>174</v>
      </c>
    </row>
    <row r="4976" spans="1:5" ht="27" x14ac:dyDescent="0.25">
      <c r="A4976" s="508">
        <v>103889</v>
      </c>
      <c r="B4976" s="509" t="s">
        <v>7127</v>
      </c>
      <c r="C4976" s="508" t="s">
        <v>107</v>
      </c>
      <c r="D4976" s="508">
        <v>19.899999999999999</v>
      </c>
      <c r="E4976" s="461" t="s">
        <v>174</v>
      </c>
    </row>
    <row r="4977" spans="1:5" ht="27" x14ac:dyDescent="0.25">
      <c r="A4977" s="508">
        <v>103890</v>
      </c>
      <c r="B4977" s="509" t="s">
        <v>7128</v>
      </c>
      <c r="C4977" s="508" t="s">
        <v>107</v>
      </c>
      <c r="D4977" s="508">
        <v>593.79</v>
      </c>
      <c r="E4977" s="461" t="s">
        <v>174</v>
      </c>
    </row>
    <row r="4978" spans="1:5" ht="40.5" x14ac:dyDescent="0.25">
      <c r="A4978" s="508">
        <v>103891</v>
      </c>
      <c r="B4978" s="509" t="s">
        <v>7129</v>
      </c>
      <c r="C4978" s="508" t="s">
        <v>107</v>
      </c>
      <c r="D4978" s="508">
        <v>57.9</v>
      </c>
      <c r="E4978" s="461" t="s">
        <v>174</v>
      </c>
    </row>
    <row r="4979" spans="1:5" ht="40.5" x14ac:dyDescent="0.25">
      <c r="A4979" s="508">
        <v>103892</v>
      </c>
      <c r="B4979" s="509" t="s">
        <v>7130</v>
      </c>
      <c r="C4979" s="508" t="s">
        <v>107</v>
      </c>
      <c r="D4979" s="508">
        <v>17.89</v>
      </c>
      <c r="E4979" s="461" t="s">
        <v>174</v>
      </c>
    </row>
    <row r="4980" spans="1:5" ht="40.5" x14ac:dyDescent="0.25">
      <c r="A4980" s="508">
        <v>103893</v>
      </c>
      <c r="B4980" s="509" t="s">
        <v>7131</v>
      </c>
      <c r="C4980" s="508" t="s">
        <v>107</v>
      </c>
      <c r="D4980" s="508">
        <v>23.93</v>
      </c>
      <c r="E4980" s="461" t="s">
        <v>174</v>
      </c>
    </row>
    <row r="4981" spans="1:5" ht="40.5" x14ac:dyDescent="0.25">
      <c r="A4981" s="508">
        <v>103894</v>
      </c>
      <c r="B4981" s="509" t="s">
        <v>7132</v>
      </c>
      <c r="C4981" s="508" t="s">
        <v>107</v>
      </c>
      <c r="D4981" s="508">
        <v>28.8</v>
      </c>
      <c r="E4981" s="461" t="s">
        <v>174</v>
      </c>
    </row>
    <row r="4982" spans="1:5" ht="27" x14ac:dyDescent="0.25">
      <c r="A4982" s="508">
        <v>103895</v>
      </c>
      <c r="B4982" s="509" t="s">
        <v>7133</v>
      </c>
      <c r="C4982" s="508" t="s">
        <v>107</v>
      </c>
      <c r="D4982" s="508">
        <v>26.59</v>
      </c>
      <c r="E4982" s="461" t="s">
        <v>174</v>
      </c>
    </row>
    <row r="4983" spans="1:5" ht="27" x14ac:dyDescent="0.25">
      <c r="A4983" s="508">
        <v>103896</v>
      </c>
      <c r="B4983" s="509" t="s">
        <v>7134</v>
      </c>
      <c r="C4983" s="508" t="s">
        <v>107</v>
      </c>
      <c r="D4983" s="508">
        <v>26.59</v>
      </c>
      <c r="E4983" s="461" t="s">
        <v>174</v>
      </c>
    </row>
    <row r="4984" spans="1:5" ht="40.5" x14ac:dyDescent="0.25">
      <c r="A4984" s="508">
        <v>103897</v>
      </c>
      <c r="B4984" s="509" t="s">
        <v>7135</v>
      </c>
      <c r="C4984" s="508" t="s">
        <v>107</v>
      </c>
      <c r="D4984" s="508">
        <v>96.47</v>
      </c>
      <c r="E4984" s="461" t="s">
        <v>174</v>
      </c>
    </row>
    <row r="4985" spans="1:5" ht="27" x14ac:dyDescent="0.25">
      <c r="A4985" s="508">
        <v>103898</v>
      </c>
      <c r="B4985" s="509" t="s">
        <v>7136</v>
      </c>
      <c r="C4985" s="508" t="s">
        <v>107</v>
      </c>
      <c r="D4985" s="508">
        <v>652.91999999999996</v>
      </c>
      <c r="E4985" s="461" t="s">
        <v>174</v>
      </c>
    </row>
    <row r="4986" spans="1:5" ht="40.5" x14ac:dyDescent="0.25">
      <c r="A4986" s="508">
        <v>103899</v>
      </c>
      <c r="B4986" s="509" t="s">
        <v>7137</v>
      </c>
      <c r="C4986" s="508" t="s">
        <v>107</v>
      </c>
      <c r="D4986" s="508">
        <v>36.78</v>
      </c>
      <c r="E4986" s="461" t="s">
        <v>174</v>
      </c>
    </row>
    <row r="4987" spans="1:5" ht="27" x14ac:dyDescent="0.25">
      <c r="A4987" s="508">
        <v>103900</v>
      </c>
      <c r="B4987" s="509" t="s">
        <v>7138</v>
      </c>
      <c r="C4987" s="508" t="s">
        <v>107</v>
      </c>
      <c r="D4987" s="508">
        <v>23.19</v>
      </c>
      <c r="E4987" s="461" t="s">
        <v>174</v>
      </c>
    </row>
    <row r="4988" spans="1:5" ht="27" x14ac:dyDescent="0.25">
      <c r="A4988" s="508">
        <v>103901</v>
      </c>
      <c r="B4988" s="509" t="s">
        <v>7139</v>
      </c>
      <c r="C4988" s="508" t="s">
        <v>107</v>
      </c>
      <c r="D4988" s="508">
        <v>27.14</v>
      </c>
      <c r="E4988" s="461" t="s">
        <v>174</v>
      </c>
    </row>
    <row r="4989" spans="1:5" ht="27" x14ac:dyDescent="0.25">
      <c r="A4989" s="508">
        <v>103902</v>
      </c>
      <c r="B4989" s="509" t="s">
        <v>7140</v>
      </c>
      <c r="C4989" s="508" t="s">
        <v>107</v>
      </c>
      <c r="D4989" s="508">
        <v>40.340000000000003</v>
      </c>
      <c r="E4989" s="461" t="s">
        <v>174</v>
      </c>
    </row>
    <row r="4990" spans="1:5" ht="27" x14ac:dyDescent="0.25">
      <c r="A4990" s="508">
        <v>103903</v>
      </c>
      <c r="B4990" s="509" t="s">
        <v>7141</v>
      </c>
      <c r="C4990" s="508" t="s">
        <v>107</v>
      </c>
      <c r="D4990" s="508">
        <v>54.82</v>
      </c>
      <c r="E4990" s="461" t="s">
        <v>174</v>
      </c>
    </row>
    <row r="4991" spans="1:5" ht="27" x14ac:dyDescent="0.25">
      <c r="A4991" s="508">
        <v>103947</v>
      </c>
      <c r="B4991" s="509" t="s">
        <v>7142</v>
      </c>
      <c r="C4991" s="508" t="s">
        <v>107</v>
      </c>
      <c r="D4991" s="508">
        <v>6.67</v>
      </c>
      <c r="E4991" s="461" t="s">
        <v>174</v>
      </c>
    </row>
    <row r="4992" spans="1:5" ht="27" x14ac:dyDescent="0.25">
      <c r="A4992" s="508">
        <v>103948</v>
      </c>
      <c r="B4992" s="509" t="s">
        <v>7143</v>
      </c>
      <c r="C4992" s="508" t="s">
        <v>107</v>
      </c>
      <c r="D4992" s="508">
        <v>8.3000000000000007</v>
      </c>
      <c r="E4992" s="461" t="s">
        <v>174</v>
      </c>
    </row>
    <row r="4993" spans="1:5" ht="27" x14ac:dyDescent="0.25">
      <c r="A4993" s="508">
        <v>103949</v>
      </c>
      <c r="B4993" s="509" t="s">
        <v>7144</v>
      </c>
      <c r="C4993" s="508" t="s">
        <v>107</v>
      </c>
      <c r="D4993" s="508">
        <v>9.58</v>
      </c>
      <c r="E4993" s="461" t="s">
        <v>174</v>
      </c>
    </row>
    <row r="4994" spans="1:5" ht="27" x14ac:dyDescent="0.25">
      <c r="A4994" s="508">
        <v>103950</v>
      </c>
      <c r="B4994" s="509" t="s">
        <v>7145</v>
      </c>
      <c r="C4994" s="508" t="s">
        <v>107</v>
      </c>
      <c r="D4994" s="508">
        <v>11.32</v>
      </c>
      <c r="E4994" s="461" t="s">
        <v>174</v>
      </c>
    </row>
    <row r="4995" spans="1:5" ht="27" x14ac:dyDescent="0.25">
      <c r="A4995" s="508">
        <v>103951</v>
      </c>
      <c r="B4995" s="509" t="s">
        <v>7146</v>
      </c>
      <c r="C4995" s="508" t="s">
        <v>107</v>
      </c>
      <c r="D4995" s="508">
        <v>15.45</v>
      </c>
      <c r="E4995" s="461" t="s">
        <v>174</v>
      </c>
    </row>
    <row r="4996" spans="1:5" ht="27" x14ac:dyDescent="0.25">
      <c r="A4996" s="508">
        <v>103952</v>
      </c>
      <c r="B4996" s="509" t="s">
        <v>7147</v>
      </c>
      <c r="C4996" s="508" t="s">
        <v>107</v>
      </c>
      <c r="D4996" s="508">
        <v>6.12</v>
      </c>
      <c r="E4996" s="461" t="s">
        <v>174</v>
      </c>
    </row>
    <row r="4997" spans="1:5" ht="27" x14ac:dyDescent="0.25">
      <c r="A4997" s="508">
        <v>103953</v>
      </c>
      <c r="B4997" s="509" t="s">
        <v>7148</v>
      </c>
      <c r="C4997" s="508" t="s">
        <v>107</v>
      </c>
      <c r="D4997" s="508">
        <v>7.66</v>
      </c>
      <c r="E4997" s="461" t="s">
        <v>174</v>
      </c>
    </row>
    <row r="4998" spans="1:5" ht="27" x14ac:dyDescent="0.25">
      <c r="A4998" s="508">
        <v>103954</v>
      </c>
      <c r="B4998" s="509" t="s">
        <v>7149</v>
      </c>
      <c r="C4998" s="508" t="s">
        <v>107</v>
      </c>
      <c r="D4998" s="508">
        <v>8.98</v>
      </c>
      <c r="E4998" s="461" t="s">
        <v>174</v>
      </c>
    </row>
    <row r="4999" spans="1:5" ht="27" x14ac:dyDescent="0.25">
      <c r="A4999" s="508">
        <v>103955</v>
      </c>
      <c r="B4999" s="509" t="s">
        <v>7150</v>
      </c>
      <c r="C4999" s="508" t="s">
        <v>107</v>
      </c>
      <c r="D4999" s="508">
        <v>10.51</v>
      </c>
      <c r="E4999" s="461" t="s">
        <v>174</v>
      </c>
    </row>
    <row r="5000" spans="1:5" ht="27" x14ac:dyDescent="0.25">
      <c r="A5000" s="508">
        <v>103956</v>
      </c>
      <c r="B5000" s="509" t="s">
        <v>7151</v>
      </c>
      <c r="C5000" s="508" t="s">
        <v>107</v>
      </c>
      <c r="D5000" s="508">
        <v>14.49</v>
      </c>
      <c r="E5000" s="461" t="s">
        <v>174</v>
      </c>
    </row>
    <row r="5001" spans="1:5" ht="27" x14ac:dyDescent="0.25">
      <c r="A5001" s="508">
        <v>103957</v>
      </c>
      <c r="B5001" s="509" t="s">
        <v>7152</v>
      </c>
      <c r="C5001" s="508" t="s">
        <v>107</v>
      </c>
      <c r="D5001" s="508">
        <v>5.07</v>
      </c>
      <c r="E5001" s="461" t="s">
        <v>174</v>
      </c>
    </row>
    <row r="5002" spans="1:5" ht="27" x14ac:dyDescent="0.25">
      <c r="A5002" s="508">
        <v>103958</v>
      </c>
      <c r="B5002" s="509" t="s">
        <v>7153</v>
      </c>
      <c r="C5002" s="508" t="s">
        <v>107</v>
      </c>
      <c r="D5002" s="508">
        <v>10.14</v>
      </c>
      <c r="E5002" s="461" t="s">
        <v>174</v>
      </c>
    </row>
    <row r="5003" spans="1:5" ht="27" x14ac:dyDescent="0.25">
      <c r="A5003" s="508">
        <v>103959</v>
      </c>
      <c r="B5003" s="509" t="s">
        <v>7154</v>
      </c>
      <c r="C5003" s="508" t="s">
        <v>107</v>
      </c>
      <c r="D5003" s="508">
        <v>15.04</v>
      </c>
      <c r="E5003" s="461" t="s">
        <v>174</v>
      </c>
    </row>
    <row r="5004" spans="1:5" ht="27" x14ac:dyDescent="0.25">
      <c r="A5004" s="508">
        <v>103962</v>
      </c>
      <c r="B5004" s="509" t="s">
        <v>7155</v>
      </c>
      <c r="C5004" s="508" t="s">
        <v>107</v>
      </c>
      <c r="D5004" s="508">
        <v>6.49</v>
      </c>
      <c r="E5004" s="461" t="s">
        <v>174</v>
      </c>
    </row>
    <row r="5005" spans="1:5" ht="27" x14ac:dyDescent="0.25">
      <c r="A5005" s="508">
        <v>103964</v>
      </c>
      <c r="B5005" s="509" t="s">
        <v>7156</v>
      </c>
      <c r="C5005" s="508" t="s">
        <v>107</v>
      </c>
      <c r="D5005" s="508">
        <v>8.23</v>
      </c>
      <c r="E5005" s="461" t="s">
        <v>174</v>
      </c>
    </row>
    <row r="5006" spans="1:5" ht="27" x14ac:dyDescent="0.25">
      <c r="A5006" s="508">
        <v>103966</v>
      </c>
      <c r="B5006" s="509" t="s">
        <v>7157</v>
      </c>
      <c r="C5006" s="508" t="s">
        <v>107</v>
      </c>
      <c r="D5006" s="508">
        <v>9.7200000000000006</v>
      </c>
      <c r="E5006" s="461" t="s">
        <v>174</v>
      </c>
    </row>
    <row r="5007" spans="1:5" ht="27" x14ac:dyDescent="0.25">
      <c r="A5007" s="508">
        <v>103967</v>
      </c>
      <c r="B5007" s="509" t="s">
        <v>7158</v>
      </c>
      <c r="C5007" s="508" t="s">
        <v>107</v>
      </c>
      <c r="D5007" s="508">
        <v>11.65</v>
      </c>
      <c r="E5007" s="461" t="s">
        <v>174</v>
      </c>
    </row>
    <row r="5008" spans="1:5" ht="27" x14ac:dyDescent="0.25">
      <c r="A5008" s="508">
        <v>103968</v>
      </c>
      <c r="B5008" s="509" t="s">
        <v>7159</v>
      </c>
      <c r="C5008" s="508" t="s">
        <v>107</v>
      </c>
      <c r="D5008" s="508">
        <v>16.43</v>
      </c>
      <c r="E5008" s="461" t="s">
        <v>174</v>
      </c>
    </row>
    <row r="5009" spans="1:5" ht="27" x14ac:dyDescent="0.25">
      <c r="A5009" s="508">
        <v>103969</v>
      </c>
      <c r="B5009" s="509" t="s">
        <v>7160</v>
      </c>
      <c r="C5009" s="508" t="s">
        <v>107</v>
      </c>
      <c r="D5009" s="508">
        <v>19.350000000000001</v>
      </c>
      <c r="E5009" s="461" t="s">
        <v>174</v>
      </c>
    </row>
    <row r="5010" spans="1:5" ht="27" x14ac:dyDescent="0.25">
      <c r="A5010" s="508">
        <v>103971</v>
      </c>
      <c r="B5010" s="509" t="s">
        <v>7161</v>
      </c>
      <c r="C5010" s="508" t="s">
        <v>107</v>
      </c>
      <c r="D5010" s="508">
        <v>24.55</v>
      </c>
      <c r="E5010" s="461" t="s">
        <v>174</v>
      </c>
    </row>
    <row r="5011" spans="1:5" ht="27" x14ac:dyDescent="0.25">
      <c r="A5011" s="508">
        <v>103972</v>
      </c>
      <c r="B5011" s="509" t="s">
        <v>7162</v>
      </c>
      <c r="C5011" s="508" t="s">
        <v>107</v>
      </c>
      <c r="D5011" s="508">
        <v>28.43</v>
      </c>
      <c r="E5011" s="461" t="s">
        <v>174</v>
      </c>
    </row>
    <row r="5012" spans="1:5" ht="27" x14ac:dyDescent="0.25">
      <c r="A5012" s="508">
        <v>103974</v>
      </c>
      <c r="B5012" s="509" t="s">
        <v>7163</v>
      </c>
      <c r="C5012" s="508" t="s">
        <v>107</v>
      </c>
      <c r="D5012" s="508">
        <v>10.62</v>
      </c>
      <c r="E5012" s="461" t="s">
        <v>174</v>
      </c>
    </row>
    <row r="5013" spans="1:5" ht="27" x14ac:dyDescent="0.25">
      <c r="A5013" s="508">
        <v>103975</v>
      </c>
      <c r="B5013" s="509" t="s">
        <v>7164</v>
      </c>
      <c r="C5013" s="508" t="s">
        <v>107</v>
      </c>
      <c r="D5013" s="508">
        <v>17.86</v>
      </c>
      <c r="E5013" s="461" t="s">
        <v>174</v>
      </c>
    </row>
    <row r="5014" spans="1:5" ht="27" x14ac:dyDescent="0.25">
      <c r="A5014" s="508">
        <v>103976</v>
      </c>
      <c r="B5014" s="509" t="s">
        <v>7165</v>
      </c>
      <c r="C5014" s="508" t="s">
        <v>107</v>
      </c>
      <c r="D5014" s="508">
        <v>25.53</v>
      </c>
      <c r="E5014" s="461" t="s">
        <v>174</v>
      </c>
    </row>
    <row r="5015" spans="1:5" ht="27" x14ac:dyDescent="0.25">
      <c r="A5015" s="508">
        <v>103980</v>
      </c>
      <c r="B5015" s="509" t="s">
        <v>7166</v>
      </c>
      <c r="C5015" s="508" t="s">
        <v>107</v>
      </c>
      <c r="D5015" s="508">
        <v>18.14</v>
      </c>
      <c r="E5015" s="461" t="s">
        <v>174</v>
      </c>
    </row>
    <row r="5016" spans="1:5" ht="27" x14ac:dyDescent="0.25">
      <c r="A5016" s="508">
        <v>103981</v>
      </c>
      <c r="B5016" s="509" t="s">
        <v>7167</v>
      </c>
      <c r="C5016" s="508" t="s">
        <v>107</v>
      </c>
      <c r="D5016" s="508">
        <v>18.190000000000001</v>
      </c>
      <c r="E5016" s="461" t="s">
        <v>174</v>
      </c>
    </row>
    <row r="5017" spans="1:5" ht="27" x14ac:dyDescent="0.25">
      <c r="A5017" s="508">
        <v>103982</v>
      </c>
      <c r="B5017" s="509" t="s">
        <v>7168</v>
      </c>
      <c r="C5017" s="508" t="s">
        <v>107</v>
      </c>
      <c r="D5017" s="508">
        <v>24.15</v>
      </c>
      <c r="E5017" s="461" t="s">
        <v>174</v>
      </c>
    </row>
    <row r="5018" spans="1:5" ht="27" x14ac:dyDescent="0.25">
      <c r="A5018" s="508">
        <v>103983</v>
      </c>
      <c r="B5018" s="509" t="s">
        <v>7169</v>
      </c>
      <c r="C5018" s="508" t="s">
        <v>107</v>
      </c>
      <c r="D5018" s="508">
        <v>17.66</v>
      </c>
      <c r="E5018" s="461" t="s">
        <v>174</v>
      </c>
    </row>
    <row r="5019" spans="1:5" ht="27" x14ac:dyDescent="0.25">
      <c r="A5019" s="508">
        <v>103984</v>
      </c>
      <c r="B5019" s="509" t="s">
        <v>7170</v>
      </c>
      <c r="C5019" s="508" t="s">
        <v>107</v>
      </c>
      <c r="D5019" s="508">
        <v>20.23</v>
      </c>
      <c r="E5019" s="461" t="s">
        <v>174</v>
      </c>
    </row>
    <row r="5020" spans="1:5" ht="27" x14ac:dyDescent="0.25">
      <c r="A5020" s="508">
        <v>103985</v>
      </c>
      <c r="B5020" s="509" t="s">
        <v>7171</v>
      </c>
      <c r="C5020" s="508" t="s">
        <v>107</v>
      </c>
      <c r="D5020" s="508">
        <v>22.68</v>
      </c>
      <c r="E5020" s="461" t="s">
        <v>174</v>
      </c>
    </row>
    <row r="5021" spans="1:5" ht="27" x14ac:dyDescent="0.25">
      <c r="A5021" s="508">
        <v>103986</v>
      </c>
      <c r="B5021" s="509" t="s">
        <v>7172</v>
      </c>
      <c r="C5021" s="508" t="s">
        <v>107</v>
      </c>
      <c r="D5021" s="508">
        <v>28.14</v>
      </c>
      <c r="E5021" s="461" t="s">
        <v>174</v>
      </c>
    </row>
    <row r="5022" spans="1:5" ht="27" x14ac:dyDescent="0.25">
      <c r="A5022" s="508">
        <v>103987</v>
      </c>
      <c r="B5022" s="509" t="s">
        <v>7173</v>
      </c>
      <c r="C5022" s="508" t="s">
        <v>107</v>
      </c>
      <c r="D5022" s="508">
        <v>24.44</v>
      </c>
      <c r="E5022" s="461" t="s">
        <v>174</v>
      </c>
    </row>
    <row r="5023" spans="1:5" ht="27" x14ac:dyDescent="0.25">
      <c r="A5023" s="508">
        <v>103988</v>
      </c>
      <c r="B5023" s="509" t="s">
        <v>7174</v>
      </c>
      <c r="C5023" s="508" t="s">
        <v>107</v>
      </c>
      <c r="D5023" s="508">
        <v>13.07</v>
      </c>
      <c r="E5023" s="461" t="s">
        <v>174</v>
      </c>
    </row>
    <row r="5024" spans="1:5" ht="27" x14ac:dyDescent="0.25">
      <c r="A5024" s="508">
        <v>103990</v>
      </c>
      <c r="B5024" s="509" t="s">
        <v>7175</v>
      </c>
      <c r="C5024" s="508" t="s">
        <v>107</v>
      </c>
      <c r="D5024" s="508">
        <v>34.31</v>
      </c>
      <c r="E5024" s="461" t="s">
        <v>174</v>
      </c>
    </row>
    <row r="5025" spans="1:5" ht="27" x14ac:dyDescent="0.25">
      <c r="A5025" s="508">
        <v>103991</v>
      </c>
      <c r="B5025" s="509" t="s">
        <v>7176</v>
      </c>
      <c r="C5025" s="508" t="s">
        <v>107</v>
      </c>
      <c r="D5025" s="508">
        <v>18.29</v>
      </c>
      <c r="E5025" s="461" t="s">
        <v>174</v>
      </c>
    </row>
    <row r="5026" spans="1:5" ht="27" x14ac:dyDescent="0.25">
      <c r="A5026" s="508">
        <v>103992</v>
      </c>
      <c r="B5026" s="509" t="s">
        <v>7177</v>
      </c>
      <c r="C5026" s="508" t="s">
        <v>107</v>
      </c>
      <c r="D5026" s="508">
        <v>11.79</v>
      </c>
      <c r="E5026" s="461" t="s">
        <v>174</v>
      </c>
    </row>
    <row r="5027" spans="1:5" ht="27" x14ac:dyDescent="0.25">
      <c r="A5027" s="508">
        <v>103993</v>
      </c>
      <c r="B5027" s="509" t="s">
        <v>7178</v>
      </c>
      <c r="C5027" s="508" t="s">
        <v>107</v>
      </c>
      <c r="D5027" s="508">
        <v>10.220000000000001</v>
      </c>
      <c r="E5027" s="461" t="s">
        <v>174</v>
      </c>
    </row>
    <row r="5028" spans="1:5" ht="27" x14ac:dyDescent="0.25">
      <c r="A5028" s="508">
        <v>103994</v>
      </c>
      <c r="B5028" s="509" t="s">
        <v>7179</v>
      </c>
      <c r="C5028" s="508" t="s">
        <v>107</v>
      </c>
      <c r="D5028" s="508">
        <v>14.32</v>
      </c>
      <c r="E5028" s="461" t="s">
        <v>174</v>
      </c>
    </row>
    <row r="5029" spans="1:5" ht="27" x14ac:dyDescent="0.25">
      <c r="A5029" s="508">
        <v>103995</v>
      </c>
      <c r="B5029" s="509" t="s">
        <v>7180</v>
      </c>
      <c r="C5029" s="508" t="s">
        <v>107</v>
      </c>
      <c r="D5029" s="508">
        <v>15.49</v>
      </c>
      <c r="E5029" s="461" t="s">
        <v>174</v>
      </c>
    </row>
    <row r="5030" spans="1:5" ht="27" x14ac:dyDescent="0.25">
      <c r="A5030" s="508">
        <v>103996</v>
      </c>
      <c r="B5030" s="509" t="s">
        <v>7181</v>
      </c>
      <c r="C5030" s="508" t="s">
        <v>107</v>
      </c>
      <c r="D5030" s="508">
        <v>39.270000000000003</v>
      </c>
      <c r="E5030" s="461" t="s">
        <v>174</v>
      </c>
    </row>
    <row r="5031" spans="1:5" ht="27" x14ac:dyDescent="0.25">
      <c r="A5031" s="508">
        <v>103997</v>
      </c>
      <c r="B5031" s="509" t="s">
        <v>7182</v>
      </c>
      <c r="C5031" s="508" t="s">
        <v>107</v>
      </c>
      <c r="D5031" s="508">
        <v>38.36</v>
      </c>
      <c r="E5031" s="461" t="s">
        <v>174</v>
      </c>
    </row>
    <row r="5032" spans="1:5" ht="27" x14ac:dyDescent="0.25">
      <c r="A5032" s="508">
        <v>103998</v>
      </c>
      <c r="B5032" s="509" t="s">
        <v>7183</v>
      </c>
      <c r="C5032" s="508" t="s">
        <v>107</v>
      </c>
      <c r="D5032" s="508">
        <v>14.73</v>
      </c>
      <c r="E5032" s="461" t="s">
        <v>174</v>
      </c>
    </row>
    <row r="5033" spans="1:5" ht="27" x14ac:dyDescent="0.25">
      <c r="A5033" s="508">
        <v>103999</v>
      </c>
      <c r="B5033" s="509" t="s">
        <v>7184</v>
      </c>
      <c r="C5033" s="508" t="s">
        <v>107</v>
      </c>
      <c r="D5033" s="508">
        <v>12.79</v>
      </c>
      <c r="E5033" s="461" t="s">
        <v>174</v>
      </c>
    </row>
    <row r="5034" spans="1:5" ht="27" x14ac:dyDescent="0.25">
      <c r="A5034" s="508">
        <v>104000</v>
      </c>
      <c r="B5034" s="509" t="s">
        <v>7185</v>
      </c>
      <c r="C5034" s="508" t="s">
        <v>107</v>
      </c>
      <c r="D5034" s="508">
        <v>27.66</v>
      </c>
      <c r="E5034" s="461" t="s">
        <v>174</v>
      </c>
    </row>
    <row r="5035" spans="1:5" ht="27" x14ac:dyDescent="0.25">
      <c r="A5035" s="508">
        <v>104001</v>
      </c>
      <c r="B5035" s="509" t="s">
        <v>7186</v>
      </c>
      <c r="C5035" s="508" t="s">
        <v>107</v>
      </c>
      <c r="D5035" s="508">
        <v>14.09</v>
      </c>
      <c r="E5035" s="461" t="s">
        <v>174</v>
      </c>
    </row>
    <row r="5036" spans="1:5" ht="27" x14ac:dyDescent="0.25">
      <c r="A5036" s="508">
        <v>104002</v>
      </c>
      <c r="B5036" s="509" t="s">
        <v>7187</v>
      </c>
      <c r="C5036" s="508" t="s">
        <v>107</v>
      </c>
      <c r="D5036" s="508">
        <v>17.579999999999998</v>
      </c>
      <c r="E5036" s="461" t="s">
        <v>174</v>
      </c>
    </row>
    <row r="5037" spans="1:5" ht="27" x14ac:dyDescent="0.25">
      <c r="A5037" s="508">
        <v>104003</v>
      </c>
      <c r="B5037" s="509" t="s">
        <v>7188</v>
      </c>
      <c r="C5037" s="508" t="s">
        <v>107</v>
      </c>
      <c r="D5037" s="508">
        <v>14.92</v>
      </c>
      <c r="E5037" s="461" t="s">
        <v>174</v>
      </c>
    </row>
    <row r="5038" spans="1:5" ht="27" x14ac:dyDescent="0.25">
      <c r="A5038" s="508">
        <v>104004</v>
      </c>
      <c r="B5038" s="509" t="s">
        <v>7189</v>
      </c>
      <c r="C5038" s="508" t="s">
        <v>107</v>
      </c>
      <c r="D5038" s="508">
        <v>30.4</v>
      </c>
      <c r="E5038" s="461" t="s">
        <v>174</v>
      </c>
    </row>
    <row r="5039" spans="1:5" ht="27" x14ac:dyDescent="0.25">
      <c r="A5039" s="508">
        <v>104005</v>
      </c>
      <c r="B5039" s="509" t="s">
        <v>7190</v>
      </c>
      <c r="C5039" s="508" t="s">
        <v>107</v>
      </c>
      <c r="D5039" s="508">
        <v>36.65</v>
      </c>
      <c r="E5039" s="461" t="s">
        <v>174</v>
      </c>
    </row>
    <row r="5040" spans="1:5" ht="27" x14ac:dyDescent="0.25">
      <c r="A5040" s="508">
        <v>104006</v>
      </c>
      <c r="B5040" s="509" t="s">
        <v>7191</v>
      </c>
      <c r="C5040" s="508" t="s">
        <v>107</v>
      </c>
      <c r="D5040" s="508">
        <v>25.57</v>
      </c>
      <c r="E5040" s="461" t="s">
        <v>174</v>
      </c>
    </row>
    <row r="5041" spans="1:5" ht="27" x14ac:dyDescent="0.25">
      <c r="A5041" s="508">
        <v>104007</v>
      </c>
      <c r="B5041" s="509" t="s">
        <v>7192</v>
      </c>
      <c r="C5041" s="508" t="s">
        <v>107</v>
      </c>
      <c r="D5041" s="508">
        <v>22.4</v>
      </c>
      <c r="E5041" s="461" t="s">
        <v>174</v>
      </c>
    </row>
    <row r="5042" spans="1:5" ht="27" x14ac:dyDescent="0.25">
      <c r="A5042" s="508">
        <v>104008</v>
      </c>
      <c r="B5042" s="509" t="s">
        <v>7193</v>
      </c>
      <c r="C5042" s="508" t="s">
        <v>107</v>
      </c>
      <c r="D5042" s="508">
        <v>32.03</v>
      </c>
      <c r="E5042" s="461" t="s">
        <v>174</v>
      </c>
    </row>
    <row r="5043" spans="1:5" ht="27" x14ac:dyDescent="0.25">
      <c r="A5043" s="508">
        <v>104009</v>
      </c>
      <c r="B5043" s="509" t="s">
        <v>7194</v>
      </c>
      <c r="C5043" s="508" t="s">
        <v>107</v>
      </c>
      <c r="D5043" s="508">
        <v>13.64</v>
      </c>
      <c r="E5043" s="461" t="s">
        <v>174</v>
      </c>
    </row>
    <row r="5044" spans="1:5" ht="27" x14ac:dyDescent="0.25">
      <c r="A5044" s="508">
        <v>104011</v>
      </c>
      <c r="B5044" s="509" t="s">
        <v>7195</v>
      </c>
      <c r="C5044" s="508" t="s">
        <v>107</v>
      </c>
      <c r="D5044" s="508">
        <v>25.85</v>
      </c>
      <c r="E5044" s="461" t="s">
        <v>174</v>
      </c>
    </row>
    <row r="5045" spans="1:5" ht="27" x14ac:dyDescent="0.25">
      <c r="A5045" s="508">
        <v>104012</v>
      </c>
      <c r="B5045" s="509" t="s">
        <v>7196</v>
      </c>
      <c r="C5045" s="508" t="s">
        <v>107</v>
      </c>
      <c r="D5045" s="508">
        <v>23.94</v>
      </c>
      <c r="E5045" s="461" t="s">
        <v>174</v>
      </c>
    </row>
    <row r="5046" spans="1:5" ht="27" x14ac:dyDescent="0.25">
      <c r="A5046" s="508">
        <v>104014</v>
      </c>
      <c r="B5046" s="509" t="s">
        <v>7197</v>
      </c>
      <c r="C5046" s="508" t="s">
        <v>107</v>
      </c>
      <c r="D5046" s="508">
        <v>11.05</v>
      </c>
      <c r="E5046" s="461" t="s">
        <v>174</v>
      </c>
    </row>
    <row r="5047" spans="1:5" ht="27" x14ac:dyDescent="0.25">
      <c r="A5047" s="508">
        <v>104015</v>
      </c>
      <c r="B5047" s="509" t="s">
        <v>7198</v>
      </c>
      <c r="C5047" s="508" t="s">
        <v>107</v>
      </c>
      <c r="D5047" s="508">
        <v>16.739999999999998</v>
      </c>
      <c r="E5047" s="461" t="s">
        <v>174</v>
      </c>
    </row>
    <row r="5048" spans="1:5" ht="27" x14ac:dyDescent="0.25">
      <c r="A5048" s="508">
        <v>104016</v>
      </c>
      <c r="B5048" s="509" t="s">
        <v>7199</v>
      </c>
      <c r="C5048" s="508" t="s">
        <v>107</v>
      </c>
      <c r="D5048" s="508">
        <v>22.26</v>
      </c>
      <c r="E5048" s="461" t="s">
        <v>174</v>
      </c>
    </row>
    <row r="5049" spans="1:5" ht="27" x14ac:dyDescent="0.25">
      <c r="A5049" s="508">
        <v>104017</v>
      </c>
      <c r="B5049" s="509" t="s">
        <v>7200</v>
      </c>
      <c r="C5049" s="508" t="s">
        <v>107</v>
      </c>
      <c r="D5049" s="508">
        <v>42.15</v>
      </c>
      <c r="E5049" s="461" t="s">
        <v>174</v>
      </c>
    </row>
    <row r="5050" spans="1:5" ht="27" x14ac:dyDescent="0.25">
      <c r="A5050" s="508">
        <v>104018</v>
      </c>
      <c r="B5050" s="509" t="s">
        <v>7201</v>
      </c>
      <c r="C5050" s="508" t="s">
        <v>107</v>
      </c>
      <c r="D5050" s="508">
        <v>21.11</v>
      </c>
      <c r="E5050" s="461" t="s">
        <v>174</v>
      </c>
    </row>
    <row r="5051" spans="1:5" ht="27" x14ac:dyDescent="0.25">
      <c r="A5051" s="508">
        <v>104019</v>
      </c>
      <c r="B5051" s="509" t="s">
        <v>7202</v>
      </c>
      <c r="C5051" s="508" t="s">
        <v>107</v>
      </c>
      <c r="D5051" s="508">
        <v>40.79</v>
      </c>
      <c r="E5051" s="461" t="s">
        <v>174</v>
      </c>
    </row>
    <row r="5052" spans="1:5" ht="27" x14ac:dyDescent="0.25">
      <c r="A5052" s="508">
        <v>104020</v>
      </c>
      <c r="B5052" s="509" t="s">
        <v>7203</v>
      </c>
      <c r="C5052" s="508" t="s">
        <v>107</v>
      </c>
      <c r="D5052" s="508">
        <v>49.63</v>
      </c>
      <c r="E5052" s="461" t="s">
        <v>174</v>
      </c>
    </row>
    <row r="5053" spans="1:5" ht="27" x14ac:dyDescent="0.25">
      <c r="A5053" s="508">
        <v>104022</v>
      </c>
      <c r="B5053" s="509" t="s">
        <v>7204</v>
      </c>
      <c r="C5053" s="508" t="s">
        <v>107</v>
      </c>
      <c r="D5053" s="508">
        <v>62.62</v>
      </c>
      <c r="E5053" s="461" t="s">
        <v>174</v>
      </c>
    </row>
    <row r="5054" spans="1:5" ht="27" x14ac:dyDescent="0.25">
      <c r="A5054" s="508">
        <v>104023</v>
      </c>
      <c r="B5054" s="509" t="s">
        <v>7205</v>
      </c>
      <c r="C5054" s="508" t="s">
        <v>107</v>
      </c>
      <c r="D5054" s="508">
        <v>37.68</v>
      </c>
      <c r="E5054" s="461" t="s">
        <v>174</v>
      </c>
    </row>
    <row r="5055" spans="1:5" ht="27" x14ac:dyDescent="0.25">
      <c r="A5055" s="508">
        <v>104024</v>
      </c>
      <c r="B5055" s="509" t="s">
        <v>7206</v>
      </c>
      <c r="C5055" s="508" t="s">
        <v>107</v>
      </c>
      <c r="D5055" s="508">
        <v>37.35</v>
      </c>
      <c r="E5055" s="461" t="s">
        <v>174</v>
      </c>
    </row>
    <row r="5056" spans="1:5" ht="27" x14ac:dyDescent="0.25">
      <c r="A5056" s="508">
        <v>104025</v>
      </c>
      <c r="B5056" s="509" t="s">
        <v>7207</v>
      </c>
      <c r="C5056" s="508" t="s">
        <v>107</v>
      </c>
      <c r="D5056" s="508">
        <v>26.49</v>
      </c>
      <c r="E5056" s="461" t="s">
        <v>174</v>
      </c>
    </row>
    <row r="5057" spans="1:5" ht="27" x14ac:dyDescent="0.25">
      <c r="A5057" s="508">
        <v>104026</v>
      </c>
      <c r="B5057" s="509" t="s">
        <v>7208</v>
      </c>
      <c r="C5057" s="508" t="s">
        <v>107</v>
      </c>
      <c r="D5057" s="508">
        <v>37.46</v>
      </c>
      <c r="E5057" s="461" t="s">
        <v>174</v>
      </c>
    </row>
    <row r="5058" spans="1:5" ht="27" x14ac:dyDescent="0.25">
      <c r="A5058" s="508">
        <v>104027</v>
      </c>
      <c r="B5058" s="509" t="s">
        <v>7209</v>
      </c>
      <c r="C5058" s="508" t="s">
        <v>107</v>
      </c>
      <c r="D5058" s="508">
        <v>55.33</v>
      </c>
      <c r="E5058" s="461" t="s">
        <v>174</v>
      </c>
    </row>
    <row r="5059" spans="1:5" ht="27" x14ac:dyDescent="0.25">
      <c r="A5059" s="508">
        <v>104028</v>
      </c>
      <c r="B5059" s="509" t="s">
        <v>7210</v>
      </c>
      <c r="C5059" s="508" t="s">
        <v>107</v>
      </c>
      <c r="D5059" s="508">
        <v>109.85</v>
      </c>
      <c r="E5059" s="461" t="s">
        <v>174</v>
      </c>
    </row>
    <row r="5060" spans="1:5" ht="27" x14ac:dyDescent="0.25">
      <c r="A5060" s="508">
        <v>104029</v>
      </c>
      <c r="B5060" s="509" t="s">
        <v>7211</v>
      </c>
      <c r="C5060" s="508" t="s">
        <v>107</v>
      </c>
      <c r="D5060" s="508">
        <v>58.43</v>
      </c>
      <c r="E5060" s="461" t="s">
        <v>174</v>
      </c>
    </row>
    <row r="5061" spans="1:5" ht="27" x14ac:dyDescent="0.25">
      <c r="A5061" s="508">
        <v>104030</v>
      </c>
      <c r="B5061" s="509" t="s">
        <v>7212</v>
      </c>
      <c r="C5061" s="508" t="s">
        <v>107</v>
      </c>
      <c r="D5061" s="510">
        <v>55.75</v>
      </c>
      <c r="E5061" s="461" t="s">
        <v>174</v>
      </c>
    </row>
    <row r="5062" spans="1:5" ht="27" x14ac:dyDescent="0.25">
      <c r="A5062" s="508">
        <v>104159</v>
      </c>
      <c r="B5062" s="509" t="s">
        <v>7213</v>
      </c>
      <c r="C5062" s="508" t="s">
        <v>107</v>
      </c>
      <c r="D5062" s="508">
        <v>36.71</v>
      </c>
      <c r="E5062" s="461" t="s">
        <v>174</v>
      </c>
    </row>
    <row r="5063" spans="1:5" ht="27" x14ac:dyDescent="0.25">
      <c r="A5063" s="508">
        <v>104167</v>
      </c>
      <c r="B5063" s="509" t="s">
        <v>7214</v>
      </c>
      <c r="C5063" s="508" t="s">
        <v>107</v>
      </c>
      <c r="D5063" s="508">
        <v>107.69</v>
      </c>
      <c r="E5063" s="461" t="s">
        <v>174</v>
      </c>
    </row>
    <row r="5064" spans="1:5" ht="27" x14ac:dyDescent="0.25">
      <c r="A5064" s="508">
        <v>104168</v>
      </c>
      <c r="B5064" s="509" t="s">
        <v>7215</v>
      </c>
      <c r="C5064" s="508" t="s">
        <v>107</v>
      </c>
      <c r="D5064" s="508">
        <v>105.06</v>
      </c>
      <c r="E5064" s="461" t="s">
        <v>174</v>
      </c>
    </row>
    <row r="5065" spans="1:5" ht="27" x14ac:dyDescent="0.25">
      <c r="A5065" s="508">
        <v>104169</v>
      </c>
      <c r="B5065" s="509" t="s">
        <v>7216</v>
      </c>
      <c r="C5065" s="508" t="s">
        <v>107</v>
      </c>
      <c r="D5065" s="508">
        <v>128.16</v>
      </c>
      <c r="E5065" s="461" t="s">
        <v>174</v>
      </c>
    </row>
    <row r="5066" spans="1:5" ht="27" x14ac:dyDescent="0.25">
      <c r="A5066" s="508">
        <v>104170</v>
      </c>
      <c r="B5066" s="509" t="s">
        <v>7217</v>
      </c>
      <c r="C5066" s="508" t="s">
        <v>107</v>
      </c>
      <c r="D5066" s="508">
        <v>62.7</v>
      </c>
      <c r="E5066" s="461" t="s">
        <v>174</v>
      </c>
    </row>
    <row r="5067" spans="1:5" ht="27" x14ac:dyDescent="0.25">
      <c r="A5067" s="508">
        <v>104171</v>
      </c>
      <c r="B5067" s="509" t="s">
        <v>7218</v>
      </c>
      <c r="C5067" s="508" t="s">
        <v>107</v>
      </c>
      <c r="D5067" s="508">
        <v>82.29</v>
      </c>
      <c r="E5067" s="461" t="s">
        <v>174</v>
      </c>
    </row>
    <row r="5068" spans="1:5" ht="27" x14ac:dyDescent="0.25">
      <c r="A5068" s="508">
        <v>104172</v>
      </c>
      <c r="B5068" s="509" t="s">
        <v>7219</v>
      </c>
      <c r="C5068" s="508" t="s">
        <v>107</v>
      </c>
      <c r="D5068" s="508">
        <v>230.7</v>
      </c>
      <c r="E5068" s="461" t="s">
        <v>174</v>
      </c>
    </row>
    <row r="5069" spans="1:5" ht="27" x14ac:dyDescent="0.25">
      <c r="A5069" s="508">
        <v>104173</v>
      </c>
      <c r="B5069" s="509" t="s">
        <v>7220</v>
      </c>
      <c r="C5069" s="508" t="s">
        <v>107</v>
      </c>
      <c r="D5069" s="508">
        <v>74.14</v>
      </c>
      <c r="E5069" s="461" t="s">
        <v>174</v>
      </c>
    </row>
    <row r="5070" spans="1:5" ht="27" x14ac:dyDescent="0.25">
      <c r="A5070" s="508">
        <v>104174</v>
      </c>
      <c r="B5070" s="509" t="s">
        <v>7221</v>
      </c>
      <c r="C5070" s="508" t="s">
        <v>107</v>
      </c>
      <c r="D5070" s="508">
        <v>163.4</v>
      </c>
      <c r="E5070" s="461" t="s">
        <v>174</v>
      </c>
    </row>
    <row r="5071" spans="1:5" ht="27" x14ac:dyDescent="0.25">
      <c r="A5071" s="508">
        <v>104175</v>
      </c>
      <c r="B5071" s="509" t="s">
        <v>7222</v>
      </c>
      <c r="C5071" s="508" t="s">
        <v>107</v>
      </c>
      <c r="D5071" s="508">
        <v>123.92</v>
      </c>
      <c r="E5071" s="461" t="s">
        <v>174</v>
      </c>
    </row>
    <row r="5072" spans="1:5" ht="27" x14ac:dyDescent="0.25">
      <c r="A5072" s="508">
        <v>104176</v>
      </c>
      <c r="B5072" s="509" t="s">
        <v>7223</v>
      </c>
      <c r="C5072" s="508" t="s">
        <v>107</v>
      </c>
      <c r="D5072" s="508">
        <v>215.5</v>
      </c>
      <c r="E5072" s="461" t="s">
        <v>174</v>
      </c>
    </row>
    <row r="5073" spans="1:5" ht="27" x14ac:dyDescent="0.25">
      <c r="A5073" s="508">
        <v>104177</v>
      </c>
      <c r="B5073" s="509" t="s">
        <v>7224</v>
      </c>
      <c r="C5073" s="508" t="s">
        <v>107</v>
      </c>
      <c r="D5073" s="508">
        <v>159.49</v>
      </c>
      <c r="E5073" s="461" t="s">
        <v>174</v>
      </c>
    </row>
    <row r="5074" spans="1:5" ht="27" x14ac:dyDescent="0.25">
      <c r="A5074" s="508">
        <v>104178</v>
      </c>
      <c r="B5074" s="509" t="s">
        <v>7225</v>
      </c>
      <c r="C5074" s="508" t="s">
        <v>107</v>
      </c>
      <c r="D5074" s="508">
        <v>19.37</v>
      </c>
      <c r="E5074" s="461" t="s">
        <v>174</v>
      </c>
    </row>
    <row r="5075" spans="1:5" ht="27" x14ac:dyDescent="0.25">
      <c r="A5075" s="508">
        <v>104179</v>
      </c>
      <c r="B5075" s="509" t="s">
        <v>7226</v>
      </c>
      <c r="C5075" s="508" t="s">
        <v>107</v>
      </c>
      <c r="D5075" s="508">
        <v>71.12</v>
      </c>
      <c r="E5075" s="461" t="s">
        <v>174</v>
      </c>
    </row>
    <row r="5076" spans="1:5" ht="27" x14ac:dyDescent="0.25">
      <c r="A5076" s="508">
        <v>104191</v>
      </c>
      <c r="B5076" s="509" t="s">
        <v>7227</v>
      </c>
      <c r="C5076" s="508" t="s">
        <v>107</v>
      </c>
      <c r="D5076" s="508">
        <v>11.14</v>
      </c>
      <c r="E5076" s="461" t="s">
        <v>174</v>
      </c>
    </row>
    <row r="5077" spans="1:5" ht="27" x14ac:dyDescent="0.25">
      <c r="A5077" s="508">
        <v>104192</v>
      </c>
      <c r="B5077" s="509" t="s">
        <v>7228</v>
      </c>
      <c r="C5077" s="508" t="s">
        <v>107</v>
      </c>
      <c r="D5077" s="508">
        <v>31.14</v>
      </c>
      <c r="E5077" s="461" t="s">
        <v>174</v>
      </c>
    </row>
    <row r="5078" spans="1:5" ht="27" x14ac:dyDescent="0.25">
      <c r="A5078" s="508">
        <v>104193</v>
      </c>
      <c r="B5078" s="509" t="s">
        <v>7229</v>
      </c>
      <c r="C5078" s="508" t="s">
        <v>107</v>
      </c>
      <c r="D5078" s="508">
        <v>180.59</v>
      </c>
      <c r="E5078" s="461" t="s">
        <v>174</v>
      </c>
    </row>
    <row r="5079" spans="1:5" ht="27" x14ac:dyDescent="0.25">
      <c r="A5079" s="508">
        <v>104196</v>
      </c>
      <c r="B5079" s="509" t="s">
        <v>7230</v>
      </c>
      <c r="C5079" s="508" t="s">
        <v>107</v>
      </c>
      <c r="D5079" s="508">
        <v>17.170000000000002</v>
      </c>
      <c r="E5079" s="461" t="s">
        <v>174</v>
      </c>
    </row>
    <row r="5080" spans="1:5" ht="27" x14ac:dyDescent="0.25">
      <c r="A5080" s="508">
        <v>104197</v>
      </c>
      <c r="B5080" s="509" t="s">
        <v>7231</v>
      </c>
      <c r="C5080" s="508" t="s">
        <v>107</v>
      </c>
      <c r="D5080" s="508">
        <v>32.21</v>
      </c>
      <c r="E5080" s="461" t="s">
        <v>174</v>
      </c>
    </row>
    <row r="5081" spans="1:5" ht="27" x14ac:dyDescent="0.25">
      <c r="A5081" s="508">
        <v>104198</v>
      </c>
      <c r="B5081" s="509" t="s">
        <v>7232</v>
      </c>
      <c r="C5081" s="508" t="s">
        <v>107</v>
      </c>
      <c r="D5081" s="508">
        <v>8.26</v>
      </c>
      <c r="E5081" s="461" t="s">
        <v>174</v>
      </c>
    </row>
    <row r="5082" spans="1:5" ht="27" x14ac:dyDescent="0.25">
      <c r="A5082" s="508">
        <v>104199</v>
      </c>
      <c r="B5082" s="509" t="s">
        <v>7233</v>
      </c>
      <c r="C5082" s="508" t="s">
        <v>107</v>
      </c>
      <c r="D5082" s="508">
        <v>8</v>
      </c>
      <c r="E5082" s="461" t="s">
        <v>174</v>
      </c>
    </row>
    <row r="5083" spans="1:5" ht="27" x14ac:dyDescent="0.25">
      <c r="A5083" s="508">
        <v>104200</v>
      </c>
      <c r="B5083" s="509" t="s">
        <v>7234</v>
      </c>
      <c r="C5083" s="508" t="s">
        <v>107</v>
      </c>
      <c r="D5083" s="508">
        <v>6.56</v>
      </c>
      <c r="E5083" s="461" t="s">
        <v>174</v>
      </c>
    </row>
    <row r="5084" spans="1:5" ht="27" x14ac:dyDescent="0.25">
      <c r="A5084" s="508">
        <v>104201</v>
      </c>
      <c r="B5084" s="509" t="s">
        <v>7235</v>
      </c>
      <c r="C5084" s="508" t="s">
        <v>107</v>
      </c>
      <c r="D5084" s="508">
        <v>21.17</v>
      </c>
      <c r="E5084" s="461" t="s">
        <v>174</v>
      </c>
    </row>
    <row r="5085" spans="1:5" ht="27" x14ac:dyDescent="0.25">
      <c r="A5085" s="508">
        <v>104202</v>
      </c>
      <c r="B5085" s="509" t="s">
        <v>7236</v>
      </c>
      <c r="C5085" s="508" t="s">
        <v>107</v>
      </c>
      <c r="D5085" s="508">
        <v>11.87</v>
      </c>
      <c r="E5085" s="461" t="s">
        <v>174</v>
      </c>
    </row>
    <row r="5086" spans="1:5" ht="27" x14ac:dyDescent="0.25">
      <c r="A5086" s="508">
        <v>104317</v>
      </c>
      <c r="B5086" s="509" t="s">
        <v>7237</v>
      </c>
      <c r="C5086" s="508" t="s">
        <v>107</v>
      </c>
      <c r="D5086" s="508">
        <v>7.11</v>
      </c>
      <c r="E5086" s="461" t="s">
        <v>174</v>
      </c>
    </row>
    <row r="5087" spans="1:5" ht="27" x14ac:dyDescent="0.25">
      <c r="A5087" s="508">
        <v>104318</v>
      </c>
      <c r="B5087" s="509" t="s">
        <v>7238</v>
      </c>
      <c r="C5087" s="508" t="s">
        <v>107</v>
      </c>
      <c r="D5087" s="508">
        <v>7.64</v>
      </c>
      <c r="E5087" s="461" t="s">
        <v>174</v>
      </c>
    </row>
    <row r="5088" spans="1:5" ht="27" x14ac:dyDescent="0.25">
      <c r="A5088" s="508">
        <v>104319</v>
      </c>
      <c r="B5088" s="509" t="s">
        <v>7239</v>
      </c>
      <c r="C5088" s="508" t="s">
        <v>107</v>
      </c>
      <c r="D5088" s="508">
        <v>10.26</v>
      </c>
      <c r="E5088" s="461" t="s">
        <v>174</v>
      </c>
    </row>
    <row r="5089" spans="1:5" ht="27" x14ac:dyDescent="0.25">
      <c r="A5089" s="508">
        <v>104320</v>
      </c>
      <c r="B5089" s="509" t="s">
        <v>7240</v>
      </c>
      <c r="C5089" s="508" t="s">
        <v>107</v>
      </c>
      <c r="D5089" s="508">
        <v>11.95</v>
      </c>
      <c r="E5089" s="461" t="s">
        <v>174</v>
      </c>
    </row>
    <row r="5090" spans="1:5" ht="27" x14ac:dyDescent="0.25">
      <c r="A5090" s="508">
        <v>104321</v>
      </c>
      <c r="B5090" s="509" t="s">
        <v>7241</v>
      </c>
      <c r="C5090" s="508" t="s">
        <v>107</v>
      </c>
      <c r="D5090" s="508">
        <v>5.4</v>
      </c>
      <c r="E5090" s="461" t="s">
        <v>174</v>
      </c>
    </row>
    <row r="5091" spans="1:5" ht="27" x14ac:dyDescent="0.25">
      <c r="A5091" s="508">
        <v>104322</v>
      </c>
      <c r="B5091" s="509" t="s">
        <v>7242</v>
      </c>
      <c r="C5091" s="508" t="s">
        <v>107</v>
      </c>
      <c r="D5091" s="508">
        <v>7.72</v>
      </c>
      <c r="E5091" s="461" t="s">
        <v>174</v>
      </c>
    </row>
    <row r="5092" spans="1:5" ht="27" x14ac:dyDescent="0.25">
      <c r="A5092" s="508">
        <v>104323</v>
      </c>
      <c r="B5092" s="509" t="s">
        <v>7243</v>
      </c>
      <c r="C5092" s="508" t="s">
        <v>107</v>
      </c>
      <c r="D5092" s="508">
        <v>9.9</v>
      </c>
      <c r="E5092" s="461" t="s">
        <v>174</v>
      </c>
    </row>
    <row r="5093" spans="1:5" ht="27" x14ac:dyDescent="0.25">
      <c r="A5093" s="508">
        <v>104324</v>
      </c>
      <c r="B5093" s="509" t="s">
        <v>7244</v>
      </c>
      <c r="C5093" s="508" t="s">
        <v>107</v>
      </c>
      <c r="D5093" s="508">
        <v>14.49</v>
      </c>
      <c r="E5093" s="461" t="s">
        <v>174</v>
      </c>
    </row>
    <row r="5094" spans="1:5" ht="40.5" x14ac:dyDescent="0.25">
      <c r="A5094" s="508">
        <v>104341</v>
      </c>
      <c r="B5094" s="509" t="s">
        <v>7245</v>
      </c>
      <c r="C5094" s="508" t="s">
        <v>107</v>
      </c>
      <c r="D5094" s="508">
        <v>10.64</v>
      </c>
      <c r="E5094" s="461" t="s">
        <v>174</v>
      </c>
    </row>
    <row r="5095" spans="1:5" ht="40.5" x14ac:dyDescent="0.25">
      <c r="A5095" s="508">
        <v>104343</v>
      </c>
      <c r="B5095" s="509" t="s">
        <v>7246</v>
      </c>
      <c r="C5095" s="508" t="s">
        <v>107</v>
      </c>
      <c r="D5095" s="510">
        <v>32.090000000000003</v>
      </c>
      <c r="E5095" s="461" t="s">
        <v>174</v>
      </c>
    </row>
    <row r="5096" spans="1:5" ht="27" x14ac:dyDescent="0.25">
      <c r="A5096" s="508">
        <v>104344</v>
      </c>
      <c r="B5096" s="509" t="s">
        <v>7247</v>
      </c>
      <c r="C5096" s="508" t="s">
        <v>107</v>
      </c>
      <c r="D5096" s="510">
        <v>38.4</v>
      </c>
      <c r="E5096" s="461" t="s">
        <v>174</v>
      </c>
    </row>
    <row r="5097" spans="1:5" ht="40.5" x14ac:dyDescent="0.25">
      <c r="A5097" s="508">
        <v>104345</v>
      </c>
      <c r="B5097" s="509" t="s">
        <v>7248</v>
      </c>
      <c r="C5097" s="508" t="s">
        <v>107</v>
      </c>
      <c r="D5097" s="508">
        <v>40.14</v>
      </c>
      <c r="E5097" s="461" t="s">
        <v>174</v>
      </c>
    </row>
    <row r="5098" spans="1:5" ht="27" x14ac:dyDescent="0.25">
      <c r="A5098" s="508">
        <v>104346</v>
      </c>
      <c r="B5098" s="509" t="s">
        <v>7249</v>
      </c>
      <c r="C5098" s="508" t="s">
        <v>107</v>
      </c>
      <c r="D5098" s="508">
        <v>42.28</v>
      </c>
      <c r="E5098" s="461" t="s">
        <v>174</v>
      </c>
    </row>
    <row r="5099" spans="1:5" ht="40.5" x14ac:dyDescent="0.25">
      <c r="A5099" s="508">
        <v>104347</v>
      </c>
      <c r="B5099" s="509" t="s">
        <v>7250</v>
      </c>
      <c r="C5099" s="508" t="s">
        <v>107</v>
      </c>
      <c r="D5099" s="508">
        <v>44.52</v>
      </c>
      <c r="E5099" s="461" t="s">
        <v>174</v>
      </c>
    </row>
    <row r="5100" spans="1:5" ht="27" x14ac:dyDescent="0.25">
      <c r="A5100" s="508">
        <v>104348</v>
      </c>
      <c r="B5100" s="509" t="s">
        <v>7251</v>
      </c>
      <c r="C5100" s="508" t="s">
        <v>107</v>
      </c>
      <c r="D5100" s="508">
        <v>9.6199999999999992</v>
      </c>
      <c r="E5100" s="461" t="s">
        <v>174</v>
      </c>
    </row>
    <row r="5101" spans="1:5" ht="40.5" x14ac:dyDescent="0.25">
      <c r="A5101" s="508">
        <v>104350</v>
      </c>
      <c r="B5101" s="509" t="s">
        <v>7252</v>
      </c>
      <c r="C5101" s="508" t="s">
        <v>107</v>
      </c>
      <c r="D5101" s="510">
        <v>27.72</v>
      </c>
      <c r="E5101" s="461" t="s">
        <v>174</v>
      </c>
    </row>
    <row r="5102" spans="1:5" ht="27" x14ac:dyDescent="0.25">
      <c r="A5102" s="508">
        <v>104351</v>
      </c>
      <c r="B5102" s="509" t="s">
        <v>7253</v>
      </c>
      <c r="C5102" s="508" t="s">
        <v>107</v>
      </c>
      <c r="D5102" s="510">
        <v>20.2</v>
      </c>
      <c r="E5102" s="461" t="s">
        <v>174</v>
      </c>
    </row>
    <row r="5103" spans="1:5" ht="27" x14ac:dyDescent="0.25">
      <c r="A5103" s="508">
        <v>104352</v>
      </c>
      <c r="B5103" s="509" t="s">
        <v>7254</v>
      </c>
      <c r="C5103" s="508" t="s">
        <v>107</v>
      </c>
      <c r="D5103" s="510">
        <v>37.090000000000003</v>
      </c>
      <c r="E5103" s="461" t="s">
        <v>174</v>
      </c>
    </row>
    <row r="5104" spans="1:5" ht="40.5" x14ac:dyDescent="0.25">
      <c r="A5104" s="508">
        <v>104353</v>
      </c>
      <c r="B5104" s="509" t="s">
        <v>7255</v>
      </c>
      <c r="C5104" s="508" t="s">
        <v>107</v>
      </c>
      <c r="D5104" s="510">
        <v>38.83</v>
      </c>
      <c r="E5104" s="461" t="s">
        <v>174</v>
      </c>
    </row>
    <row r="5105" spans="1:5" ht="27" x14ac:dyDescent="0.25">
      <c r="A5105" s="508">
        <v>104354</v>
      </c>
      <c r="B5105" s="509" t="s">
        <v>7256</v>
      </c>
      <c r="C5105" s="508" t="s">
        <v>107</v>
      </c>
      <c r="D5105" s="510">
        <v>42.52</v>
      </c>
      <c r="E5105" s="461" t="s">
        <v>174</v>
      </c>
    </row>
    <row r="5106" spans="1:5" ht="40.5" x14ac:dyDescent="0.25">
      <c r="A5106" s="508">
        <v>104355</v>
      </c>
      <c r="B5106" s="509" t="s">
        <v>7257</v>
      </c>
      <c r="C5106" s="508" t="s">
        <v>107</v>
      </c>
      <c r="D5106" s="510">
        <v>44.76</v>
      </c>
      <c r="E5106" s="461" t="s">
        <v>174</v>
      </c>
    </row>
    <row r="5107" spans="1:5" ht="27" x14ac:dyDescent="0.25">
      <c r="A5107" s="508">
        <v>104356</v>
      </c>
      <c r="B5107" s="509" t="s">
        <v>7258</v>
      </c>
      <c r="C5107" s="508" t="s">
        <v>107</v>
      </c>
      <c r="D5107" s="510">
        <v>27.11</v>
      </c>
      <c r="E5107" s="461" t="s">
        <v>174</v>
      </c>
    </row>
    <row r="5108" spans="1:5" ht="27" x14ac:dyDescent="0.25">
      <c r="A5108" s="508">
        <v>104357</v>
      </c>
      <c r="B5108" s="509" t="s">
        <v>7259</v>
      </c>
      <c r="C5108" s="508" t="s">
        <v>107</v>
      </c>
      <c r="D5108" s="508">
        <v>17.670000000000002</v>
      </c>
      <c r="E5108" s="461" t="s">
        <v>174</v>
      </c>
    </row>
    <row r="5109" spans="1:5" ht="27" x14ac:dyDescent="0.25">
      <c r="A5109" s="508">
        <v>104576</v>
      </c>
      <c r="B5109" s="509" t="s">
        <v>7260</v>
      </c>
      <c r="C5109" s="508" t="s">
        <v>107</v>
      </c>
      <c r="D5109" s="508">
        <v>15.39</v>
      </c>
      <c r="E5109" s="461" t="s">
        <v>174</v>
      </c>
    </row>
    <row r="5110" spans="1:5" ht="27" x14ac:dyDescent="0.25">
      <c r="A5110" s="508">
        <v>104577</v>
      </c>
      <c r="B5110" s="509" t="s">
        <v>7261</v>
      </c>
      <c r="C5110" s="508" t="s">
        <v>107</v>
      </c>
      <c r="D5110" s="508">
        <v>20.48</v>
      </c>
      <c r="E5110" s="461" t="s">
        <v>174</v>
      </c>
    </row>
    <row r="5111" spans="1:5" ht="27" x14ac:dyDescent="0.25">
      <c r="A5111" s="508">
        <v>104578</v>
      </c>
      <c r="B5111" s="509" t="s">
        <v>7262</v>
      </c>
      <c r="C5111" s="508" t="s">
        <v>107</v>
      </c>
      <c r="D5111" s="508">
        <v>21.95</v>
      </c>
      <c r="E5111" s="461" t="s">
        <v>174</v>
      </c>
    </row>
    <row r="5112" spans="1:5" ht="27" x14ac:dyDescent="0.25">
      <c r="A5112" s="508">
        <v>104579</v>
      </c>
      <c r="B5112" s="509" t="s">
        <v>7263</v>
      </c>
      <c r="C5112" s="508" t="s">
        <v>107</v>
      </c>
      <c r="D5112" s="508">
        <v>28.73</v>
      </c>
      <c r="E5112" s="461" t="s">
        <v>174</v>
      </c>
    </row>
    <row r="5113" spans="1:5" ht="27" x14ac:dyDescent="0.25">
      <c r="A5113" s="508">
        <v>104581</v>
      </c>
      <c r="B5113" s="509" t="s">
        <v>7264</v>
      </c>
      <c r="C5113" s="508" t="s">
        <v>107</v>
      </c>
      <c r="D5113" s="508">
        <v>14.05</v>
      </c>
      <c r="E5113" s="461" t="s">
        <v>174</v>
      </c>
    </row>
    <row r="5114" spans="1:5" ht="27" x14ac:dyDescent="0.25">
      <c r="A5114" s="508">
        <v>104582</v>
      </c>
      <c r="B5114" s="509" t="s">
        <v>7265</v>
      </c>
      <c r="C5114" s="508" t="s">
        <v>107</v>
      </c>
      <c r="D5114" s="508">
        <v>17.87</v>
      </c>
      <c r="E5114" s="461" t="s">
        <v>174</v>
      </c>
    </row>
    <row r="5115" spans="1:5" ht="27" x14ac:dyDescent="0.25">
      <c r="A5115" s="508">
        <v>104583</v>
      </c>
      <c r="B5115" s="509" t="s">
        <v>7266</v>
      </c>
      <c r="C5115" s="508" t="s">
        <v>107</v>
      </c>
      <c r="D5115" s="508">
        <v>28.27</v>
      </c>
      <c r="E5115" s="461" t="s">
        <v>174</v>
      </c>
    </row>
    <row r="5116" spans="1:5" ht="27" x14ac:dyDescent="0.25">
      <c r="A5116" s="508">
        <v>104584</v>
      </c>
      <c r="B5116" s="509" t="s">
        <v>7267</v>
      </c>
      <c r="C5116" s="508" t="s">
        <v>107</v>
      </c>
      <c r="D5116" s="508">
        <v>33.950000000000003</v>
      </c>
      <c r="E5116" s="461" t="s">
        <v>174</v>
      </c>
    </row>
    <row r="5117" spans="1:5" ht="27" x14ac:dyDescent="0.25">
      <c r="A5117" s="508">
        <v>105146</v>
      </c>
      <c r="B5117" s="509" t="s">
        <v>7268</v>
      </c>
      <c r="C5117" s="508" t="s">
        <v>107</v>
      </c>
      <c r="D5117" s="508">
        <v>24.16</v>
      </c>
      <c r="E5117" s="461" t="s">
        <v>174</v>
      </c>
    </row>
    <row r="5118" spans="1:5" ht="27" x14ac:dyDescent="0.25">
      <c r="A5118" s="508">
        <v>105147</v>
      </c>
      <c r="B5118" s="509" t="s">
        <v>7269</v>
      </c>
      <c r="C5118" s="508" t="s">
        <v>107</v>
      </c>
      <c r="D5118" s="508">
        <v>16.71</v>
      </c>
      <c r="E5118" s="461" t="s">
        <v>174</v>
      </c>
    </row>
    <row r="5119" spans="1:5" ht="27" x14ac:dyDescent="0.25">
      <c r="A5119" s="508">
        <v>105148</v>
      </c>
      <c r="B5119" s="509" t="s">
        <v>7270</v>
      </c>
      <c r="C5119" s="508" t="s">
        <v>107</v>
      </c>
      <c r="D5119" s="508">
        <v>24.08</v>
      </c>
      <c r="E5119" s="461" t="s">
        <v>174</v>
      </c>
    </row>
    <row r="5120" spans="1:5" ht="27" x14ac:dyDescent="0.25">
      <c r="A5120" s="508">
        <v>105149</v>
      </c>
      <c r="B5120" s="509" t="s">
        <v>7271</v>
      </c>
      <c r="C5120" s="508" t="s">
        <v>107</v>
      </c>
      <c r="D5120" s="508">
        <v>7.8</v>
      </c>
      <c r="E5120" s="461" t="s">
        <v>174</v>
      </c>
    </row>
    <row r="5121" spans="1:5" ht="27" x14ac:dyDescent="0.25">
      <c r="A5121" s="508">
        <v>105150</v>
      </c>
      <c r="B5121" s="509" t="s">
        <v>7272</v>
      </c>
      <c r="C5121" s="508" t="s">
        <v>107</v>
      </c>
      <c r="D5121" s="508">
        <v>9.23</v>
      </c>
      <c r="E5121" s="461" t="s">
        <v>174</v>
      </c>
    </row>
    <row r="5122" spans="1:5" ht="27" x14ac:dyDescent="0.25">
      <c r="A5122" s="508">
        <v>105151</v>
      </c>
      <c r="B5122" s="509" t="s">
        <v>7273</v>
      </c>
      <c r="C5122" s="508" t="s">
        <v>107</v>
      </c>
      <c r="D5122" s="508">
        <v>23.77</v>
      </c>
      <c r="E5122" s="461" t="s">
        <v>174</v>
      </c>
    </row>
    <row r="5123" spans="1:5" ht="27" x14ac:dyDescent="0.25">
      <c r="A5123" s="508">
        <v>105152</v>
      </c>
      <c r="B5123" s="509" t="s">
        <v>7274</v>
      </c>
      <c r="C5123" s="508" t="s">
        <v>107</v>
      </c>
      <c r="D5123" s="508">
        <v>35.6</v>
      </c>
      <c r="E5123" s="461" t="s">
        <v>174</v>
      </c>
    </row>
    <row r="5124" spans="1:5" ht="27" x14ac:dyDescent="0.25">
      <c r="A5124" s="508">
        <v>105154</v>
      </c>
      <c r="B5124" s="509" t="s">
        <v>7275</v>
      </c>
      <c r="C5124" s="508" t="s">
        <v>107</v>
      </c>
      <c r="D5124" s="508">
        <v>6.63</v>
      </c>
      <c r="E5124" s="461" t="s">
        <v>174</v>
      </c>
    </row>
    <row r="5125" spans="1:5" ht="27" x14ac:dyDescent="0.25">
      <c r="A5125" s="508">
        <v>105155</v>
      </c>
      <c r="B5125" s="509" t="s">
        <v>7276</v>
      </c>
      <c r="C5125" s="508" t="s">
        <v>107</v>
      </c>
      <c r="D5125" s="508">
        <v>9.94</v>
      </c>
      <c r="E5125" s="461" t="s">
        <v>174</v>
      </c>
    </row>
    <row r="5126" spans="1:5" ht="27" x14ac:dyDescent="0.25">
      <c r="A5126" s="508">
        <v>105156</v>
      </c>
      <c r="B5126" s="509" t="s">
        <v>7277</v>
      </c>
      <c r="C5126" s="508" t="s">
        <v>107</v>
      </c>
      <c r="D5126" s="508">
        <v>12.65</v>
      </c>
      <c r="E5126" s="461" t="s">
        <v>174</v>
      </c>
    </row>
    <row r="5127" spans="1:5" ht="27" x14ac:dyDescent="0.25">
      <c r="A5127" s="508">
        <v>105157</v>
      </c>
      <c r="B5127" s="509" t="s">
        <v>7278</v>
      </c>
      <c r="C5127" s="508" t="s">
        <v>107</v>
      </c>
      <c r="D5127" s="508">
        <v>19.54</v>
      </c>
      <c r="E5127" s="461" t="s">
        <v>174</v>
      </c>
    </row>
    <row r="5128" spans="1:5" ht="27" x14ac:dyDescent="0.25">
      <c r="A5128" s="508">
        <v>105158</v>
      </c>
      <c r="B5128" s="509" t="s">
        <v>7279</v>
      </c>
      <c r="C5128" s="508" t="s">
        <v>107</v>
      </c>
      <c r="D5128" s="508">
        <v>28.7</v>
      </c>
      <c r="E5128" s="461" t="s">
        <v>174</v>
      </c>
    </row>
    <row r="5129" spans="1:5" ht="27" x14ac:dyDescent="0.25">
      <c r="A5129" s="508">
        <v>105159</v>
      </c>
      <c r="B5129" s="509" t="s">
        <v>7280</v>
      </c>
      <c r="C5129" s="508" t="s">
        <v>107</v>
      </c>
      <c r="D5129" s="508">
        <v>51.12</v>
      </c>
      <c r="E5129" s="461" t="s">
        <v>174</v>
      </c>
    </row>
    <row r="5130" spans="1:5" ht="27" x14ac:dyDescent="0.25">
      <c r="A5130" s="508">
        <v>105160</v>
      </c>
      <c r="B5130" s="509" t="s">
        <v>7281</v>
      </c>
      <c r="C5130" s="508" t="s">
        <v>107</v>
      </c>
      <c r="D5130" s="508">
        <v>63.09</v>
      </c>
      <c r="E5130" s="461" t="s">
        <v>174</v>
      </c>
    </row>
    <row r="5131" spans="1:5" ht="27" x14ac:dyDescent="0.25">
      <c r="A5131" s="508">
        <v>105161</v>
      </c>
      <c r="B5131" s="509" t="s">
        <v>7282</v>
      </c>
      <c r="C5131" s="508" t="s">
        <v>107</v>
      </c>
      <c r="D5131" s="508">
        <v>102.46</v>
      </c>
      <c r="E5131" s="461" t="s">
        <v>174</v>
      </c>
    </row>
    <row r="5132" spans="1:5" ht="27" x14ac:dyDescent="0.25">
      <c r="A5132" s="508">
        <v>105162</v>
      </c>
      <c r="B5132" s="509" t="s">
        <v>7283</v>
      </c>
      <c r="C5132" s="508" t="s">
        <v>107</v>
      </c>
      <c r="D5132" s="508">
        <v>175.89</v>
      </c>
      <c r="E5132" s="461" t="s">
        <v>174</v>
      </c>
    </row>
    <row r="5133" spans="1:5" ht="27" x14ac:dyDescent="0.25">
      <c r="A5133" s="508">
        <v>105163</v>
      </c>
      <c r="B5133" s="509" t="s">
        <v>7284</v>
      </c>
      <c r="C5133" s="508" t="s">
        <v>107</v>
      </c>
      <c r="D5133" s="508">
        <v>14.82</v>
      </c>
      <c r="E5133" s="461" t="s">
        <v>174</v>
      </c>
    </row>
    <row r="5134" spans="1:5" ht="27" x14ac:dyDescent="0.25">
      <c r="A5134" s="508">
        <v>105164</v>
      </c>
      <c r="B5134" s="509" t="s">
        <v>7285</v>
      </c>
      <c r="C5134" s="508" t="s">
        <v>107</v>
      </c>
      <c r="D5134" s="508">
        <v>11.25</v>
      </c>
      <c r="E5134" s="461" t="s">
        <v>174</v>
      </c>
    </row>
    <row r="5135" spans="1:5" ht="27" x14ac:dyDescent="0.25">
      <c r="A5135" s="508">
        <v>105165</v>
      </c>
      <c r="B5135" s="509" t="s">
        <v>7286</v>
      </c>
      <c r="C5135" s="508" t="s">
        <v>107</v>
      </c>
      <c r="D5135" s="508">
        <v>11.42</v>
      </c>
      <c r="E5135" s="461" t="s">
        <v>174</v>
      </c>
    </row>
    <row r="5136" spans="1:5" ht="27" x14ac:dyDescent="0.25">
      <c r="A5136" s="508">
        <v>105166</v>
      </c>
      <c r="B5136" s="509" t="s">
        <v>7287</v>
      </c>
      <c r="C5136" s="508" t="s">
        <v>107</v>
      </c>
      <c r="D5136" s="508">
        <v>32.39</v>
      </c>
      <c r="E5136" s="461" t="s">
        <v>174</v>
      </c>
    </row>
    <row r="5137" spans="1:5" ht="27" x14ac:dyDescent="0.25">
      <c r="A5137" s="508">
        <v>105167</v>
      </c>
      <c r="B5137" s="509" t="s">
        <v>7288</v>
      </c>
      <c r="C5137" s="508" t="s">
        <v>107</v>
      </c>
      <c r="D5137" s="508">
        <v>229.99</v>
      </c>
      <c r="E5137" s="461" t="s">
        <v>174</v>
      </c>
    </row>
    <row r="5138" spans="1:5" ht="40.5" x14ac:dyDescent="0.25">
      <c r="A5138" s="508">
        <v>105169</v>
      </c>
      <c r="B5138" s="509" t="s">
        <v>7289</v>
      </c>
      <c r="C5138" s="508" t="s">
        <v>107</v>
      </c>
      <c r="D5138" s="508">
        <v>94.19</v>
      </c>
      <c r="E5138" s="461" t="s">
        <v>174</v>
      </c>
    </row>
    <row r="5139" spans="1:5" ht="27" x14ac:dyDescent="0.25">
      <c r="A5139" s="508">
        <v>105170</v>
      </c>
      <c r="B5139" s="509" t="s">
        <v>7290</v>
      </c>
      <c r="C5139" s="508" t="s">
        <v>107</v>
      </c>
      <c r="D5139" s="508">
        <v>5.69</v>
      </c>
      <c r="E5139" s="461" t="s">
        <v>174</v>
      </c>
    </row>
    <row r="5140" spans="1:5" ht="27" x14ac:dyDescent="0.25">
      <c r="A5140" s="508">
        <v>105172</v>
      </c>
      <c r="B5140" s="509" t="s">
        <v>7291</v>
      </c>
      <c r="C5140" s="508" t="s">
        <v>107</v>
      </c>
      <c r="D5140" s="508">
        <v>94.39</v>
      </c>
      <c r="E5140" s="461" t="s">
        <v>174</v>
      </c>
    </row>
    <row r="5141" spans="1:5" ht="27" x14ac:dyDescent="0.25">
      <c r="A5141" s="508">
        <v>105173</v>
      </c>
      <c r="B5141" s="509" t="s">
        <v>7292</v>
      </c>
      <c r="C5141" s="508" t="s">
        <v>107</v>
      </c>
      <c r="D5141" s="508">
        <v>95.38</v>
      </c>
      <c r="E5141" s="461" t="s">
        <v>174</v>
      </c>
    </row>
    <row r="5142" spans="1:5" ht="40.5" x14ac:dyDescent="0.25">
      <c r="A5142" s="508">
        <v>105174</v>
      </c>
      <c r="B5142" s="509" t="s">
        <v>7293</v>
      </c>
      <c r="C5142" s="508" t="s">
        <v>107</v>
      </c>
      <c r="D5142" s="508">
        <v>138.69999999999999</v>
      </c>
      <c r="E5142" s="461" t="s">
        <v>174</v>
      </c>
    </row>
    <row r="5143" spans="1:5" ht="27" x14ac:dyDescent="0.25">
      <c r="A5143" s="508">
        <v>105175</v>
      </c>
      <c r="B5143" s="509" t="s">
        <v>7294</v>
      </c>
      <c r="C5143" s="508" t="s">
        <v>107</v>
      </c>
      <c r="D5143" s="508">
        <v>137.21</v>
      </c>
      <c r="E5143" s="461" t="s">
        <v>174</v>
      </c>
    </row>
    <row r="5144" spans="1:5" ht="40.5" x14ac:dyDescent="0.25">
      <c r="A5144" s="508">
        <v>105176</v>
      </c>
      <c r="B5144" s="509" t="s">
        <v>7295</v>
      </c>
      <c r="C5144" s="508" t="s">
        <v>107</v>
      </c>
      <c r="D5144" s="508">
        <v>174.26</v>
      </c>
      <c r="E5144" s="461" t="s">
        <v>174</v>
      </c>
    </row>
    <row r="5145" spans="1:5" ht="27" x14ac:dyDescent="0.25">
      <c r="A5145" s="508">
        <v>105177</v>
      </c>
      <c r="B5145" s="509" t="s">
        <v>7296</v>
      </c>
      <c r="C5145" s="508" t="s">
        <v>107</v>
      </c>
      <c r="D5145" s="508">
        <v>155.02000000000001</v>
      </c>
      <c r="E5145" s="461" t="s">
        <v>174</v>
      </c>
    </row>
    <row r="5146" spans="1:5" ht="40.5" x14ac:dyDescent="0.25">
      <c r="A5146" s="508">
        <v>105178</v>
      </c>
      <c r="B5146" s="509" t="s">
        <v>7297</v>
      </c>
      <c r="C5146" s="508" t="s">
        <v>107</v>
      </c>
      <c r="D5146" s="508">
        <v>148.47</v>
      </c>
      <c r="E5146" s="461" t="s">
        <v>174</v>
      </c>
    </row>
    <row r="5147" spans="1:5" ht="27" x14ac:dyDescent="0.25">
      <c r="A5147" s="508">
        <v>105179</v>
      </c>
      <c r="B5147" s="509" t="s">
        <v>7298</v>
      </c>
      <c r="C5147" s="508" t="s">
        <v>107</v>
      </c>
      <c r="D5147" s="508">
        <v>9.6199999999999992</v>
      </c>
      <c r="E5147" s="461" t="s">
        <v>174</v>
      </c>
    </row>
    <row r="5148" spans="1:5" ht="27" x14ac:dyDescent="0.25">
      <c r="A5148" s="508">
        <v>105180</v>
      </c>
      <c r="B5148" s="509" t="s">
        <v>7299</v>
      </c>
      <c r="C5148" s="508" t="s">
        <v>107</v>
      </c>
      <c r="D5148" s="508">
        <v>13.18</v>
      </c>
      <c r="E5148" s="461" t="s">
        <v>174</v>
      </c>
    </row>
    <row r="5149" spans="1:5" ht="27" x14ac:dyDescent="0.25">
      <c r="A5149" s="508">
        <v>105181</v>
      </c>
      <c r="B5149" s="509" t="s">
        <v>7300</v>
      </c>
      <c r="C5149" s="508" t="s">
        <v>107</v>
      </c>
      <c r="D5149" s="508">
        <v>17.78</v>
      </c>
      <c r="E5149" s="461" t="s">
        <v>174</v>
      </c>
    </row>
    <row r="5150" spans="1:5" ht="27" x14ac:dyDescent="0.25">
      <c r="A5150" s="508">
        <v>105182</v>
      </c>
      <c r="B5150" s="509" t="s">
        <v>7301</v>
      </c>
      <c r="C5150" s="508" t="s">
        <v>107</v>
      </c>
      <c r="D5150" s="508">
        <v>40.72</v>
      </c>
      <c r="E5150" s="461" t="s">
        <v>174</v>
      </c>
    </row>
    <row r="5151" spans="1:5" ht="27" x14ac:dyDescent="0.25">
      <c r="A5151" s="508">
        <v>105183</v>
      </c>
      <c r="B5151" s="509" t="s">
        <v>7302</v>
      </c>
      <c r="C5151" s="508" t="s">
        <v>107</v>
      </c>
      <c r="D5151" s="508">
        <v>84.78</v>
      </c>
      <c r="E5151" s="461" t="s">
        <v>174</v>
      </c>
    </row>
    <row r="5152" spans="1:5" ht="27" x14ac:dyDescent="0.25">
      <c r="A5152" s="508">
        <v>105184</v>
      </c>
      <c r="B5152" s="509" t="s">
        <v>7303</v>
      </c>
      <c r="C5152" s="508" t="s">
        <v>107</v>
      </c>
      <c r="D5152" s="508">
        <v>105.04</v>
      </c>
      <c r="E5152" s="461" t="s">
        <v>174</v>
      </c>
    </row>
    <row r="5153" spans="1:5" ht="27" x14ac:dyDescent="0.25">
      <c r="A5153" s="508">
        <v>105189</v>
      </c>
      <c r="B5153" s="509" t="s">
        <v>7304</v>
      </c>
      <c r="C5153" s="508" t="s">
        <v>107</v>
      </c>
      <c r="D5153" s="508">
        <v>21.53</v>
      </c>
      <c r="E5153" s="461" t="s">
        <v>174</v>
      </c>
    </row>
    <row r="5154" spans="1:5" ht="27" x14ac:dyDescent="0.25">
      <c r="A5154" s="508">
        <v>105190</v>
      </c>
      <c r="B5154" s="509" t="s">
        <v>7305</v>
      </c>
      <c r="C5154" s="508" t="s">
        <v>107</v>
      </c>
      <c r="D5154" s="508">
        <v>26.69</v>
      </c>
      <c r="E5154" s="461" t="s">
        <v>174</v>
      </c>
    </row>
    <row r="5155" spans="1:5" ht="40.5" x14ac:dyDescent="0.25">
      <c r="A5155" s="508">
        <v>105193</v>
      </c>
      <c r="B5155" s="509" t="s">
        <v>7306</v>
      </c>
      <c r="C5155" s="508" t="s">
        <v>107</v>
      </c>
      <c r="D5155" s="508">
        <v>162.56</v>
      </c>
      <c r="E5155" s="461" t="s">
        <v>174</v>
      </c>
    </row>
    <row r="5156" spans="1:5" ht="27" x14ac:dyDescent="0.25">
      <c r="A5156" s="508">
        <v>105194</v>
      </c>
      <c r="B5156" s="509" t="s">
        <v>7307</v>
      </c>
      <c r="C5156" s="508" t="s">
        <v>107</v>
      </c>
      <c r="D5156" s="508">
        <v>91.18</v>
      </c>
      <c r="E5156" s="461" t="s">
        <v>174</v>
      </c>
    </row>
    <row r="5157" spans="1:5" ht="27" x14ac:dyDescent="0.25">
      <c r="A5157" s="508">
        <v>105195</v>
      </c>
      <c r="B5157" s="509" t="s">
        <v>7308</v>
      </c>
      <c r="C5157" s="508" t="s">
        <v>107</v>
      </c>
      <c r="D5157" s="508">
        <v>236.9</v>
      </c>
      <c r="E5157" s="461" t="s">
        <v>174</v>
      </c>
    </row>
    <row r="5158" spans="1:5" ht="27" x14ac:dyDescent="0.25">
      <c r="A5158" s="508">
        <v>105196</v>
      </c>
      <c r="B5158" s="509" t="s">
        <v>7309</v>
      </c>
      <c r="C5158" s="508" t="s">
        <v>107</v>
      </c>
      <c r="D5158" s="508">
        <v>253.8</v>
      </c>
      <c r="E5158" s="461" t="s">
        <v>174</v>
      </c>
    </row>
    <row r="5159" spans="1:5" ht="27" x14ac:dyDescent="0.25">
      <c r="A5159" s="508">
        <v>105197</v>
      </c>
      <c r="B5159" s="509" t="s">
        <v>7310</v>
      </c>
      <c r="C5159" s="508" t="s">
        <v>107</v>
      </c>
      <c r="D5159" s="508">
        <v>174.25</v>
      </c>
      <c r="E5159" s="461" t="s">
        <v>174</v>
      </c>
    </row>
    <row r="5160" spans="1:5" ht="27" x14ac:dyDescent="0.25">
      <c r="A5160" s="508">
        <v>105198</v>
      </c>
      <c r="B5160" s="509" t="s">
        <v>7311</v>
      </c>
      <c r="C5160" s="508" t="s">
        <v>107</v>
      </c>
      <c r="D5160" s="508">
        <v>360.79</v>
      </c>
      <c r="E5160" s="461" t="s">
        <v>174</v>
      </c>
    </row>
    <row r="5161" spans="1:5" ht="40.5" x14ac:dyDescent="0.25">
      <c r="A5161" s="508">
        <v>105199</v>
      </c>
      <c r="B5161" s="509" t="s">
        <v>7312</v>
      </c>
      <c r="C5161" s="508" t="s">
        <v>107</v>
      </c>
      <c r="D5161" s="508">
        <v>230.37</v>
      </c>
      <c r="E5161" s="461" t="s">
        <v>174</v>
      </c>
    </row>
    <row r="5162" spans="1:5" ht="27" x14ac:dyDescent="0.25">
      <c r="A5162" s="508">
        <v>105200</v>
      </c>
      <c r="B5162" s="509" t="s">
        <v>7313</v>
      </c>
      <c r="C5162" s="508" t="s">
        <v>107</v>
      </c>
      <c r="D5162" s="508">
        <v>136.87</v>
      </c>
      <c r="E5162" s="461" t="s">
        <v>174</v>
      </c>
    </row>
    <row r="5163" spans="1:5" ht="27" x14ac:dyDescent="0.25">
      <c r="A5163" s="508">
        <v>105201</v>
      </c>
      <c r="B5163" s="509" t="s">
        <v>7314</v>
      </c>
      <c r="C5163" s="508" t="s">
        <v>107</v>
      </c>
      <c r="D5163" s="508">
        <v>315.88</v>
      </c>
      <c r="E5163" s="461" t="s">
        <v>174</v>
      </c>
    </row>
    <row r="5164" spans="1:5" ht="27" x14ac:dyDescent="0.25">
      <c r="A5164" s="508">
        <v>105202</v>
      </c>
      <c r="B5164" s="509" t="s">
        <v>7315</v>
      </c>
      <c r="C5164" s="508" t="s">
        <v>107</v>
      </c>
      <c r="D5164" s="508">
        <v>286.39999999999998</v>
      </c>
      <c r="E5164" s="461" t="s">
        <v>174</v>
      </c>
    </row>
    <row r="5165" spans="1:5" ht="27" x14ac:dyDescent="0.25">
      <c r="A5165" s="508">
        <v>105203</v>
      </c>
      <c r="B5165" s="509" t="s">
        <v>7316</v>
      </c>
      <c r="C5165" s="508" t="s">
        <v>107</v>
      </c>
      <c r="D5165" s="508">
        <v>173.47</v>
      </c>
      <c r="E5165" s="461" t="s">
        <v>174</v>
      </c>
    </row>
    <row r="5166" spans="1:5" ht="27" x14ac:dyDescent="0.25">
      <c r="A5166" s="508">
        <v>105204</v>
      </c>
      <c r="B5166" s="509" t="s">
        <v>7317</v>
      </c>
      <c r="C5166" s="508" t="s">
        <v>107</v>
      </c>
      <c r="D5166" s="508">
        <v>381.45</v>
      </c>
      <c r="E5166" s="461" t="s">
        <v>174</v>
      </c>
    </row>
    <row r="5167" spans="1:5" ht="40.5" x14ac:dyDescent="0.25">
      <c r="A5167" s="508">
        <v>105205</v>
      </c>
      <c r="B5167" s="509" t="s">
        <v>7318</v>
      </c>
      <c r="C5167" s="508" t="s">
        <v>107</v>
      </c>
      <c r="D5167" s="508">
        <v>264.29000000000002</v>
      </c>
      <c r="E5167" s="461" t="s">
        <v>174</v>
      </c>
    </row>
    <row r="5168" spans="1:5" ht="27" x14ac:dyDescent="0.25">
      <c r="A5168" s="508">
        <v>105206</v>
      </c>
      <c r="B5168" s="509" t="s">
        <v>7319</v>
      </c>
      <c r="C5168" s="508" t="s">
        <v>107</v>
      </c>
      <c r="D5168" s="508">
        <v>165.17</v>
      </c>
      <c r="E5168" s="461" t="s">
        <v>174</v>
      </c>
    </row>
    <row r="5169" spans="1:5" ht="27" x14ac:dyDescent="0.25">
      <c r="A5169" s="508">
        <v>105207</v>
      </c>
      <c r="B5169" s="509" t="s">
        <v>7320</v>
      </c>
      <c r="C5169" s="508" t="s">
        <v>107</v>
      </c>
      <c r="D5169" s="508">
        <v>370.39</v>
      </c>
      <c r="E5169" s="461" t="s">
        <v>174</v>
      </c>
    </row>
    <row r="5170" spans="1:5" ht="27" x14ac:dyDescent="0.25">
      <c r="A5170" s="508">
        <v>105208</v>
      </c>
      <c r="B5170" s="509" t="s">
        <v>7321</v>
      </c>
      <c r="C5170" s="508" t="s">
        <v>107</v>
      </c>
      <c r="D5170" s="508">
        <v>349.32</v>
      </c>
      <c r="E5170" s="461" t="s">
        <v>174</v>
      </c>
    </row>
    <row r="5171" spans="1:5" ht="27" x14ac:dyDescent="0.25">
      <c r="A5171" s="508">
        <v>105209</v>
      </c>
      <c r="B5171" s="509" t="s">
        <v>7322</v>
      </c>
      <c r="C5171" s="508" t="s">
        <v>107</v>
      </c>
      <c r="D5171" s="508">
        <v>168.65</v>
      </c>
      <c r="E5171" s="461" t="s">
        <v>174</v>
      </c>
    </row>
    <row r="5172" spans="1:5" ht="27" x14ac:dyDescent="0.25">
      <c r="A5172" s="508">
        <v>105210</v>
      </c>
      <c r="B5172" s="509" t="s">
        <v>7323</v>
      </c>
      <c r="C5172" s="508" t="s">
        <v>107</v>
      </c>
      <c r="D5172" s="508">
        <v>451.25</v>
      </c>
      <c r="E5172" s="461" t="s">
        <v>174</v>
      </c>
    </row>
    <row r="5173" spans="1:5" ht="40.5" x14ac:dyDescent="0.25">
      <c r="A5173" s="508">
        <v>105211</v>
      </c>
      <c r="B5173" s="509" t="s">
        <v>7324</v>
      </c>
      <c r="C5173" s="508" t="s">
        <v>107</v>
      </c>
      <c r="D5173" s="508">
        <v>264.12</v>
      </c>
      <c r="E5173" s="461" t="s">
        <v>174</v>
      </c>
    </row>
    <row r="5174" spans="1:5" ht="27" x14ac:dyDescent="0.25">
      <c r="A5174" s="508">
        <v>105212</v>
      </c>
      <c r="B5174" s="509" t="s">
        <v>7325</v>
      </c>
      <c r="C5174" s="508" t="s">
        <v>107</v>
      </c>
      <c r="D5174" s="508">
        <v>262.14</v>
      </c>
      <c r="E5174" s="461" t="s">
        <v>174</v>
      </c>
    </row>
    <row r="5175" spans="1:5" ht="27" x14ac:dyDescent="0.25">
      <c r="A5175" s="508">
        <v>105213</v>
      </c>
      <c r="B5175" s="509" t="s">
        <v>7326</v>
      </c>
      <c r="C5175" s="508" t="s">
        <v>107</v>
      </c>
      <c r="D5175" s="508">
        <v>204.01</v>
      </c>
      <c r="E5175" s="461" t="s">
        <v>174</v>
      </c>
    </row>
    <row r="5176" spans="1:5" ht="27" x14ac:dyDescent="0.25">
      <c r="A5176" s="508">
        <v>105214</v>
      </c>
      <c r="B5176" s="509" t="s">
        <v>7327</v>
      </c>
      <c r="C5176" s="508" t="s">
        <v>107</v>
      </c>
      <c r="D5176" s="508">
        <v>35.64</v>
      </c>
      <c r="E5176" s="461" t="s">
        <v>174</v>
      </c>
    </row>
    <row r="5177" spans="1:5" ht="27" x14ac:dyDescent="0.25">
      <c r="A5177" s="508">
        <v>105215</v>
      </c>
      <c r="B5177" s="509" t="s">
        <v>7328</v>
      </c>
      <c r="C5177" s="508" t="s">
        <v>107</v>
      </c>
      <c r="D5177" s="508">
        <v>8.76</v>
      </c>
      <c r="E5177" s="461" t="s">
        <v>174</v>
      </c>
    </row>
    <row r="5178" spans="1:5" ht="27" x14ac:dyDescent="0.25">
      <c r="A5178" s="508">
        <v>105216</v>
      </c>
      <c r="B5178" s="509" t="s">
        <v>7329</v>
      </c>
      <c r="C5178" s="508" t="s">
        <v>107</v>
      </c>
      <c r="D5178" s="510">
        <v>30.02</v>
      </c>
      <c r="E5178" s="461" t="s">
        <v>174</v>
      </c>
    </row>
    <row r="5179" spans="1:5" ht="27" x14ac:dyDescent="0.25">
      <c r="A5179" s="508">
        <v>105217</v>
      </c>
      <c r="B5179" s="509" t="s">
        <v>7330</v>
      </c>
      <c r="C5179" s="508" t="s">
        <v>107</v>
      </c>
      <c r="D5179" s="508">
        <v>33.67</v>
      </c>
      <c r="E5179" s="461" t="s">
        <v>174</v>
      </c>
    </row>
    <row r="5180" spans="1:5" ht="27" x14ac:dyDescent="0.25">
      <c r="A5180" s="508">
        <v>105218</v>
      </c>
      <c r="B5180" s="509" t="s">
        <v>7331</v>
      </c>
      <c r="C5180" s="508" t="s">
        <v>107</v>
      </c>
      <c r="D5180" s="508">
        <v>57.96</v>
      </c>
      <c r="E5180" s="461" t="s">
        <v>174</v>
      </c>
    </row>
    <row r="5181" spans="1:5" ht="27" x14ac:dyDescent="0.25">
      <c r="A5181" s="508">
        <v>105219</v>
      </c>
      <c r="B5181" s="509" t="s">
        <v>7332</v>
      </c>
      <c r="C5181" s="508" t="s">
        <v>107</v>
      </c>
      <c r="D5181" s="508">
        <v>10.51</v>
      </c>
      <c r="E5181" s="461" t="s">
        <v>174</v>
      </c>
    </row>
    <row r="5182" spans="1:5" ht="27" x14ac:dyDescent="0.25">
      <c r="A5182" s="508">
        <v>105220</v>
      </c>
      <c r="B5182" s="509" t="s">
        <v>7333</v>
      </c>
      <c r="C5182" s="508" t="s">
        <v>107</v>
      </c>
      <c r="D5182" s="510">
        <v>14.34</v>
      </c>
      <c r="E5182" s="461" t="s">
        <v>174</v>
      </c>
    </row>
    <row r="5183" spans="1:5" ht="27" x14ac:dyDescent="0.25">
      <c r="A5183" s="508">
        <v>105221</v>
      </c>
      <c r="B5183" s="509" t="s">
        <v>7334</v>
      </c>
      <c r="C5183" s="508" t="s">
        <v>107</v>
      </c>
      <c r="D5183" s="508">
        <v>21.69</v>
      </c>
      <c r="E5183" s="461" t="s">
        <v>174</v>
      </c>
    </row>
    <row r="5184" spans="1:5" ht="27" x14ac:dyDescent="0.25">
      <c r="A5184" s="508">
        <v>105222</v>
      </c>
      <c r="B5184" s="509" t="s">
        <v>7335</v>
      </c>
      <c r="C5184" s="508" t="s">
        <v>107</v>
      </c>
      <c r="D5184" s="510">
        <v>60.05</v>
      </c>
      <c r="E5184" s="461" t="s">
        <v>174</v>
      </c>
    </row>
    <row r="5185" spans="1:5" ht="27" x14ac:dyDescent="0.25">
      <c r="A5185" s="508">
        <v>105223</v>
      </c>
      <c r="B5185" s="509" t="s">
        <v>7336</v>
      </c>
      <c r="C5185" s="508" t="s">
        <v>107</v>
      </c>
      <c r="D5185" s="510">
        <v>135.05000000000001</v>
      </c>
      <c r="E5185" s="461" t="s">
        <v>174</v>
      </c>
    </row>
    <row r="5186" spans="1:5" ht="27" x14ac:dyDescent="0.25">
      <c r="A5186" s="508">
        <v>105224</v>
      </c>
      <c r="B5186" s="509" t="s">
        <v>7337</v>
      </c>
      <c r="C5186" s="508" t="s">
        <v>107</v>
      </c>
      <c r="D5186" s="508">
        <v>197.03</v>
      </c>
      <c r="E5186" s="461" t="s">
        <v>174</v>
      </c>
    </row>
    <row r="5187" spans="1:5" ht="27" x14ac:dyDescent="0.25">
      <c r="A5187" s="508">
        <v>105225</v>
      </c>
      <c r="B5187" s="509" t="s">
        <v>7338</v>
      </c>
      <c r="C5187" s="508" t="s">
        <v>107</v>
      </c>
      <c r="D5187" s="508">
        <v>15.89</v>
      </c>
      <c r="E5187" s="461" t="s">
        <v>174</v>
      </c>
    </row>
    <row r="5188" spans="1:5" ht="27" x14ac:dyDescent="0.25">
      <c r="A5188" s="508">
        <v>105226</v>
      </c>
      <c r="B5188" s="509" t="s">
        <v>7339</v>
      </c>
      <c r="C5188" s="508" t="s">
        <v>107</v>
      </c>
      <c r="D5188" s="508">
        <v>35.08</v>
      </c>
      <c r="E5188" s="461" t="s">
        <v>174</v>
      </c>
    </row>
    <row r="5189" spans="1:5" ht="27" x14ac:dyDescent="0.25">
      <c r="A5189" s="508">
        <v>105227</v>
      </c>
      <c r="B5189" s="509" t="s">
        <v>7340</v>
      </c>
      <c r="C5189" s="508" t="s">
        <v>107</v>
      </c>
      <c r="D5189" s="508">
        <v>49.75</v>
      </c>
      <c r="E5189" s="461" t="s">
        <v>174</v>
      </c>
    </row>
    <row r="5190" spans="1:5" ht="27" x14ac:dyDescent="0.25">
      <c r="A5190" s="508">
        <v>105228</v>
      </c>
      <c r="B5190" s="509" t="s">
        <v>7341</v>
      </c>
      <c r="C5190" s="508" t="s">
        <v>107</v>
      </c>
      <c r="D5190" s="508">
        <v>11.67</v>
      </c>
      <c r="E5190" s="461" t="s">
        <v>174</v>
      </c>
    </row>
    <row r="5191" spans="1:5" ht="27" x14ac:dyDescent="0.25">
      <c r="A5191" s="508">
        <v>105229</v>
      </c>
      <c r="B5191" s="509" t="s">
        <v>7342</v>
      </c>
      <c r="C5191" s="508" t="s">
        <v>107</v>
      </c>
      <c r="D5191" s="508">
        <v>30.04</v>
      </c>
      <c r="E5191" s="461" t="s">
        <v>174</v>
      </c>
    </row>
    <row r="5192" spans="1:5" ht="27" x14ac:dyDescent="0.25">
      <c r="A5192" s="508">
        <v>105230</v>
      </c>
      <c r="B5192" s="509" t="s">
        <v>7343</v>
      </c>
      <c r="C5192" s="508" t="s">
        <v>107</v>
      </c>
      <c r="D5192" s="508">
        <v>8.27</v>
      </c>
      <c r="E5192" s="461" t="s">
        <v>174</v>
      </c>
    </row>
    <row r="5193" spans="1:5" ht="27" x14ac:dyDescent="0.25">
      <c r="A5193" s="508">
        <v>105231</v>
      </c>
      <c r="B5193" s="509" t="s">
        <v>7344</v>
      </c>
      <c r="C5193" s="508" t="s">
        <v>107</v>
      </c>
      <c r="D5193" s="508">
        <v>9.73</v>
      </c>
      <c r="E5193" s="461" t="s">
        <v>174</v>
      </c>
    </row>
    <row r="5194" spans="1:5" ht="27" x14ac:dyDescent="0.25">
      <c r="A5194" s="508">
        <v>105232</v>
      </c>
      <c r="B5194" s="509" t="s">
        <v>7345</v>
      </c>
      <c r="C5194" s="508" t="s">
        <v>107</v>
      </c>
      <c r="D5194" s="508">
        <v>18.86</v>
      </c>
      <c r="E5194" s="461" t="s">
        <v>174</v>
      </c>
    </row>
    <row r="5195" spans="1:5" ht="27" x14ac:dyDescent="0.25">
      <c r="A5195" s="508">
        <v>105233</v>
      </c>
      <c r="B5195" s="509" t="s">
        <v>7346</v>
      </c>
      <c r="C5195" s="508" t="s">
        <v>107</v>
      </c>
      <c r="D5195" s="508">
        <v>7.93</v>
      </c>
      <c r="E5195" s="461" t="s">
        <v>174</v>
      </c>
    </row>
    <row r="5196" spans="1:5" ht="27" x14ac:dyDescent="0.25">
      <c r="A5196" s="508">
        <v>105234</v>
      </c>
      <c r="B5196" s="509" t="s">
        <v>7347</v>
      </c>
      <c r="C5196" s="508" t="s">
        <v>107</v>
      </c>
      <c r="D5196" s="508">
        <v>9.7100000000000009</v>
      </c>
      <c r="E5196" s="461" t="s">
        <v>174</v>
      </c>
    </row>
    <row r="5197" spans="1:5" ht="27" x14ac:dyDescent="0.25">
      <c r="A5197" s="508">
        <v>97895</v>
      </c>
      <c r="B5197" s="509" t="s">
        <v>2988</v>
      </c>
      <c r="C5197" s="508" t="s">
        <v>107</v>
      </c>
      <c r="D5197" s="508">
        <v>190.14</v>
      </c>
      <c r="E5197" s="461" t="s">
        <v>174</v>
      </c>
    </row>
    <row r="5198" spans="1:5" ht="27" x14ac:dyDescent="0.25">
      <c r="A5198" s="508">
        <v>97896</v>
      </c>
      <c r="B5198" s="509" t="s">
        <v>2989</v>
      </c>
      <c r="C5198" s="508" t="s">
        <v>107</v>
      </c>
      <c r="D5198" s="508">
        <v>351.2</v>
      </c>
      <c r="E5198" s="461" t="s">
        <v>174</v>
      </c>
    </row>
    <row r="5199" spans="1:5" ht="27" x14ac:dyDescent="0.25">
      <c r="A5199" s="508">
        <v>97897</v>
      </c>
      <c r="B5199" s="509" t="s">
        <v>2990</v>
      </c>
      <c r="C5199" s="508" t="s">
        <v>107</v>
      </c>
      <c r="D5199" s="508">
        <v>456.19</v>
      </c>
      <c r="E5199" s="461" t="s">
        <v>174</v>
      </c>
    </row>
    <row r="5200" spans="1:5" ht="27" x14ac:dyDescent="0.25">
      <c r="A5200" s="508">
        <v>97898</v>
      </c>
      <c r="B5200" s="509" t="s">
        <v>2991</v>
      </c>
      <c r="C5200" s="508" t="s">
        <v>107</v>
      </c>
      <c r="D5200" s="508">
        <v>884.77</v>
      </c>
      <c r="E5200" s="461" t="s">
        <v>174</v>
      </c>
    </row>
    <row r="5201" spans="1:5" ht="27" x14ac:dyDescent="0.25">
      <c r="A5201" s="508">
        <v>97900</v>
      </c>
      <c r="B5201" s="509" t="s">
        <v>2992</v>
      </c>
      <c r="C5201" s="508" t="s">
        <v>107</v>
      </c>
      <c r="D5201" s="510">
        <v>201.98</v>
      </c>
      <c r="E5201" s="461" t="s">
        <v>174</v>
      </c>
    </row>
    <row r="5202" spans="1:5" ht="27" x14ac:dyDescent="0.25">
      <c r="A5202" s="508">
        <v>97901</v>
      </c>
      <c r="B5202" s="509" t="s">
        <v>2993</v>
      </c>
      <c r="C5202" s="508" t="s">
        <v>107</v>
      </c>
      <c r="D5202" s="508">
        <v>317.16000000000003</v>
      </c>
      <c r="E5202" s="461" t="s">
        <v>174</v>
      </c>
    </row>
    <row r="5203" spans="1:5" ht="27" x14ac:dyDescent="0.25">
      <c r="A5203" s="508">
        <v>97902</v>
      </c>
      <c r="B5203" s="509" t="s">
        <v>2994</v>
      </c>
      <c r="C5203" s="508" t="s">
        <v>107</v>
      </c>
      <c r="D5203" s="508">
        <v>615.34</v>
      </c>
      <c r="E5203" s="461" t="s">
        <v>174</v>
      </c>
    </row>
    <row r="5204" spans="1:5" ht="27" x14ac:dyDescent="0.25">
      <c r="A5204" s="508">
        <v>97903</v>
      </c>
      <c r="B5204" s="509" t="s">
        <v>2995</v>
      </c>
      <c r="C5204" s="508" t="s">
        <v>107</v>
      </c>
      <c r="D5204" s="508">
        <v>856.63</v>
      </c>
      <c r="E5204" s="461" t="s">
        <v>174</v>
      </c>
    </row>
    <row r="5205" spans="1:5" ht="27" x14ac:dyDescent="0.25">
      <c r="A5205" s="508">
        <v>97904</v>
      </c>
      <c r="B5205" s="509" t="s">
        <v>2996</v>
      </c>
      <c r="C5205" s="508" t="s">
        <v>107</v>
      </c>
      <c r="D5205" s="508">
        <v>1010.93</v>
      </c>
      <c r="E5205" s="461" t="s">
        <v>174</v>
      </c>
    </row>
    <row r="5206" spans="1:5" ht="27" x14ac:dyDescent="0.25">
      <c r="A5206" s="508">
        <v>97905</v>
      </c>
      <c r="B5206" s="509" t="s">
        <v>2997</v>
      </c>
      <c r="C5206" s="508" t="s">
        <v>107</v>
      </c>
      <c r="D5206" s="508">
        <v>261.29000000000002</v>
      </c>
      <c r="E5206" s="461" t="s">
        <v>174</v>
      </c>
    </row>
    <row r="5207" spans="1:5" ht="27" x14ac:dyDescent="0.25">
      <c r="A5207" s="508">
        <v>97906</v>
      </c>
      <c r="B5207" s="509" t="s">
        <v>2998</v>
      </c>
      <c r="C5207" s="508" t="s">
        <v>107</v>
      </c>
      <c r="D5207" s="508">
        <v>485.1</v>
      </c>
      <c r="E5207" s="461" t="s">
        <v>174</v>
      </c>
    </row>
    <row r="5208" spans="1:5" ht="27" x14ac:dyDescent="0.25">
      <c r="A5208" s="508">
        <v>97907</v>
      </c>
      <c r="B5208" s="509" t="s">
        <v>2999</v>
      </c>
      <c r="C5208" s="508" t="s">
        <v>107</v>
      </c>
      <c r="D5208" s="508">
        <v>690.45</v>
      </c>
      <c r="E5208" s="461" t="s">
        <v>174</v>
      </c>
    </row>
    <row r="5209" spans="1:5" ht="27" x14ac:dyDescent="0.25">
      <c r="A5209" s="508">
        <v>97908</v>
      </c>
      <c r="B5209" s="509" t="s">
        <v>3000</v>
      </c>
      <c r="C5209" s="508" t="s">
        <v>107</v>
      </c>
      <c r="D5209" s="508">
        <v>814.29</v>
      </c>
      <c r="E5209" s="461" t="s">
        <v>174</v>
      </c>
    </row>
    <row r="5210" spans="1:5" ht="27" x14ac:dyDescent="0.25">
      <c r="A5210" s="508">
        <v>98102</v>
      </c>
      <c r="B5210" s="509" t="s">
        <v>3001</v>
      </c>
      <c r="C5210" s="508" t="s">
        <v>107</v>
      </c>
      <c r="D5210" s="508">
        <v>180.62</v>
      </c>
      <c r="E5210" s="461" t="s">
        <v>174</v>
      </c>
    </row>
    <row r="5211" spans="1:5" ht="27" x14ac:dyDescent="0.25">
      <c r="A5211" s="508">
        <v>98104</v>
      </c>
      <c r="B5211" s="509" t="s">
        <v>3002</v>
      </c>
      <c r="C5211" s="508" t="s">
        <v>107</v>
      </c>
      <c r="D5211" s="508">
        <v>397.73</v>
      </c>
      <c r="E5211" s="461" t="s">
        <v>174</v>
      </c>
    </row>
    <row r="5212" spans="1:5" ht="27" x14ac:dyDescent="0.25">
      <c r="A5212" s="508">
        <v>98105</v>
      </c>
      <c r="B5212" s="509" t="s">
        <v>3003</v>
      </c>
      <c r="C5212" s="508" t="s">
        <v>107</v>
      </c>
      <c r="D5212" s="508">
        <v>694.03</v>
      </c>
      <c r="E5212" s="461" t="s">
        <v>174</v>
      </c>
    </row>
    <row r="5213" spans="1:5" ht="40.5" x14ac:dyDescent="0.25">
      <c r="A5213" s="508">
        <v>98106</v>
      </c>
      <c r="B5213" s="509" t="s">
        <v>3004</v>
      </c>
      <c r="C5213" s="508" t="s">
        <v>107</v>
      </c>
      <c r="D5213" s="508">
        <v>1145.17</v>
      </c>
      <c r="E5213" s="461" t="s">
        <v>174</v>
      </c>
    </row>
    <row r="5214" spans="1:5" ht="27" x14ac:dyDescent="0.25">
      <c r="A5214" s="508">
        <v>98107</v>
      </c>
      <c r="B5214" s="509" t="s">
        <v>3005</v>
      </c>
      <c r="C5214" s="508" t="s">
        <v>107</v>
      </c>
      <c r="D5214" s="508">
        <v>297.01</v>
      </c>
      <c r="E5214" s="461" t="s">
        <v>174</v>
      </c>
    </row>
    <row r="5215" spans="1:5" ht="27" x14ac:dyDescent="0.25">
      <c r="A5215" s="508">
        <v>98108</v>
      </c>
      <c r="B5215" s="509" t="s">
        <v>3006</v>
      </c>
      <c r="C5215" s="508" t="s">
        <v>107</v>
      </c>
      <c r="D5215" s="508">
        <v>531.35</v>
      </c>
      <c r="E5215" s="461" t="s">
        <v>174</v>
      </c>
    </row>
    <row r="5216" spans="1:5" ht="27" x14ac:dyDescent="0.25">
      <c r="A5216" s="508">
        <v>99250</v>
      </c>
      <c r="B5216" s="509" t="s">
        <v>3007</v>
      </c>
      <c r="C5216" s="508" t="s">
        <v>107</v>
      </c>
      <c r="D5216" s="508">
        <v>196.94</v>
      </c>
      <c r="E5216" s="461" t="s">
        <v>174</v>
      </c>
    </row>
    <row r="5217" spans="1:5" ht="27" x14ac:dyDescent="0.25">
      <c r="A5217" s="508">
        <v>99251</v>
      </c>
      <c r="B5217" s="509" t="s">
        <v>3008</v>
      </c>
      <c r="C5217" s="508" t="s">
        <v>107</v>
      </c>
      <c r="D5217" s="508">
        <v>308.51</v>
      </c>
      <c r="E5217" s="461" t="s">
        <v>174</v>
      </c>
    </row>
    <row r="5218" spans="1:5" ht="27" x14ac:dyDescent="0.25">
      <c r="A5218" s="508">
        <v>99253</v>
      </c>
      <c r="B5218" s="509" t="s">
        <v>3009</v>
      </c>
      <c r="C5218" s="508" t="s">
        <v>107</v>
      </c>
      <c r="D5218" s="508">
        <v>595.92999999999995</v>
      </c>
      <c r="E5218" s="461" t="s">
        <v>174</v>
      </c>
    </row>
    <row r="5219" spans="1:5" ht="27" x14ac:dyDescent="0.25">
      <c r="A5219" s="508">
        <v>99255</v>
      </c>
      <c r="B5219" s="509" t="s">
        <v>3010</v>
      </c>
      <c r="C5219" s="508" t="s">
        <v>107</v>
      </c>
      <c r="D5219" s="508">
        <v>830.02</v>
      </c>
      <c r="E5219" s="461" t="s">
        <v>174</v>
      </c>
    </row>
    <row r="5220" spans="1:5" ht="27" x14ac:dyDescent="0.25">
      <c r="A5220" s="508">
        <v>99257</v>
      </c>
      <c r="B5220" s="509" t="s">
        <v>3011</v>
      </c>
      <c r="C5220" s="508" t="s">
        <v>107</v>
      </c>
      <c r="D5220" s="508">
        <v>976.51</v>
      </c>
      <c r="E5220" s="461" t="s">
        <v>174</v>
      </c>
    </row>
    <row r="5221" spans="1:5" ht="27" x14ac:dyDescent="0.25">
      <c r="A5221" s="508">
        <v>99258</v>
      </c>
      <c r="B5221" s="509" t="s">
        <v>3012</v>
      </c>
      <c r="C5221" s="508" t="s">
        <v>107</v>
      </c>
      <c r="D5221" s="510">
        <v>255.8</v>
      </c>
      <c r="E5221" s="461" t="s">
        <v>174</v>
      </c>
    </row>
    <row r="5222" spans="1:5" ht="27" x14ac:dyDescent="0.25">
      <c r="A5222" s="508">
        <v>99260</v>
      </c>
      <c r="B5222" s="509" t="s">
        <v>3013</v>
      </c>
      <c r="C5222" s="508" t="s">
        <v>107</v>
      </c>
      <c r="D5222" s="508">
        <v>472.88</v>
      </c>
      <c r="E5222" s="461" t="s">
        <v>174</v>
      </c>
    </row>
    <row r="5223" spans="1:5" ht="27" x14ac:dyDescent="0.25">
      <c r="A5223" s="508">
        <v>99262</v>
      </c>
      <c r="B5223" s="509" t="s">
        <v>3014</v>
      </c>
      <c r="C5223" s="508" t="s">
        <v>107</v>
      </c>
      <c r="D5223" s="510">
        <v>673</v>
      </c>
      <c r="E5223" s="461" t="s">
        <v>174</v>
      </c>
    </row>
    <row r="5224" spans="1:5" ht="27" x14ac:dyDescent="0.25">
      <c r="A5224" s="508">
        <v>99264</v>
      </c>
      <c r="B5224" s="509" t="s">
        <v>3015</v>
      </c>
      <c r="C5224" s="508" t="s">
        <v>107</v>
      </c>
      <c r="D5224" s="510">
        <v>790.72</v>
      </c>
      <c r="E5224" s="461" t="s">
        <v>174</v>
      </c>
    </row>
    <row r="5225" spans="1:5" ht="15" x14ac:dyDescent="0.25">
      <c r="A5225" s="508">
        <v>102587</v>
      </c>
      <c r="B5225" s="509" t="s">
        <v>3776</v>
      </c>
      <c r="C5225" s="508" t="s">
        <v>107</v>
      </c>
      <c r="D5225" s="510">
        <v>3.77</v>
      </c>
      <c r="E5225" s="461" t="s">
        <v>174</v>
      </c>
    </row>
    <row r="5226" spans="1:5" ht="15" x14ac:dyDescent="0.25">
      <c r="A5226" s="508">
        <v>102588</v>
      </c>
      <c r="B5226" s="509" t="s">
        <v>3777</v>
      </c>
      <c r="C5226" s="508" t="s">
        <v>107</v>
      </c>
      <c r="D5226" s="510">
        <v>5.45</v>
      </c>
      <c r="E5226" s="461" t="s">
        <v>174</v>
      </c>
    </row>
    <row r="5227" spans="1:5" ht="15" x14ac:dyDescent="0.25">
      <c r="A5227" s="508">
        <v>102589</v>
      </c>
      <c r="B5227" s="509" t="s">
        <v>3778</v>
      </c>
      <c r="C5227" s="508" t="s">
        <v>107</v>
      </c>
      <c r="D5227" s="510">
        <v>4.18</v>
      </c>
      <c r="E5227" s="461" t="s">
        <v>174</v>
      </c>
    </row>
    <row r="5228" spans="1:5" ht="15" x14ac:dyDescent="0.25">
      <c r="A5228" s="508">
        <v>102590</v>
      </c>
      <c r="B5228" s="509" t="s">
        <v>3779</v>
      </c>
      <c r="C5228" s="508" t="s">
        <v>107</v>
      </c>
      <c r="D5228" s="510">
        <v>5.87</v>
      </c>
      <c r="E5228" s="461" t="s">
        <v>174</v>
      </c>
    </row>
    <row r="5229" spans="1:5" ht="15" x14ac:dyDescent="0.25">
      <c r="A5229" s="508">
        <v>102591</v>
      </c>
      <c r="B5229" s="509" t="s">
        <v>3780</v>
      </c>
      <c r="C5229" s="508" t="s">
        <v>107</v>
      </c>
      <c r="D5229" s="510">
        <v>4.6100000000000003</v>
      </c>
      <c r="E5229" s="461" t="s">
        <v>174</v>
      </c>
    </row>
    <row r="5230" spans="1:5" ht="15" x14ac:dyDescent="0.25">
      <c r="A5230" s="508">
        <v>102592</v>
      </c>
      <c r="B5230" s="509" t="s">
        <v>3781</v>
      </c>
      <c r="C5230" s="508" t="s">
        <v>107</v>
      </c>
      <c r="D5230" s="510">
        <v>6.3</v>
      </c>
      <c r="E5230" s="461" t="s">
        <v>174</v>
      </c>
    </row>
    <row r="5231" spans="1:5" ht="15" x14ac:dyDescent="0.25">
      <c r="A5231" s="508">
        <v>102593</v>
      </c>
      <c r="B5231" s="509" t="s">
        <v>3782</v>
      </c>
      <c r="C5231" s="508" t="s">
        <v>107</v>
      </c>
      <c r="D5231" s="510">
        <v>5.21</v>
      </c>
      <c r="E5231" s="461" t="s">
        <v>174</v>
      </c>
    </row>
    <row r="5232" spans="1:5" ht="15" x14ac:dyDescent="0.25">
      <c r="A5232" s="508">
        <v>102594</v>
      </c>
      <c r="B5232" s="509" t="s">
        <v>3783</v>
      </c>
      <c r="C5232" s="508" t="s">
        <v>107</v>
      </c>
      <c r="D5232" s="510">
        <v>6.9</v>
      </c>
      <c r="E5232" s="461" t="s">
        <v>174</v>
      </c>
    </row>
    <row r="5233" spans="1:5" ht="15" x14ac:dyDescent="0.25">
      <c r="A5233" s="508">
        <v>102595</v>
      </c>
      <c r="B5233" s="509" t="s">
        <v>3784</v>
      </c>
      <c r="C5233" s="508" t="s">
        <v>107</v>
      </c>
      <c r="D5233" s="510">
        <v>5.89</v>
      </c>
      <c r="E5233" s="461" t="s">
        <v>174</v>
      </c>
    </row>
    <row r="5234" spans="1:5" ht="15" x14ac:dyDescent="0.25">
      <c r="A5234" s="508">
        <v>102596</v>
      </c>
      <c r="B5234" s="509" t="s">
        <v>3785</v>
      </c>
      <c r="C5234" s="508" t="s">
        <v>107</v>
      </c>
      <c r="D5234" s="510">
        <v>7.58</v>
      </c>
      <c r="E5234" s="461" t="s">
        <v>174</v>
      </c>
    </row>
    <row r="5235" spans="1:5" ht="15" x14ac:dyDescent="0.25">
      <c r="A5235" s="508">
        <v>102597</v>
      </c>
      <c r="B5235" s="509" t="s">
        <v>3786</v>
      </c>
      <c r="C5235" s="508" t="s">
        <v>107</v>
      </c>
      <c r="D5235" s="510">
        <v>6.74</v>
      </c>
      <c r="E5235" s="461" t="s">
        <v>174</v>
      </c>
    </row>
    <row r="5236" spans="1:5" ht="15" x14ac:dyDescent="0.25">
      <c r="A5236" s="508">
        <v>102598</v>
      </c>
      <c r="B5236" s="509" t="s">
        <v>3787</v>
      </c>
      <c r="C5236" s="508" t="s">
        <v>107</v>
      </c>
      <c r="D5236" s="510">
        <v>8.43</v>
      </c>
      <c r="E5236" s="461" t="s">
        <v>174</v>
      </c>
    </row>
    <row r="5237" spans="1:5" ht="15" x14ac:dyDescent="0.25">
      <c r="A5237" s="508">
        <v>102599</v>
      </c>
      <c r="B5237" s="509" t="s">
        <v>3788</v>
      </c>
      <c r="C5237" s="508" t="s">
        <v>107</v>
      </c>
      <c r="D5237" s="510">
        <v>7.59</v>
      </c>
      <c r="E5237" s="461" t="s">
        <v>174</v>
      </c>
    </row>
    <row r="5238" spans="1:5" ht="15" x14ac:dyDescent="0.25">
      <c r="A5238" s="508">
        <v>102600</v>
      </c>
      <c r="B5238" s="509" t="s">
        <v>3789</v>
      </c>
      <c r="C5238" s="508" t="s">
        <v>107</v>
      </c>
      <c r="D5238" s="510">
        <v>9.27</v>
      </c>
      <c r="E5238" s="461" t="s">
        <v>174</v>
      </c>
    </row>
    <row r="5239" spans="1:5" ht="15" x14ac:dyDescent="0.25">
      <c r="A5239" s="508">
        <v>102601</v>
      </c>
      <c r="B5239" s="509" t="s">
        <v>3790</v>
      </c>
      <c r="C5239" s="508" t="s">
        <v>107</v>
      </c>
      <c r="D5239" s="510">
        <v>8.86</v>
      </c>
      <c r="E5239" s="461" t="s">
        <v>174</v>
      </c>
    </row>
    <row r="5240" spans="1:5" ht="15" x14ac:dyDescent="0.25">
      <c r="A5240" s="508">
        <v>102602</v>
      </c>
      <c r="B5240" s="509" t="s">
        <v>3791</v>
      </c>
      <c r="C5240" s="508" t="s">
        <v>107</v>
      </c>
      <c r="D5240" s="510">
        <v>10.55</v>
      </c>
      <c r="E5240" s="461" t="s">
        <v>174</v>
      </c>
    </row>
    <row r="5241" spans="1:5" ht="15" x14ac:dyDescent="0.25">
      <c r="A5241" s="508">
        <v>102603</v>
      </c>
      <c r="B5241" s="509" t="s">
        <v>3792</v>
      </c>
      <c r="C5241" s="508" t="s">
        <v>107</v>
      </c>
      <c r="D5241" s="510">
        <v>10.99</v>
      </c>
      <c r="E5241" s="461" t="s">
        <v>174</v>
      </c>
    </row>
    <row r="5242" spans="1:5" ht="15" x14ac:dyDescent="0.25">
      <c r="A5242" s="508">
        <v>102604</v>
      </c>
      <c r="B5242" s="509" t="s">
        <v>3793</v>
      </c>
      <c r="C5242" s="508" t="s">
        <v>107</v>
      </c>
      <c r="D5242" s="510">
        <v>12.68</v>
      </c>
      <c r="E5242" s="461" t="s">
        <v>174</v>
      </c>
    </row>
    <row r="5243" spans="1:5" ht="15" x14ac:dyDescent="0.25">
      <c r="A5243" s="508">
        <v>102605</v>
      </c>
      <c r="B5243" s="509" t="s">
        <v>3794</v>
      </c>
      <c r="C5243" s="508" t="s">
        <v>107</v>
      </c>
      <c r="D5243" s="510">
        <v>280.48</v>
      </c>
      <c r="E5243" s="461" t="s">
        <v>174</v>
      </c>
    </row>
    <row r="5244" spans="1:5" ht="15" x14ac:dyDescent="0.25">
      <c r="A5244" s="508">
        <v>102606</v>
      </c>
      <c r="B5244" s="509" t="s">
        <v>3795</v>
      </c>
      <c r="C5244" s="508" t="s">
        <v>107</v>
      </c>
      <c r="D5244" s="510">
        <v>432.07</v>
      </c>
      <c r="E5244" s="461" t="s">
        <v>174</v>
      </c>
    </row>
    <row r="5245" spans="1:5" ht="15" x14ac:dyDescent="0.25">
      <c r="A5245" s="508">
        <v>102607</v>
      </c>
      <c r="B5245" s="509" t="s">
        <v>3796</v>
      </c>
      <c r="C5245" s="508" t="s">
        <v>107</v>
      </c>
      <c r="D5245" s="510">
        <v>462.56</v>
      </c>
      <c r="E5245" s="461" t="s">
        <v>174</v>
      </c>
    </row>
    <row r="5246" spans="1:5" ht="15" x14ac:dyDescent="0.25">
      <c r="A5246" s="508">
        <v>102608</v>
      </c>
      <c r="B5246" s="509" t="s">
        <v>3797</v>
      </c>
      <c r="C5246" s="508" t="s">
        <v>107</v>
      </c>
      <c r="D5246" s="510">
        <v>1059.73</v>
      </c>
      <c r="E5246" s="461" t="s">
        <v>174</v>
      </c>
    </row>
    <row r="5247" spans="1:5" ht="15" x14ac:dyDescent="0.25">
      <c r="A5247" s="508">
        <v>102609</v>
      </c>
      <c r="B5247" s="509" t="s">
        <v>3798</v>
      </c>
      <c r="C5247" s="508" t="s">
        <v>107</v>
      </c>
      <c r="D5247" s="510">
        <v>1204.3</v>
      </c>
      <c r="E5247" s="461" t="s">
        <v>174</v>
      </c>
    </row>
    <row r="5248" spans="1:5" ht="15" x14ac:dyDescent="0.25">
      <c r="A5248" s="508">
        <v>102610</v>
      </c>
      <c r="B5248" s="509" t="s">
        <v>7348</v>
      </c>
      <c r="C5248" s="508" t="s">
        <v>107</v>
      </c>
      <c r="D5248" s="510">
        <v>2069.35</v>
      </c>
      <c r="E5248" s="461" t="s">
        <v>174</v>
      </c>
    </row>
    <row r="5249" spans="1:5" ht="27" x14ac:dyDescent="0.25">
      <c r="A5249" s="508">
        <v>102611</v>
      </c>
      <c r="B5249" s="509" t="s">
        <v>3799</v>
      </c>
      <c r="C5249" s="508" t="s">
        <v>107</v>
      </c>
      <c r="D5249" s="510">
        <v>465.78</v>
      </c>
      <c r="E5249" s="461" t="s">
        <v>174</v>
      </c>
    </row>
    <row r="5250" spans="1:5" ht="27" x14ac:dyDescent="0.25">
      <c r="A5250" s="508">
        <v>102612</v>
      </c>
      <c r="B5250" s="509" t="s">
        <v>7349</v>
      </c>
      <c r="C5250" s="508" t="s">
        <v>107</v>
      </c>
      <c r="D5250" s="510">
        <v>668.57</v>
      </c>
      <c r="E5250" s="461" t="s">
        <v>174</v>
      </c>
    </row>
    <row r="5251" spans="1:5" ht="27" x14ac:dyDescent="0.25">
      <c r="A5251" s="508">
        <v>102613</v>
      </c>
      <c r="B5251" s="509" t="s">
        <v>3800</v>
      </c>
      <c r="C5251" s="508" t="s">
        <v>107</v>
      </c>
      <c r="D5251" s="510">
        <v>648.21</v>
      </c>
      <c r="E5251" s="461" t="s">
        <v>174</v>
      </c>
    </row>
    <row r="5252" spans="1:5" ht="27" x14ac:dyDescent="0.25">
      <c r="A5252" s="508">
        <v>102614</v>
      </c>
      <c r="B5252" s="509" t="s">
        <v>3801</v>
      </c>
      <c r="C5252" s="508" t="s">
        <v>107</v>
      </c>
      <c r="D5252" s="510">
        <v>996.56</v>
      </c>
      <c r="E5252" s="461" t="s">
        <v>174</v>
      </c>
    </row>
    <row r="5253" spans="1:5" ht="27" x14ac:dyDescent="0.25">
      <c r="A5253" s="508">
        <v>102615</v>
      </c>
      <c r="B5253" s="509" t="s">
        <v>3802</v>
      </c>
      <c r="C5253" s="508" t="s">
        <v>107</v>
      </c>
      <c r="D5253" s="510">
        <v>1250.67</v>
      </c>
      <c r="E5253" s="461" t="s">
        <v>174</v>
      </c>
    </row>
    <row r="5254" spans="1:5" ht="27" x14ac:dyDescent="0.25">
      <c r="A5254" s="508">
        <v>102616</v>
      </c>
      <c r="B5254" s="509" t="s">
        <v>7350</v>
      </c>
      <c r="C5254" s="508" t="s">
        <v>107</v>
      </c>
      <c r="D5254" s="510">
        <v>1851.23</v>
      </c>
      <c r="E5254" s="461" t="s">
        <v>174</v>
      </c>
    </row>
    <row r="5255" spans="1:5" ht="27" x14ac:dyDescent="0.25">
      <c r="A5255" s="508">
        <v>102617</v>
      </c>
      <c r="B5255" s="509" t="s">
        <v>3803</v>
      </c>
      <c r="C5255" s="508" t="s">
        <v>107</v>
      </c>
      <c r="D5255" s="510">
        <v>3398.88</v>
      </c>
      <c r="E5255" s="461" t="s">
        <v>174</v>
      </c>
    </row>
    <row r="5256" spans="1:5" ht="27" x14ac:dyDescent="0.25">
      <c r="A5256" s="508">
        <v>102618</v>
      </c>
      <c r="B5256" s="509" t="s">
        <v>7351</v>
      </c>
      <c r="C5256" s="508" t="s">
        <v>107</v>
      </c>
      <c r="D5256" s="510">
        <v>4092.81</v>
      </c>
      <c r="E5256" s="461" t="s">
        <v>174</v>
      </c>
    </row>
    <row r="5257" spans="1:5" ht="27" x14ac:dyDescent="0.25">
      <c r="A5257" s="508">
        <v>102619</v>
      </c>
      <c r="B5257" s="509" t="s">
        <v>3804</v>
      </c>
      <c r="C5257" s="508" t="s">
        <v>107</v>
      </c>
      <c r="D5257" s="510">
        <v>5500.65</v>
      </c>
      <c r="E5257" s="461" t="s">
        <v>174</v>
      </c>
    </row>
    <row r="5258" spans="1:5" ht="27" x14ac:dyDescent="0.25">
      <c r="A5258" s="508">
        <v>102620</v>
      </c>
      <c r="B5258" s="509" t="s">
        <v>7352</v>
      </c>
      <c r="C5258" s="508" t="s">
        <v>107</v>
      </c>
      <c r="D5258" s="510">
        <v>7999.89</v>
      </c>
      <c r="E5258" s="461" t="s">
        <v>174</v>
      </c>
    </row>
    <row r="5259" spans="1:5" ht="27" x14ac:dyDescent="0.25">
      <c r="A5259" s="508">
        <v>102621</v>
      </c>
      <c r="B5259" s="509" t="s">
        <v>7353</v>
      </c>
      <c r="C5259" s="508" t="s">
        <v>107</v>
      </c>
      <c r="D5259" s="510">
        <v>12306.71</v>
      </c>
      <c r="E5259" s="461" t="s">
        <v>174</v>
      </c>
    </row>
    <row r="5260" spans="1:5" ht="27" x14ac:dyDescent="0.25">
      <c r="A5260" s="508">
        <v>102622</v>
      </c>
      <c r="B5260" s="509" t="s">
        <v>3805</v>
      </c>
      <c r="C5260" s="508" t="s">
        <v>107</v>
      </c>
      <c r="D5260" s="510">
        <v>683.5</v>
      </c>
      <c r="E5260" s="461" t="s">
        <v>174</v>
      </c>
    </row>
    <row r="5261" spans="1:5" ht="27" x14ac:dyDescent="0.25">
      <c r="A5261" s="508">
        <v>102623</v>
      </c>
      <c r="B5261" s="509" t="s">
        <v>3806</v>
      </c>
      <c r="C5261" s="508" t="s">
        <v>107</v>
      </c>
      <c r="D5261" s="510">
        <v>924.51</v>
      </c>
      <c r="E5261" s="461" t="s">
        <v>174</v>
      </c>
    </row>
    <row r="5262" spans="1:5" ht="27" x14ac:dyDescent="0.25">
      <c r="A5262" s="508">
        <v>89482</v>
      </c>
      <c r="B5262" s="509" t="s">
        <v>7354</v>
      </c>
      <c r="C5262" s="508" t="s">
        <v>107</v>
      </c>
      <c r="D5262" s="510">
        <v>48.7</v>
      </c>
      <c r="E5262" s="461" t="s">
        <v>174</v>
      </c>
    </row>
    <row r="5263" spans="1:5" ht="27" x14ac:dyDescent="0.25">
      <c r="A5263" s="508">
        <v>89491</v>
      </c>
      <c r="B5263" s="509" t="s">
        <v>7355</v>
      </c>
      <c r="C5263" s="508" t="s">
        <v>107</v>
      </c>
      <c r="D5263" s="510">
        <v>124.8</v>
      </c>
      <c r="E5263" s="461" t="s">
        <v>174</v>
      </c>
    </row>
    <row r="5264" spans="1:5" ht="27" x14ac:dyDescent="0.25">
      <c r="A5264" s="508">
        <v>89495</v>
      </c>
      <c r="B5264" s="509" t="s">
        <v>7356</v>
      </c>
      <c r="C5264" s="508" t="s">
        <v>107</v>
      </c>
      <c r="D5264" s="510">
        <v>22.77</v>
      </c>
      <c r="E5264" s="461" t="s">
        <v>174</v>
      </c>
    </row>
    <row r="5265" spans="1:5" ht="27" x14ac:dyDescent="0.25">
      <c r="A5265" s="508">
        <v>89707</v>
      </c>
      <c r="B5265" s="509" t="s">
        <v>7357</v>
      </c>
      <c r="C5265" s="508" t="s">
        <v>107</v>
      </c>
      <c r="D5265" s="510">
        <v>58.51</v>
      </c>
      <c r="E5265" s="461" t="s">
        <v>174</v>
      </c>
    </row>
    <row r="5266" spans="1:5" ht="27" x14ac:dyDescent="0.25">
      <c r="A5266" s="508">
        <v>89708</v>
      </c>
      <c r="B5266" s="509" t="s">
        <v>7358</v>
      </c>
      <c r="C5266" s="508" t="s">
        <v>107</v>
      </c>
      <c r="D5266" s="510">
        <v>128.87</v>
      </c>
      <c r="E5266" s="461" t="s">
        <v>174</v>
      </c>
    </row>
    <row r="5267" spans="1:5" ht="27" x14ac:dyDescent="0.25">
      <c r="A5267" s="508">
        <v>89709</v>
      </c>
      <c r="B5267" s="509" t="s">
        <v>7359</v>
      </c>
      <c r="C5267" s="508" t="s">
        <v>107</v>
      </c>
      <c r="D5267" s="510">
        <v>25.7</v>
      </c>
      <c r="E5267" s="461" t="s">
        <v>174</v>
      </c>
    </row>
    <row r="5268" spans="1:5" ht="27" x14ac:dyDescent="0.25">
      <c r="A5268" s="508">
        <v>89710</v>
      </c>
      <c r="B5268" s="509" t="s">
        <v>7360</v>
      </c>
      <c r="C5268" s="508" t="s">
        <v>107</v>
      </c>
      <c r="D5268" s="510">
        <v>22.31</v>
      </c>
      <c r="E5268" s="461" t="s">
        <v>174</v>
      </c>
    </row>
    <row r="5269" spans="1:5" ht="27" x14ac:dyDescent="0.25">
      <c r="A5269" s="508">
        <v>104326</v>
      </c>
      <c r="B5269" s="509" t="s">
        <v>7361</v>
      </c>
      <c r="C5269" s="508" t="s">
        <v>107</v>
      </c>
      <c r="D5269" s="508">
        <v>24.41</v>
      </c>
      <c r="E5269" s="461" t="s">
        <v>174</v>
      </c>
    </row>
    <row r="5270" spans="1:5" ht="27" x14ac:dyDescent="0.25">
      <c r="A5270" s="508">
        <v>104327</v>
      </c>
      <c r="B5270" s="509" t="s">
        <v>7362</v>
      </c>
      <c r="C5270" s="508" t="s">
        <v>107</v>
      </c>
      <c r="D5270" s="508">
        <v>23.16</v>
      </c>
      <c r="E5270" s="461" t="s">
        <v>174</v>
      </c>
    </row>
    <row r="5271" spans="1:5" ht="40.5" x14ac:dyDescent="0.25">
      <c r="A5271" s="508">
        <v>104328</v>
      </c>
      <c r="B5271" s="509" t="s">
        <v>7363</v>
      </c>
      <c r="C5271" s="508" t="s">
        <v>107</v>
      </c>
      <c r="D5271" s="508">
        <v>87.28</v>
      </c>
      <c r="E5271" s="461" t="s">
        <v>174</v>
      </c>
    </row>
    <row r="5272" spans="1:5" ht="40.5" x14ac:dyDescent="0.25">
      <c r="A5272" s="508">
        <v>104329</v>
      </c>
      <c r="B5272" s="509" t="s">
        <v>7364</v>
      </c>
      <c r="C5272" s="508" t="s">
        <v>107</v>
      </c>
      <c r="D5272" s="508">
        <v>99.4</v>
      </c>
      <c r="E5272" s="461" t="s">
        <v>174</v>
      </c>
    </row>
    <row r="5273" spans="1:5" ht="27" x14ac:dyDescent="0.25">
      <c r="A5273" s="508">
        <v>86872</v>
      </c>
      <c r="B5273" s="509" t="s">
        <v>2010</v>
      </c>
      <c r="C5273" s="508" t="s">
        <v>107</v>
      </c>
      <c r="D5273" s="508">
        <v>706.35</v>
      </c>
      <c r="E5273" s="461" t="s">
        <v>174</v>
      </c>
    </row>
    <row r="5274" spans="1:5" ht="27" x14ac:dyDescent="0.25">
      <c r="A5274" s="508">
        <v>86874</v>
      </c>
      <c r="B5274" s="509" t="s">
        <v>2011</v>
      </c>
      <c r="C5274" s="508" t="s">
        <v>107</v>
      </c>
      <c r="D5274" s="508">
        <v>491.55</v>
      </c>
      <c r="E5274" s="461" t="s">
        <v>174</v>
      </c>
    </row>
    <row r="5275" spans="1:5" ht="27" x14ac:dyDescent="0.25">
      <c r="A5275" s="508">
        <v>86875</v>
      </c>
      <c r="B5275" s="509" t="s">
        <v>2012</v>
      </c>
      <c r="C5275" s="508" t="s">
        <v>107</v>
      </c>
      <c r="D5275" s="508">
        <v>575.55999999999995</v>
      </c>
      <c r="E5275" s="461" t="s">
        <v>174</v>
      </c>
    </row>
    <row r="5276" spans="1:5" ht="27" x14ac:dyDescent="0.25">
      <c r="A5276" s="508">
        <v>86876</v>
      </c>
      <c r="B5276" s="509" t="s">
        <v>2013</v>
      </c>
      <c r="C5276" s="508" t="s">
        <v>107</v>
      </c>
      <c r="D5276" s="508">
        <v>328.94</v>
      </c>
      <c r="E5276" s="461" t="s">
        <v>174</v>
      </c>
    </row>
    <row r="5277" spans="1:5" ht="27" x14ac:dyDescent="0.25">
      <c r="A5277" s="508">
        <v>86877</v>
      </c>
      <c r="B5277" s="509" t="s">
        <v>7365</v>
      </c>
      <c r="C5277" s="508" t="s">
        <v>107</v>
      </c>
      <c r="D5277" s="508">
        <v>58.15</v>
      </c>
      <c r="E5277" s="461" t="s">
        <v>174</v>
      </c>
    </row>
    <row r="5278" spans="1:5" ht="27" x14ac:dyDescent="0.25">
      <c r="A5278" s="508">
        <v>86878</v>
      </c>
      <c r="B5278" s="509" t="s">
        <v>7366</v>
      </c>
      <c r="C5278" s="508" t="s">
        <v>107</v>
      </c>
      <c r="D5278" s="508">
        <v>62.55</v>
      </c>
      <c r="E5278" s="461" t="s">
        <v>174</v>
      </c>
    </row>
    <row r="5279" spans="1:5" ht="27" x14ac:dyDescent="0.25">
      <c r="A5279" s="508">
        <v>86879</v>
      </c>
      <c r="B5279" s="509" t="s">
        <v>7367</v>
      </c>
      <c r="C5279" s="508" t="s">
        <v>107</v>
      </c>
      <c r="D5279" s="508">
        <v>9.99</v>
      </c>
      <c r="E5279" s="461" t="s">
        <v>174</v>
      </c>
    </row>
    <row r="5280" spans="1:5" ht="27" x14ac:dyDescent="0.25">
      <c r="A5280" s="508">
        <v>86880</v>
      </c>
      <c r="B5280" s="509" t="s">
        <v>7368</v>
      </c>
      <c r="C5280" s="508" t="s">
        <v>107</v>
      </c>
      <c r="D5280" s="508">
        <v>26.22</v>
      </c>
      <c r="E5280" s="461" t="s">
        <v>174</v>
      </c>
    </row>
    <row r="5281" spans="1:5" ht="27" x14ac:dyDescent="0.25">
      <c r="A5281" s="508">
        <v>86881</v>
      </c>
      <c r="B5281" s="509" t="s">
        <v>7369</v>
      </c>
      <c r="C5281" s="508" t="s">
        <v>107</v>
      </c>
      <c r="D5281" s="508">
        <v>173.88</v>
      </c>
      <c r="E5281" s="461" t="s">
        <v>174</v>
      </c>
    </row>
    <row r="5282" spans="1:5" ht="27" x14ac:dyDescent="0.25">
      <c r="A5282" s="508">
        <v>86882</v>
      </c>
      <c r="B5282" s="509" t="s">
        <v>7370</v>
      </c>
      <c r="C5282" s="508" t="s">
        <v>107</v>
      </c>
      <c r="D5282" s="508">
        <v>22.37</v>
      </c>
      <c r="E5282" s="461" t="s">
        <v>174</v>
      </c>
    </row>
    <row r="5283" spans="1:5" ht="15" x14ac:dyDescent="0.25">
      <c r="A5283" s="508">
        <v>86883</v>
      </c>
      <c r="B5283" s="509" t="s">
        <v>2014</v>
      </c>
      <c r="C5283" s="508" t="s">
        <v>107</v>
      </c>
      <c r="D5283" s="508">
        <v>12.21</v>
      </c>
      <c r="E5283" s="461" t="s">
        <v>174</v>
      </c>
    </row>
    <row r="5284" spans="1:5" ht="27" x14ac:dyDescent="0.25">
      <c r="A5284" s="508">
        <v>86884</v>
      </c>
      <c r="B5284" s="509" t="s">
        <v>7371</v>
      </c>
      <c r="C5284" s="508" t="s">
        <v>107</v>
      </c>
      <c r="D5284" s="508">
        <v>11.2</v>
      </c>
      <c r="E5284" s="461" t="s">
        <v>174</v>
      </c>
    </row>
    <row r="5285" spans="1:5" ht="27" x14ac:dyDescent="0.25">
      <c r="A5285" s="508">
        <v>86885</v>
      </c>
      <c r="B5285" s="509" t="s">
        <v>7372</v>
      </c>
      <c r="C5285" s="508" t="s">
        <v>107</v>
      </c>
      <c r="D5285" s="508">
        <v>12.61</v>
      </c>
      <c r="E5285" s="461" t="s">
        <v>174</v>
      </c>
    </row>
    <row r="5286" spans="1:5" ht="15" x14ac:dyDescent="0.25">
      <c r="A5286" s="508">
        <v>86886</v>
      </c>
      <c r="B5286" s="509" t="s">
        <v>2015</v>
      </c>
      <c r="C5286" s="508" t="s">
        <v>107</v>
      </c>
      <c r="D5286" s="508">
        <v>43.3</v>
      </c>
      <c r="E5286" s="461" t="s">
        <v>174</v>
      </c>
    </row>
    <row r="5287" spans="1:5" ht="15" x14ac:dyDescent="0.25">
      <c r="A5287" s="508">
        <v>86887</v>
      </c>
      <c r="B5287" s="509" t="s">
        <v>2016</v>
      </c>
      <c r="C5287" s="508" t="s">
        <v>107</v>
      </c>
      <c r="D5287" s="508">
        <v>46.84</v>
      </c>
      <c r="E5287" s="461" t="s">
        <v>174</v>
      </c>
    </row>
    <row r="5288" spans="1:5" ht="27" x14ac:dyDescent="0.25">
      <c r="A5288" s="508">
        <v>86888</v>
      </c>
      <c r="B5288" s="509" t="s">
        <v>2017</v>
      </c>
      <c r="C5288" s="508" t="s">
        <v>107</v>
      </c>
      <c r="D5288" s="508">
        <v>478.38</v>
      </c>
      <c r="E5288" s="461" t="s">
        <v>174</v>
      </c>
    </row>
    <row r="5289" spans="1:5" ht="27" x14ac:dyDescent="0.25">
      <c r="A5289" s="508">
        <v>86889</v>
      </c>
      <c r="B5289" s="509" t="s">
        <v>2018</v>
      </c>
      <c r="C5289" s="508" t="s">
        <v>107</v>
      </c>
      <c r="D5289" s="508">
        <v>657.64</v>
      </c>
      <c r="E5289" s="461" t="s">
        <v>174</v>
      </c>
    </row>
    <row r="5290" spans="1:5" ht="27" x14ac:dyDescent="0.25">
      <c r="A5290" s="508">
        <v>86893</v>
      </c>
      <c r="B5290" s="509" t="s">
        <v>2019</v>
      </c>
      <c r="C5290" s="508" t="s">
        <v>107</v>
      </c>
      <c r="D5290" s="508">
        <v>560.21</v>
      </c>
      <c r="E5290" s="461" t="s">
        <v>174</v>
      </c>
    </row>
    <row r="5291" spans="1:5" ht="27" x14ac:dyDescent="0.25">
      <c r="A5291" s="508">
        <v>86894</v>
      </c>
      <c r="B5291" s="509" t="s">
        <v>2020</v>
      </c>
      <c r="C5291" s="508" t="s">
        <v>107</v>
      </c>
      <c r="D5291" s="508">
        <v>322.24</v>
      </c>
      <c r="E5291" s="461" t="s">
        <v>174</v>
      </c>
    </row>
    <row r="5292" spans="1:5" ht="27" x14ac:dyDescent="0.25">
      <c r="A5292" s="508">
        <v>86895</v>
      </c>
      <c r="B5292" s="509" t="s">
        <v>2021</v>
      </c>
      <c r="C5292" s="508" t="s">
        <v>107</v>
      </c>
      <c r="D5292" s="508">
        <v>333.29</v>
      </c>
      <c r="E5292" s="461" t="s">
        <v>174</v>
      </c>
    </row>
    <row r="5293" spans="1:5" ht="27" x14ac:dyDescent="0.25">
      <c r="A5293" s="508">
        <v>86899</v>
      </c>
      <c r="B5293" s="509" t="s">
        <v>2022</v>
      </c>
      <c r="C5293" s="508" t="s">
        <v>107</v>
      </c>
      <c r="D5293" s="508">
        <v>296.74</v>
      </c>
      <c r="E5293" s="461" t="s">
        <v>174</v>
      </c>
    </row>
    <row r="5294" spans="1:5" ht="27" x14ac:dyDescent="0.25">
      <c r="A5294" s="508">
        <v>86900</v>
      </c>
      <c r="B5294" s="509" t="s">
        <v>2023</v>
      </c>
      <c r="C5294" s="508" t="s">
        <v>107</v>
      </c>
      <c r="D5294" s="508">
        <v>202.84</v>
      </c>
      <c r="E5294" s="461" t="s">
        <v>174</v>
      </c>
    </row>
    <row r="5295" spans="1:5" ht="27" x14ac:dyDescent="0.25">
      <c r="A5295" s="508">
        <v>86901</v>
      </c>
      <c r="B5295" s="509" t="s">
        <v>2024</v>
      </c>
      <c r="C5295" s="508" t="s">
        <v>107</v>
      </c>
      <c r="D5295" s="508">
        <v>145</v>
      </c>
      <c r="E5295" s="461" t="s">
        <v>174</v>
      </c>
    </row>
    <row r="5296" spans="1:5" ht="27" x14ac:dyDescent="0.25">
      <c r="A5296" s="508">
        <v>86902</v>
      </c>
      <c r="B5296" s="509" t="s">
        <v>2025</v>
      </c>
      <c r="C5296" s="508" t="s">
        <v>107</v>
      </c>
      <c r="D5296" s="508">
        <v>312.5</v>
      </c>
      <c r="E5296" s="461" t="s">
        <v>174</v>
      </c>
    </row>
    <row r="5297" spans="1:5" ht="27" x14ac:dyDescent="0.25">
      <c r="A5297" s="508">
        <v>86903</v>
      </c>
      <c r="B5297" s="509" t="s">
        <v>2026</v>
      </c>
      <c r="C5297" s="508" t="s">
        <v>107</v>
      </c>
      <c r="D5297" s="508">
        <v>355.02</v>
      </c>
      <c r="E5297" s="461" t="s">
        <v>174</v>
      </c>
    </row>
    <row r="5298" spans="1:5" ht="27" x14ac:dyDescent="0.25">
      <c r="A5298" s="508">
        <v>86904</v>
      </c>
      <c r="B5298" s="509" t="s">
        <v>2027</v>
      </c>
      <c r="C5298" s="508" t="s">
        <v>107</v>
      </c>
      <c r="D5298" s="508">
        <v>145.63999999999999</v>
      </c>
      <c r="E5298" s="461" t="s">
        <v>174</v>
      </c>
    </row>
    <row r="5299" spans="1:5" ht="27" x14ac:dyDescent="0.25">
      <c r="A5299" s="508">
        <v>86905</v>
      </c>
      <c r="B5299" s="509" t="s">
        <v>2028</v>
      </c>
      <c r="C5299" s="508" t="s">
        <v>107</v>
      </c>
      <c r="D5299" s="508">
        <v>386.3</v>
      </c>
      <c r="E5299" s="461" t="s">
        <v>174</v>
      </c>
    </row>
    <row r="5300" spans="1:5" ht="27" x14ac:dyDescent="0.25">
      <c r="A5300" s="508">
        <v>86906</v>
      </c>
      <c r="B5300" s="509" t="s">
        <v>7373</v>
      </c>
      <c r="C5300" s="508" t="s">
        <v>107</v>
      </c>
      <c r="D5300" s="508">
        <v>71.540000000000006</v>
      </c>
      <c r="E5300" s="461" t="s">
        <v>174</v>
      </c>
    </row>
    <row r="5301" spans="1:5" ht="27" x14ac:dyDescent="0.25">
      <c r="A5301" s="508">
        <v>86908</v>
      </c>
      <c r="B5301" s="509" t="s">
        <v>2029</v>
      </c>
      <c r="C5301" s="508" t="s">
        <v>107</v>
      </c>
      <c r="D5301" s="508">
        <v>460.28</v>
      </c>
      <c r="E5301" s="461" t="s">
        <v>174</v>
      </c>
    </row>
    <row r="5302" spans="1:5" ht="27" x14ac:dyDescent="0.25">
      <c r="A5302" s="508">
        <v>86909</v>
      </c>
      <c r="B5302" s="509" t="s">
        <v>7374</v>
      </c>
      <c r="C5302" s="508" t="s">
        <v>107</v>
      </c>
      <c r="D5302" s="508">
        <v>124.22</v>
      </c>
      <c r="E5302" s="461" t="s">
        <v>174</v>
      </c>
    </row>
    <row r="5303" spans="1:5" ht="27" x14ac:dyDescent="0.25">
      <c r="A5303" s="508">
        <v>86910</v>
      </c>
      <c r="B5303" s="509" t="s">
        <v>7375</v>
      </c>
      <c r="C5303" s="508" t="s">
        <v>107</v>
      </c>
      <c r="D5303" s="508">
        <v>121.96</v>
      </c>
      <c r="E5303" s="461" t="s">
        <v>174</v>
      </c>
    </row>
    <row r="5304" spans="1:5" ht="27" x14ac:dyDescent="0.25">
      <c r="A5304" s="508">
        <v>86911</v>
      </c>
      <c r="B5304" s="509" t="s">
        <v>7376</v>
      </c>
      <c r="C5304" s="508" t="s">
        <v>107</v>
      </c>
      <c r="D5304" s="508">
        <v>83.75</v>
      </c>
      <c r="E5304" s="461" t="s">
        <v>174</v>
      </c>
    </row>
    <row r="5305" spans="1:5" ht="27" x14ac:dyDescent="0.25">
      <c r="A5305" s="508">
        <v>86913</v>
      </c>
      <c r="B5305" s="509" t="s">
        <v>7377</v>
      </c>
      <c r="C5305" s="508" t="s">
        <v>107</v>
      </c>
      <c r="D5305" s="508">
        <v>53.01</v>
      </c>
      <c r="E5305" s="461" t="s">
        <v>174</v>
      </c>
    </row>
    <row r="5306" spans="1:5" ht="27" x14ac:dyDescent="0.25">
      <c r="A5306" s="508">
        <v>86914</v>
      </c>
      <c r="B5306" s="509" t="s">
        <v>7378</v>
      </c>
      <c r="C5306" s="508" t="s">
        <v>107</v>
      </c>
      <c r="D5306" s="508">
        <v>94.19</v>
      </c>
      <c r="E5306" s="461" t="s">
        <v>174</v>
      </c>
    </row>
    <row r="5307" spans="1:5" ht="27" x14ac:dyDescent="0.25">
      <c r="A5307" s="508">
        <v>86915</v>
      </c>
      <c r="B5307" s="509" t="s">
        <v>7379</v>
      </c>
      <c r="C5307" s="508" t="s">
        <v>107</v>
      </c>
      <c r="D5307" s="508">
        <v>136.32</v>
      </c>
      <c r="E5307" s="461" t="s">
        <v>174</v>
      </c>
    </row>
    <row r="5308" spans="1:5" ht="15" x14ac:dyDescent="0.25">
      <c r="A5308" s="508">
        <v>86916</v>
      </c>
      <c r="B5308" s="509" t="s">
        <v>7380</v>
      </c>
      <c r="C5308" s="508" t="s">
        <v>107</v>
      </c>
      <c r="D5308" s="508">
        <v>22.91</v>
      </c>
      <c r="E5308" s="461" t="s">
        <v>174</v>
      </c>
    </row>
    <row r="5309" spans="1:5" ht="40.5" x14ac:dyDescent="0.25">
      <c r="A5309" s="508">
        <v>86919</v>
      </c>
      <c r="B5309" s="509" t="s">
        <v>2030</v>
      </c>
      <c r="C5309" s="508" t="s">
        <v>107</v>
      </c>
      <c r="D5309" s="508">
        <v>870.9</v>
      </c>
      <c r="E5309" s="461" t="s">
        <v>174</v>
      </c>
    </row>
    <row r="5310" spans="1:5" ht="40.5" x14ac:dyDescent="0.25">
      <c r="A5310" s="508">
        <v>86920</v>
      </c>
      <c r="B5310" s="509" t="s">
        <v>2031</v>
      </c>
      <c r="C5310" s="508" t="s">
        <v>107</v>
      </c>
      <c r="D5310" s="508">
        <v>781.56</v>
      </c>
      <c r="E5310" s="461" t="s">
        <v>174</v>
      </c>
    </row>
    <row r="5311" spans="1:5" ht="27" x14ac:dyDescent="0.25">
      <c r="A5311" s="508">
        <v>86921</v>
      </c>
      <c r="B5311" s="509" t="s">
        <v>2032</v>
      </c>
      <c r="C5311" s="508" t="s">
        <v>107</v>
      </c>
      <c r="D5311" s="508">
        <v>751.46</v>
      </c>
      <c r="E5311" s="461" t="s">
        <v>174</v>
      </c>
    </row>
    <row r="5312" spans="1:5" ht="40.5" x14ac:dyDescent="0.25">
      <c r="A5312" s="508">
        <v>86922</v>
      </c>
      <c r="B5312" s="509" t="s">
        <v>2033</v>
      </c>
      <c r="C5312" s="508" t="s">
        <v>107</v>
      </c>
      <c r="D5312" s="508">
        <v>817.77</v>
      </c>
      <c r="E5312" s="461" t="s">
        <v>174</v>
      </c>
    </row>
    <row r="5313" spans="1:5" ht="40.5" x14ac:dyDescent="0.25">
      <c r="A5313" s="508">
        <v>86923</v>
      </c>
      <c r="B5313" s="509" t="s">
        <v>2034</v>
      </c>
      <c r="C5313" s="508" t="s">
        <v>107</v>
      </c>
      <c r="D5313" s="508">
        <v>576.91999999999996</v>
      </c>
      <c r="E5313" s="461" t="s">
        <v>174</v>
      </c>
    </row>
    <row r="5314" spans="1:5" ht="27" x14ac:dyDescent="0.25">
      <c r="A5314" s="508">
        <v>86924</v>
      </c>
      <c r="B5314" s="509" t="s">
        <v>2035</v>
      </c>
      <c r="C5314" s="508" t="s">
        <v>107</v>
      </c>
      <c r="D5314" s="508">
        <v>546.82000000000005</v>
      </c>
      <c r="E5314" s="461" t="s">
        <v>174</v>
      </c>
    </row>
    <row r="5315" spans="1:5" ht="40.5" x14ac:dyDescent="0.25">
      <c r="A5315" s="508">
        <v>86925</v>
      </c>
      <c r="B5315" s="509" t="s">
        <v>2036</v>
      </c>
      <c r="C5315" s="508" t="s">
        <v>107</v>
      </c>
      <c r="D5315" s="508">
        <v>650.77</v>
      </c>
      <c r="E5315" s="461" t="s">
        <v>174</v>
      </c>
    </row>
    <row r="5316" spans="1:5" ht="27" x14ac:dyDescent="0.25">
      <c r="A5316" s="508">
        <v>86926</v>
      </c>
      <c r="B5316" s="509" t="s">
        <v>2037</v>
      </c>
      <c r="C5316" s="508" t="s">
        <v>107</v>
      </c>
      <c r="D5316" s="508">
        <v>620.66999999999996</v>
      </c>
      <c r="E5316" s="461" t="s">
        <v>174</v>
      </c>
    </row>
    <row r="5317" spans="1:5" ht="40.5" x14ac:dyDescent="0.25">
      <c r="A5317" s="508">
        <v>86927</v>
      </c>
      <c r="B5317" s="509" t="s">
        <v>2038</v>
      </c>
      <c r="C5317" s="508" t="s">
        <v>107</v>
      </c>
      <c r="D5317" s="508">
        <v>414.31</v>
      </c>
      <c r="E5317" s="461" t="s">
        <v>174</v>
      </c>
    </row>
    <row r="5318" spans="1:5" ht="40.5" x14ac:dyDescent="0.25">
      <c r="A5318" s="508">
        <v>86928</v>
      </c>
      <c r="B5318" s="509" t="s">
        <v>2039</v>
      </c>
      <c r="C5318" s="508" t="s">
        <v>107</v>
      </c>
      <c r="D5318" s="508">
        <v>384.21</v>
      </c>
      <c r="E5318" s="461" t="s">
        <v>174</v>
      </c>
    </row>
    <row r="5319" spans="1:5" ht="40.5" x14ac:dyDescent="0.25">
      <c r="A5319" s="508">
        <v>86929</v>
      </c>
      <c r="B5319" s="509" t="s">
        <v>2040</v>
      </c>
      <c r="C5319" s="508" t="s">
        <v>107</v>
      </c>
      <c r="D5319" s="510">
        <v>404.15</v>
      </c>
      <c r="E5319" s="461" t="s">
        <v>174</v>
      </c>
    </row>
    <row r="5320" spans="1:5" ht="27" x14ac:dyDescent="0.25">
      <c r="A5320" s="508">
        <v>86930</v>
      </c>
      <c r="B5320" s="509" t="s">
        <v>2041</v>
      </c>
      <c r="C5320" s="508" t="s">
        <v>107</v>
      </c>
      <c r="D5320" s="508">
        <v>374.05</v>
      </c>
      <c r="E5320" s="461" t="s">
        <v>174</v>
      </c>
    </row>
    <row r="5321" spans="1:5" ht="27" x14ac:dyDescent="0.25">
      <c r="A5321" s="508">
        <v>86931</v>
      </c>
      <c r="B5321" s="509" t="s">
        <v>2042</v>
      </c>
      <c r="C5321" s="508" t="s">
        <v>107</v>
      </c>
      <c r="D5321" s="508">
        <v>490.99</v>
      </c>
      <c r="E5321" s="461" t="s">
        <v>174</v>
      </c>
    </row>
    <row r="5322" spans="1:5" ht="27" x14ac:dyDescent="0.25">
      <c r="A5322" s="508">
        <v>86932</v>
      </c>
      <c r="B5322" s="509" t="s">
        <v>2043</v>
      </c>
      <c r="C5322" s="508" t="s">
        <v>107</v>
      </c>
      <c r="D5322" s="508">
        <v>525.22</v>
      </c>
      <c r="E5322" s="461" t="s">
        <v>174</v>
      </c>
    </row>
    <row r="5323" spans="1:5" ht="40.5" x14ac:dyDescent="0.25">
      <c r="A5323" s="508">
        <v>86933</v>
      </c>
      <c r="B5323" s="509" t="s">
        <v>2044</v>
      </c>
      <c r="C5323" s="508" t="s">
        <v>107</v>
      </c>
      <c r="D5323" s="508">
        <v>454.58</v>
      </c>
      <c r="E5323" s="461" t="s">
        <v>174</v>
      </c>
    </row>
    <row r="5324" spans="1:5" ht="40.5" x14ac:dyDescent="0.25">
      <c r="A5324" s="508">
        <v>86934</v>
      </c>
      <c r="B5324" s="509" t="s">
        <v>2045</v>
      </c>
      <c r="C5324" s="508" t="s">
        <v>107</v>
      </c>
      <c r="D5324" s="508">
        <v>444.42</v>
      </c>
      <c r="E5324" s="461" t="s">
        <v>174</v>
      </c>
    </row>
    <row r="5325" spans="1:5" ht="27" x14ac:dyDescent="0.25">
      <c r="A5325" s="508">
        <v>86935</v>
      </c>
      <c r="B5325" s="509" t="s">
        <v>2046</v>
      </c>
      <c r="C5325" s="508" t="s">
        <v>107</v>
      </c>
      <c r="D5325" s="508">
        <v>277.60000000000002</v>
      </c>
      <c r="E5325" s="461" t="s">
        <v>174</v>
      </c>
    </row>
    <row r="5326" spans="1:5" ht="27" x14ac:dyDescent="0.25">
      <c r="A5326" s="508">
        <v>86936</v>
      </c>
      <c r="B5326" s="509" t="s">
        <v>2047</v>
      </c>
      <c r="C5326" s="508" t="s">
        <v>107</v>
      </c>
      <c r="D5326" s="508">
        <v>439.27</v>
      </c>
      <c r="E5326" s="461" t="s">
        <v>174</v>
      </c>
    </row>
    <row r="5327" spans="1:5" ht="27" x14ac:dyDescent="0.25">
      <c r="A5327" s="508">
        <v>86937</v>
      </c>
      <c r="B5327" s="509" t="s">
        <v>2048</v>
      </c>
      <c r="C5327" s="508" t="s">
        <v>107</v>
      </c>
      <c r="D5327" s="508">
        <v>215.36</v>
      </c>
      <c r="E5327" s="461" t="s">
        <v>174</v>
      </c>
    </row>
    <row r="5328" spans="1:5" ht="27" x14ac:dyDescent="0.25">
      <c r="A5328" s="508">
        <v>86938</v>
      </c>
      <c r="B5328" s="509" t="s">
        <v>2049</v>
      </c>
      <c r="C5328" s="508" t="s">
        <v>107</v>
      </c>
      <c r="D5328" s="508">
        <v>377.03</v>
      </c>
      <c r="E5328" s="461" t="s">
        <v>174</v>
      </c>
    </row>
    <row r="5329" spans="1:5" ht="40.5" x14ac:dyDescent="0.25">
      <c r="A5329" s="508">
        <v>86939</v>
      </c>
      <c r="B5329" s="509" t="s">
        <v>2050</v>
      </c>
      <c r="C5329" s="508" t="s">
        <v>107</v>
      </c>
      <c r="D5329" s="508">
        <v>417.44</v>
      </c>
      <c r="E5329" s="461" t="s">
        <v>174</v>
      </c>
    </row>
    <row r="5330" spans="1:5" ht="40.5" x14ac:dyDescent="0.25">
      <c r="A5330" s="508">
        <v>86940</v>
      </c>
      <c r="B5330" s="509" t="s">
        <v>2051</v>
      </c>
      <c r="C5330" s="508" t="s">
        <v>107</v>
      </c>
      <c r="D5330" s="508">
        <v>1067.03</v>
      </c>
      <c r="E5330" s="461" t="s">
        <v>174</v>
      </c>
    </row>
    <row r="5331" spans="1:5" ht="40.5" x14ac:dyDescent="0.25">
      <c r="A5331" s="508">
        <v>86941</v>
      </c>
      <c r="B5331" s="509" t="s">
        <v>2052</v>
      </c>
      <c r="C5331" s="508" t="s">
        <v>107</v>
      </c>
      <c r="D5331" s="508">
        <v>770.21</v>
      </c>
      <c r="E5331" s="461" t="s">
        <v>174</v>
      </c>
    </row>
    <row r="5332" spans="1:5" ht="40.5" x14ac:dyDescent="0.25">
      <c r="A5332" s="508">
        <v>86942</v>
      </c>
      <c r="B5332" s="509" t="s">
        <v>2053</v>
      </c>
      <c r="C5332" s="508" t="s">
        <v>107</v>
      </c>
      <c r="D5332" s="508">
        <v>260.74</v>
      </c>
      <c r="E5332" s="461" t="s">
        <v>174</v>
      </c>
    </row>
    <row r="5333" spans="1:5" ht="40.5" x14ac:dyDescent="0.25">
      <c r="A5333" s="508">
        <v>86943</v>
      </c>
      <c r="B5333" s="509" t="s">
        <v>2054</v>
      </c>
      <c r="C5333" s="508" t="s">
        <v>107</v>
      </c>
      <c r="D5333" s="508">
        <v>250.58</v>
      </c>
      <c r="E5333" s="461" t="s">
        <v>174</v>
      </c>
    </row>
    <row r="5334" spans="1:5" ht="40.5" x14ac:dyDescent="0.25">
      <c r="A5334" s="508">
        <v>86947</v>
      </c>
      <c r="B5334" s="509" t="s">
        <v>2055</v>
      </c>
      <c r="C5334" s="508" t="s">
        <v>107</v>
      </c>
      <c r="D5334" s="508">
        <v>1153.75</v>
      </c>
      <c r="E5334" s="461" t="s">
        <v>174</v>
      </c>
    </row>
    <row r="5335" spans="1:5" ht="40.5" x14ac:dyDescent="0.25">
      <c r="A5335" s="508">
        <v>93396</v>
      </c>
      <c r="B5335" s="509" t="s">
        <v>2056</v>
      </c>
      <c r="C5335" s="508" t="s">
        <v>107</v>
      </c>
      <c r="D5335" s="508">
        <v>631.39</v>
      </c>
      <c r="E5335" s="461" t="s">
        <v>174</v>
      </c>
    </row>
    <row r="5336" spans="1:5" ht="40.5" x14ac:dyDescent="0.25">
      <c r="A5336" s="508">
        <v>93441</v>
      </c>
      <c r="B5336" s="509" t="s">
        <v>7381</v>
      </c>
      <c r="C5336" s="508" t="s">
        <v>107</v>
      </c>
      <c r="D5336" s="508">
        <v>1030.19</v>
      </c>
      <c r="E5336" s="461" t="s">
        <v>174</v>
      </c>
    </row>
    <row r="5337" spans="1:5" ht="40.5" x14ac:dyDescent="0.25">
      <c r="A5337" s="508">
        <v>93442</v>
      </c>
      <c r="B5337" s="509" t="s">
        <v>7382</v>
      </c>
      <c r="C5337" s="508" t="s">
        <v>107</v>
      </c>
      <c r="D5337" s="508">
        <v>1134.9000000000001</v>
      </c>
      <c r="E5337" s="461" t="s">
        <v>174</v>
      </c>
    </row>
    <row r="5338" spans="1:5" ht="27" x14ac:dyDescent="0.25">
      <c r="A5338" s="508">
        <v>95469</v>
      </c>
      <c r="B5338" s="509" t="s">
        <v>2057</v>
      </c>
      <c r="C5338" s="508" t="s">
        <v>107</v>
      </c>
      <c r="D5338" s="508">
        <v>294.47000000000003</v>
      </c>
      <c r="E5338" s="461" t="s">
        <v>174</v>
      </c>
    </row>
    <row r="5339" spans="1:5" ht="27" x14ac:dyDescent="0.25">
      <c r="A5339" s="508">
        <v>95470</v>
      </c>
      <c r="B5339" s="509" t="s">
        <v>13047</v>
      </c>
      <c r="C5339" s="508" t="s">
        <v>107</v>
      </c>
      <c r="D5339" s="508">
        <v>304.11</v>
      </c>
      <c r="E5339" s="461" t="s">
        <v>174</v>
      </c>
    </row>
    <row r="5340" spans="1:5" ht="27" x14ac:dyDescent="0.25">
      <c r="A5340" s="508">
        <v>95471</v>
      </c>
      <c r="B5340" s="509" t="s">
        <v>2058</v>
      </c>
      <c r="C5340" s="508" t="s">
        <v>107</v>
      </c>
      <c r="D5340" s="508">
        <v>747.03</v>
      </c>
      <c r="E5340" s="461" t="s">
        <v>174</v>
      </c>
    </row>
    <row r="5341" spans="1:5" ht="40.5" x14ac:dyDescent="0.25">
      <c r="A5341" s="508">
        <v>95472</v>
      </c>
      <c r="B5341" s="509" t="s">
        <v>2059</v>
      </c>
      <c r="C5341" s="508" t="s">
        <v>107</v>
      </c>
      <c r="D5341" s="508">
        <v>756.67</v>
      </c>
      <c r="E5341" s="461" t="s">
        <v>174</v>
      </c>
    </row>
    <row r="5342" spans="1:5" ht="15" x14ac:dyDescent="0.25">
      <c r="A5342" s="508">
        <v>95542</v>
      </c>
      <c r="B5342" s="509" t="s">
        <v>2060</v>
      </c>
      <c r="C5342" s="508" t="s">
        <v>107</v>
      </c>
      <c r="D5342" s="508">
        <v>40.83</v>
      </c>
      <c r="E5342" s="461" t="s">
        <v>174</v>
      </c>
    </row>
    <row r="5343" spans="1:5" ht="15" x14ac:dyDescent="0.25">
      <c r="A5343" s="508">
        <v>95543</v>
      </c>
      <c r="B5343" s="509" t="s">
        <v>2061</v>
      </c>
      <c r="C5343" s="508" t="s">
        <v>107</v>
      </c>
      <c r="D5343" s="508">
        <v>68.86</v>
      </c>
      <c r="E5343" s="461" t="s">
        <v>174</v>
      </c>
    </row>
    <row r="5344" spans="1:5" ht="15" x14ac:dyDescent="0.25">
      <c r="A5344" s="508">
        <v>95544</v>
      </c>
      <c r="B5344" s="509" t="s">
        <v>2062</v>
      </c>
      <c r="C5344" s="508" t="s">
        <v>107</v>
      </c>
      <c r="D5344" s="508">
        <v>49.77</v>
      </c>
      <c r="E5344" s="461" t="s">
        <v>174</v>
      </c>
    </row>
    <row r="5345" spans="1:5" ht="15" x14ac:dyDescent="0.25">
      <c r="A5345" s="508">
        <v>95545</v>
      </c>
      <c r="B5345" s="509" t="s">
        <v>2063</v>
      </c>
      <c r="C5345" s="508" t="s">
        <v>107</v>
      </c>
      <c r="D5345" s="508">
        <v>48.82</v>
      </c>
      <c r="E5345" s="461" t="s">
        <v>174</v>
      </c>
    </row>
    <row r="5346" spans="1:5" ht="27" x14ac:dyDescent="0.25">
      <c r="A5346" s="508">
        <v>95546</v>
      </c>
      <c r="B5346" s="509" t="s">
        <v>2064</v>
      </c>
      <c r="C5346" s="508" t="s">
        <v>107</v>
      </c>
      <c r="D5346" s="508">
        <v>168.79</v>
      </c>
      <c r="E5346" s="461" t="s">
        <v>174</v>
      </c>
    </row>
    <row r="5347" spans="1:5" ht="27" x14ac:dyDescent="0.25">
      <c r="A5347" s="508">
        <v>95547</v>
      </c>
      <c r="B5347" s="509" t="s">
        <v>2065</v>
      </c>
      <c r="C5347" s="508" t="s">
        <v>107</v>
      </c>
      <c r="D5347" s="508">
        <v>50.79</v>
      </c>
      <c r="E5347" s="461" t="s">
        <v>174</v>
      </c>
    </row>
    <row r="5348" spans="1:5" ht="15" x14ac:dyDescent="0.25">
      <c r="A5348" s="508">
        <v>100848</v>
      </c>
      <c r="B5348" s="509" t="s">
        <v>2066</v>
      </c>
      <c r="C5348" s="508" t="s">
        <v>107</v>
      </c>
      <c r="D5348" s="508">
        <v>536.79999999999995</v>
      </c>
      <c r="E5348" s="461" t="s">
        <v>174</v>
      </c>
    </row>
    <row r="5349" spans="1:5" ht="15" x14ac:dyDescent="0.25">
      <c r="A5349" s="508">
        <v>100849</v>
      </c>
      <c r="B5349" s="509" t="s">
        <v>2067</v>
      </c>
      <c r="C5349" s="508" t="s">
        <v>107</v>
      </c>
      <c r="D5349" s="508">
        <v>46.58</v>
      </c>
      <c r="E5349" s="461" t="s">
        <v>174</v>
      </c>
    </row>
    <row r="5350" spans="1:5" ht="15" x14ac:dyDescent="0.25">
      <c r="A5350" s="508">
        <v>100851</v>
      </c>
      <c r="B5350" s="509" t="s">
        <v>2068</v>
      </c>
      <c r="C5350" s="508" t="s">
        <v>107</v>
      </c>
      <c r="D5350" s="508">
        <v>92.6</v>
      </c>
      <c r="E5350" s="461" t="s">
        <v>174</v>
      </c>
    </row>
    <row r="5351" spans="1:5" ht="27" x14ac:dyDescent="0.25">
      <c r="A5351" s="508">
        <v>100852</v>
      </c>
      <c r="B5351" s="509" t="s">
        <v>2069</v>
      </c>
      <c r="C5351" s="508" t="s">
        <v>107</v>
      </c>
      <c r="D5351" s="508">
        <v>221.87</v>
      </c>
      <c r="E5351" s="461" t="s">
        <v>174</v>
      </c>
    </row>
    <row r="5352" spans="1:5" ht="15" x14ac:dyDescent="0.25">
      <c r="A5352" s="508">
        <v>100853</v>
      </c>
      <c r="B5352" s="509" t="s">
        <v>4057</v>
      </c>
      <c r="C5352" s="508" t="s">
        <v>107</v>
      </c>
      <c r="D5352" s="508">
        <v>328.79</v>
      </c>
      <c r="E5352" s="461" t="s">
        <v>174</v>
      </c>
    </row>
    <row r="5353" spans="1:5" ht="15" x14ac:dyDescent="0.25">
      <c r="A5353" s="508">
        <v>100854</v>
      </c>
      <c r="B5353" s="509" t="s">
        <v>2070</v>
      </c>
      <c r="C5353" s="508" t="s">
        <v>107</v>
      </c>
      <c r="D5353" s="508">
        <v>1701.3</v>
      </c>
      <c r="E5353" s="461" t="s">
        <v>174</v>
      </c>
    </row>
    <row r="5354" spans="1:5" ht="15" x14ac:dyDescent="0.25">
      <c r="A5354" s="508">
        <v>100856</v>
      </c>
      <c r="B5354" s="509" t="s">
        <v>7383</v>
      </c>
      <c r="C5354" s="508" t="s">
        <v>107</v>
      </c>
      <c r="D5354" s="508">
        <v>36.619999999999997</v>
      </c>
      <c r="E5354" s="461" t="s">
        <v>174</v>
      </c>
    </row>
    <row r="5355" spans="1:5" ht="15" x14ac:dyDescent="0.25">
      <c r="A5355" s="508">
        <v>100857</v>
      </c>
      <c r="B5355" s="509" t="s">
        <v>7384</v>
      </c>
      <c r="C5355" s="508" t="s">
        <v>107</v>
      </c>
      <c r="D5355" s="508">
        <v>499.69</v>
      </c>
      <c r="E5355" s="461" t="s">
        <v>174</v>
      </c>
    </row>
    <row r="5356" spans="1:5" ht="15" x14ac:dyDescent="0.25">
      <c r="A5356" s="508">
        <v>100858</v>
      </c>
      <c r="B5356" s="509" t="s">
        <v>7385</v>
      </c>
      <c r="C5356" s="508" t="s">
        <v>107</v>
      </c>
      <c r="D5356" s="508">
        <v>740.06</v>
      </c>
      <c r="E5356" s="461" t="s">
        <v>174</v>
      </c>
    </row>
    <row r="5357" spans="1:5" ht="27" x14ac:dyDescent="0.25">
      <c r="A5357" s="508">
        <v>100859</v>
      </c>
      <c r="B5357" s="509" t="s">
        <v>7386</v>
      </c>
      <c r="C5357" s="508" t="s">
        <v>107</v>
      </c>
      <c r="D5357" s="508">
        <v>982.41</v>
      </c>
      <c r="E5357" s="461" t="s">
        <v>174</v>
      </c>
    </row>
    <row r="5358" spans="1:5" ht="27" x14ac:dyDescent="0.25">
      <c r="A5358" s="508">
        <v>100860</v>
      </c>
      <c r="B5358" s="509" t="s">
        <v>7387</v>
      </c>
      <c r="C5358" s="508" t="s">
        <v>107</v>
      </c>
      <c r="D5358" s="508">
        <v>100.81</v>
      </c>
      <c r="E5358" s="461" t="s">
        <v>174</v>
      </c>
    </row>
    <row r="5359" spans="1:5" ht="27" x14ac:dyDescent="0.25">
      <c r="A5359" s="508">
        <v>100861</v>
      </c>
      <c r="B5359" s="509" t="s">
        <v>2071</v>
      </c>
      <c r="C5359" s="508" t="s">
        <v>107</v>
      </c>
      <c r="D5359" s="508">
        <v>38.21</v>
      </c>
      <c r="E5359" s="461" t="s">
        <v>174</v>
      </c>
    </row>
    <row r="5360" spans="1:5" ht="27" x14ac:dyDescent="0.25">
      <c r="A5360" s="508">
        <v>100862</v>
      </c>
      <c r="B5360" s="509" t="s">
        <v>2072</v>
      </c>
      <c r="C5360" s="508" t="s">
        <v>107</v>
      </c>
      <c r="D5360" s="508">
        <v>41.62</v>
      </c>
      <c r="E5360" s="461" t="s">
        <v>174</v>
      </c>
    </row>
    <row r="5361" spans="1:5" ht="27" x14ac:dyDescent="0.25">
      <c r="A5361" s="508">
        <v>100863</v>
      </c>
      <c r="B5361" s="509" t="s">
        <v>2073</v>
      </c>
      <c r="C5361" s="508" t="s">
        <v>107</v>
      </c>
      <c r="D5361" s="508">
        <v>599.11</v>
      </c>
      <c r="E5361" s="461" t="s">
        <v>174</v>
      </c>
    </row>
    <row r="5362" spans="1:5" ht="27" x14ac:dyDescent="0.25">
      <c r="A5362" s="508">
        <v>100864</v>
      </c>
      <c r="B5362" s="509" t="s">
        <v>2074</v>
      </c>
      <c r="C5362" s="508" t="s">
        <v>107</v>
      </c>
      <c r="D5362" s="508">
        <v>655.19000000000005</v>
      </c>
      <c r="E5362" s="461" t="s">
        <v>174</v>
      </c>
    </row>
    <row r="5363" spans="1:5" ht="27" x14ac:dyDescent="0.25">
      <c r="A5363" s="508">
        <v>100865</v>
      </c>
      <c r="B5363" s="509" t="s">
        <v>2075</v>
      </c>
      <c r="C5363" s="508" t="s">
        <v>107</v>
      </c>
      <c r="D5363" s="508">
        <v>569.04999999999995</v>
      </c>
      <c r="E5363" s="461" t="s">
        <v>174</v>
      </c>
    </row>
    <row r="5364" spans="1:5" ht="27" x14ac:dyDescent="0.25">
      <c r="A5364" s="508">
        <v>100866</v>
      </c>
      <c r="B5364" s="509" t="s">
        <v>2076</v>
      </c>
      <c r="C5364" s="508" t="s">
        <v>107</v>
      </c>
      <c r="D5364" s="508">
        <v>313.41000000000003</v>
      </c>
      <c r="E5364" s="461" t="s">
        <v>174</v>
      </c>
    </row>
    <row r="5365" spans="1:5" ht="27" x14ac:dyDescent="0.25">
      <c r="A5365" s="508">
        <v>100867</v>
      </c>
      <c r="B5365" s="509" t="s">
        <v>2077</v>
      </c>
      <c r="C5365" s="508" t="s">
        <v>107</v>
      </c>
      <c r="D5365" s="508">
        <v>331.91</v>
      </c>
      <c r="E5365" s="461" t="s">
        <v>174</v>
      </c>
    </row>
    <row r="5366" spans="1:5" ht="27" x14ac:dyDescent="0.25">
      <c r="A5366" s="508">
        <v>100868</v>
      </c>
      <c r="B5366" s="509" t="s">
        <v>2078</v>
      </c>
      <c r="C5366" s="508" t="s">
        <v>107</v>
      </c>
      <c r="D5366" s="508">
        <v>344.21</v>
      </c>
      <c r="E5366" s="461" t="s">
        <v>174</v>
      </c>
    </row>
    <row r="5367" spans="1:5" ht="27" x14ac:dyDescent="0.25">
      <c r="A5367" s="508">
        <v>100869</v>
      </c>
      <c r="B5367" s="509" t="s">
        <v>2079</v>
      </c>
      <c r="C5367" s="508" t="s">
        <v>107</v>
      </c>
      <c r="D5367" s="508">
        <v>353.65</v>
      </c>
      <c r="E5367" s="461" t="s">
        <v>174</v>
      </c>
    </row>
    <row r="5368" spans="1:5" ht="27" x14ac:dyDescent="0.25">
      <c r="A5368" s="508">
        <v>100870</v>
      </c>
      <c r="B5368" s="509" t="s">
        <v>2080</v>
      </c>
      <c r="C5368" s="508" t="s">
        <v>107</v>
      </c>
      <c r="D5368" s="508">
        <v>301.81</v>
      </c>
      <c r="E5368" s="461" t="s">
        <v>174</v>
      </c>
    </row>
    <row r="5369" spans="1:5" ht="27" x14ac:dyDescent="0.25">
      <c r="A5369" s="508">
        <v>100871</v>
      </c>
      <c r="B5369" s="509" t="s">
        <v>2081</v>
      </c>
      <c r="C5369" s="508" t="s">
        <v>107</v>
      </c>
      <c r="D5369" s="508">
        <v>324.63</v>
      </c>
      <c r="E5369" s="461" t="s">
        <v>174</v>
      </c>
    </row>
    <row r="5370" spans="1:5" ht="27" x14ac:dyDescent="0.25">
      <c r="A5370" s="508">
        <v>100872</v>
      </c>
      <c r="B5370" s="509" t="s">
        <v>2082</v>
      </c>
      <c r="C5370" s="508" t="s">
        <v>107</v>
      </c>
      <c r="D5370" s="508">
        <v>339.2</v>
      </c>
      <c r="E5370" s="461" t="s">
        <v>174</v>
      </c>
    </row>
    <row r="5371" spans="1:5" ht="27" x14ac:dyDescent="0.25">
      <c r="A5371" s="508">
        <v>100873</v>
      </c>
      <c r="B5371" s="509" t="s">
        <v>2083</v>
      </c>
      <c r="C5371" s="508" t="s">
        <v>107</v>
      </c>
      <c r="D5371" s="508">
        <v>348.3</v>
      </c>
      <c r="E5371" s="461" t="s">
        <v>174</v>
      </c>
    </row>
    <row r="5372" spans="1:5" ht="15" x14ac:dyDescent="0.25">
      <c r="A5372" s="508">
        <v>100874</v>
      </c>
      <c r="B5372" s="509" t="s">
        <v>2084</v>
      </c>
      <c r="C5372" s="508" t="s">
        <v>107</v>
      </c>
      <c r="D5372" s="508">
        <v>313.41000000000003</v>
      </c>
      <c r="E5372" s="461" t="s">
        <v>174</v>
      </c>
    </row>
    <row r="5373" spans="1:5" ht="27" x14ac:dyDescent="0.25">
      <c r="A5373" s="508">
        <v>100875</v>
      </c>
      <c r="B5373" s="509" t="s">
        <v>2085</v>
      </c>
      <c r="C5373" s="508" t="s">
        <v>107</v>
      </c>
      <c r="D5373" s="508">
        <v>1052.3800000000001</v>
      </c>
      <c r="E5373" s="461" t="s">
        <v>174</v>
      </c>
    </row>
    <row r="5374" spans="1:5" ht="27" x14ac:dyDescent="0.25">
      <c r="A5374" s="508">
        <v>100878</v>
      </c>
      <c r="B5374" s="509" t="s">
        <v>3807</v>
      </c>
      <c r="C5374" s="508" t="s">
        <v>107</v>
      </c>
      <c r="D5374" s="510">
        <v>641.63</v>
      </c>
      <c r="E5374" s="461" t="s">
        <v>174</v>
      </c>
    </row>
    <row r="5375" spans="1:5" ht="27" x14ac:dyDescent="0.25">
      <c r="A5375" s="508">
        <v>98052</v>
      </c>
      <c r="B5375" s="509" t="s">
        <v>7388</v>
      </c>
      <c r="C5375" s="508" t="s">
        <v>107</v>
      </c>
      <c r="D5375" s="510">
        <v>2083.9899999999998</v>
      </c>
      <c r="E5375" s="461" t="s">
        <v>174</v>
      </c>
    </row>
    <row r="5376" spans="1:5" ht="27" x14ac:dyDescent="0.25">
      <c r="A5376" s="508">
        <v>98053</v>
      </c>
      <c r="B5376" s="509" t="s">
        <v>7389</v>
      </c>
      <c r="C5376" s="508" t="s">
        <v>107</v>
      </c>
      <c r="D5376" s="508">
        <v>2872.24</v>
      </c>
      <c r="E5376" s="461" t="s">
        <v>174</v>
      </c>
    </row>
    <row r="5377" spans="1:5" ht="27" x14ac:dyDescent="0.25">
      <c r="A5377" s="508">
        <v>98054</v>
      </c>
      <c r="B5377" s="509" t="s">
        <v>7390</v>
      </c>
      <c r="C5377" s="508" t="s">
        <v>107</v>
      </c>
      <c r="D5377" s="510">
        <v>4663.7700000000004</v>
      </c>
      <c r="E5377" s="461" t="s">
        <v>174</v>
      </c>
    </row>
    <row r="5378" spans="1:5" ht="27" x14ac:dyDescent="0.25">
      <c r="A5378" s="508">
        <v>98055</v>
      </c>
      <c r="B5378" s="509" t="s">
        <v>7391</v>
      </c>
      <c r="C5378" s="508" t="s">
        <v>107</v>
      </c>
      <c r="D5378" s="510">
        <v>6347.7</v>
      </c>
      <c r="E5378" s="461" t="s">
        <v>174</v>
      </c>
    </row>
    <row r="5379" spans="1:5" ht="27" x14ac:dyDescent="0.25">
      <c r="A5379" s="508">
        <v>98056</v>
      </c>
      <c r="B5379" s="509" t="s">
        <v>7392</v>
      </c>
      <c r="C5379" s="508" t="s">
        <v>107</v>
      </c>
      <c r="D5379" s="510">
        <v>7405.55</v>
      </c>
      <c r="E5379" s="461" t="s">
        <v>174</v>
      </c>
    </row>
    <row r="5380" spans="1:5" ht="27" x14ac:dyDescent="0.25">
      <c r="A5380" s="508">
        <v>98057</v>
      </c>
      <c r="B5380" s="509" t="s">
        <v>7393</v>
      </c>
      <c r="C5380" s="508" t="s">
        <v>107</v>
      </c>
      <c r="D5380" s="508">
        <v>8825.42</v>
      </c>
      <c r="E5380" s="461" t="s">
        <v>174</v>
      </c>
    </row>
    <row r="5381" spans="1:5" ht="27" x14ac:dyDescent="0.25">
      <c r="A5381" s="508">
        <v>98058</v>
      </c>
      <c r="B5381" s="509" t="s">
        <v>7394</v>
      </c>
      <c r="C5381" s="508" t="s">
        <v>107</v>
      </c>
      <c r="D5381" s="508">
        <v>1850.4</v>
      </c>
      <c r="E5381" s="461" t="s">
        <v>174</v>
      </c>
    </row>
    <row r="5382" spans="1:5" ht="27" x14ac:dyDescent="0.25">
      <c r="A5382" s="508">
        <v>98059</v>
      </c>
      <c r="B5382" s="509" t="s">
        <v>7395</v>
      </c>
      <c r="C5382" s="508" t="s">
        <v>107</v>
      </c>
      <c r="D5382" s="508">
        <v>4031.17</v>
      </c>
      <c r="E5382" s="461" t="s">
        <v>174</v>
      </c>
    </row>
    <row r="5383" spans="1:5" ht="27" x14ac:dyDescent="0.25">
      <c r="A5383" s="508">
        <v>98060</v>
      </c>
      <c r="B5383" s="509" t="s">
        <v>7396</v>
      </c>
      <c r="C5383" s="508" t="s">
        <v>107</v>
      </c>
      <c r="D5383" s="510">
        <v>5672.12</v>
      </c>
      <c r="E5383" s="461" t="s">
        <v>174</v>
      </c>
    </row>
    <row r="5384" spans="1:5" ht="27" x14ac:dyDescent="0.25">
      <c r="A5384" s="508">
        <v>98061</v>
      </c>
      <c r="B5384" s="509" t="s">
        <v>7397</v>
      </c>
      <c r="C5384" s="508" t="s">
        <v>107</v>
      </c>
      <c r="D5384" s="508">
        <v>7934.6</v>
      </c>
      <c r="E5384" s="461" t="s">
        <v>174</v>
      </c>
    </row>
    <row r="5385" spans="1:5" ht="27" x14ac:dyDescent="0.25">
      <c r="A5385" s="508">
        <v>98062</v>
      </c>
      <c r="B5385" s="509" t="s">
        <v>7398</v>
      </c>
      <c r="C5385" s="508" t="s">
        <v>107</v>
      </c>
      <c r="D5385" s="508">
        <v>3096.56</v>
      </c>
      <c r="E5385" s="461" t="s">
        <v>174</v>
      </c>
    </row>
    <row r="5386" spans="1:5" ht="27" x14ac:dyDescent="0.25">
      <c r="A5386" s="508">
        <v>98063</v>
      </c>
      <c r="B5386" s="509" t="s">
        <v>7399</v>
      </c>
      <c r="C5386" s="508" t="s">
        <v>107</v>
      </c>
      <c r="D5386" s="510">
        <v>4731.63</v>
      </c>
      <c r="E5386" s="461" t="s">
        <v>174</v>
      </c>
    </row>
    <row r="5387" spans="1:5" ht="27" x14ac:dyDescent="0.25">
      <c r="A5387" s="508">
        <v>98064</v>
      </c>
      <c r="B5387" s="509" t="s">
        <v>7400</v>
      </c>
      <c r="C5387" s="508" t="s">
        <v>107</v>
      </c>
      <c r="D5387" s="510">
        <v>5467.2</v>
      </c>
      <c r="E5387" s="461" t="s">
        <v>174</v>
      </c>
    </row>
    <row r="5388" spans="1:5" ht="27" x14ac:dyDescent="0.25">
      <c r="A5388" s="508">
        <v>98065</v>
      </c>
      <c r="B5388" s="509" t="s">
        <v>7401</v>
      </c>
      <c r="C5388" s="508" t="s">
        <v>107</v>
      </c>
      <c r="D5388" s="508">
        <v>7602.75</v>
      </c>
      <c r="E5388" s="461" t="s">
        <v>174</v>
      </c>
    </row>
    <row r="5389" spans="1:5" ht="27" x14ac:dyDescent="0.25">
      <c r="A5389" s="508">
        <v>98066</v>
      </c>
      <c r="B5389" s="509" t="s">
        <v>7402</v>
      </c>
      <c r="C5389" s="508" t="s">
        <v>107</v>
      </c>
      <c r="D5389" s="508">
        <v>4989.51</v>
      </c>
      <c r="E5389" s="461" t="s">
        <v>174</v>
      </c>
    </row>
    <row r="5390" spans="1:5" ht="40.5" x14ac:dyDescent="0.25">
      <c r="A5390" s="508">
        <v>98067</v>
      </c>
      <c r="B5390" s="509" t="s">
        <v>7403</v>
      </c>
      <c r="C5390" s="508" t="s">
        <v>107</v>
      </c>
      <c r="D5390" s="508">
        <v>6651.05</v>
      </c>
      <c r="E5390" s="461" t="s">
        <v>174</v>
      </c>
    </row>
    <row r="5391" spans="1:5" ht="40.5" x14ac:dyDescent="0.25">
      <c r="A5391" s="508">
        <v>98068</v>
      </c>
      <c r="B5391" s="509" t="s">
        <v>7404</v>
      </c>
      <c r="C5391" s="508" t="s">
        <v>107</v>
      </c>
      <c r="D5391" s="510">
        <v>9398.3799999999992</v>
      </c>
      <c r="E5391" s="461" t="s">
        <v>174</v>
      </c>
    </row>
    <row r="5392" spans="1:5" ht="40.5" x14ac:dyDescent="0.25">
      <c r="A5392" s="508">
        <v>98069</v>
      </c>
      <c r="B5392" s="509" t="s">
        <v>7405</v>
      </c>
      <c r="C5392" s="508" t="s">
        <v>107</v>
      </c>
      <c r="D5392" s="508">
        <v>12655.49</v>
      </c>
      <c r="E5392" s="461" t="s">
        <v>174</v>
      </c>
    </row>
    <row r="5393" spans="1:5" ht="40.5" x14ac:dyDescent="0.25">
      <c r="A5393" s="508">
        <v>98070</v>
      </c>
      <c r="B5393" s="509" t="s">
        <v>7406</v>
      </c>
      <c r="C5393" s="508" t="s">
        <v>107</v>
      </c>
      <c r="D5393" s="508">
        <v>14448.02</v>
      </c>
      <c r="E5393" s="461" t="s">
        <v>174</v>
      </c>
    </row>
    <row r="5394" spans="1:5" ht="40.5" x14ac:dyDescent="0.25">
      <c r="A5394" s="508">
        <v>98071</v>
      </c>
      <c r="B5394" s="509" t="s">
        <v>7407</v>
      </c>
      <c r="C5394" s="508" t="s">
        <v>107</v>
      </c>
      <c r="D5394" s="510">
        <v>15736.06</v>
      </c>
      <c r="E5394" s="461" t="s">
        <v>174</v>
      </c>
    </row>
    <row r="5395" spans="1:5" ht="40.5" x14ac:dyDescent="0.25">
      <c r="A5395" s="508">
        <v>98072</v>
      </c>
      <c r="B5395" s="509" t="s">
        <v>7408</v>
      </c>
      <c r="C5395" s="508" t="s">
        <v>107</v>
      </c>
      <c r="D5395" s="510">
        <v>4219.28</v>
      </c>
      <c r="E5395" s="461" t="s">
        <v>174</v>
      </c>
    </row>
    <row r="5396" spans="1:5" ht="40.5" x14ac:dyDescent="0.25">
      <c r="A5396" s="508">
        <v>98073</v>
      </c>
      <c r="B5396" s="509" t="s">
        <v>7409</v>
      </c>
      <c r="C5396" s="508" t="s">
        <v>107</v>
      </c>
      <c r="D5396" s="508">
        <v>6674.88</v>
      </c>
      <c r="E5396" s="461" t="s">
        <v>174</v>
      </c>
    </row>
    <row r="5397" spans="1:5" ht="40.5" x14ac:dyDescent="0.25">
      <c r="A5397" s="508">
        <v>98074</v>
      </c>
      <c r="B5397" s="509" t="s">
        <v>7410</v>
      </c>
      <c r="C5397" s="508" t="s">
        <v>107</v>
      </c>
      <c r="D5397" s="508">
        <v>10469.67</v>
      </c>
      <c r="E5397" s="461" t="s">
        <v>174</v>
      </c>
    </row>
    <row r="5398" spans="1:5" ht="40.5" x14ac:dyDescent="0.25">
      <c r="A5398" s="508">
        <v>98075</v>
      </c>
      <c r="B5398" s="509" t="s">
        <v>7411</v>
      </c>
      <c r="C5398" s="508" t="s">
        <v>107</v>
      </c>
      <c r="D5398" s="508">
        <v>13671.75</v>
      </c>
      <c r="E5398" s="461" t="s">
        <v>174</v>
      </c>
    </row>
    <row r="5399" spans="1:5" ht="40.5" x14ac:dyDescent="0.25">
      <c r="A5399" s="508">
        <v>98076</v>
      </c>
      <c r="B5399" s="509" t="s">
        <v>7412</v>
      </c>
      <c r="C5399" s="508" t="s">
        <v>107</v>
      </c>
      <c r="D5399" s="508">
        <v>15818.46</v>
      </c>
      <c r="E5399" s="461" t="s">
        <v>174</v>
      </c>
    </row>
    <row r="5400" spans="1:5" ht="40.5" x14ac:dyDescent="0.25">
      <c r="A5400" s="508">
        <v>98077</v>
      </c>
      <c r="B5400" s="509" t="s">
        <v>7413</v>
      </c>
      <c r="C5400" s="508" t="s">
        <v>107</v>
      </c>
      <c r="D5400" s="508">
        <v>18663.03</v>
      </c>
      <c r="E5400" s="461" t="s">
        <v>174</v>
      </c>
    </row>
    <row r="5401" spans="1:5" ht="27" x14ac:dyDescent="0.25">
      <c r="A5401" s="508">
        <v>98078</v>
      </c>
      <c r="B5401" s="509" t="s">
        <v>7414</v>
      </c>
      <c r="C5401" s="508" t="s">
        <v>107</v>
      </c>
      <c r="D5401" s="510">
        <v>4601.09</v>
      </c>
      <c r="E5401" s="461" t="s">
        <v>174</v>
      </c>
    </row>
    <row r="5402" spans="1:5" ht="27" x14ac:dyDescent="0.25">
      <c r="A5402" s="508">
        <v>98079</v>
      </c>
      <c r="B5402" s="509" t="s">
        <v>7415</v>
      </c>
      <c r="C5402" s="508" t="s">
        <v>107</v>
      </c>
      <c r="D5402" s="508">
        <v>8098.51</v>
      </c>
      <c r="E5402" s="461" t="s">
        <v>174</v>
      </c>
    </row>
    <row r="5403" spans="1:5" ht="27" x14ac:dyDescent="0.25">
      <c r="A5403" s="508">
        <v>98080</v>
      </c>
      <c r="B5403" s="509" t="s">
        <v>7416</v>
      </c>
      <c r="C5403" s="508" t="s">
        <v>107</v>
      </c>
      <c r="D5403" s="508">
        <v>10471.75</v>
      </c>
      <c r="E5403" s="461" t="s">
        <v>174</v>
      </c>
    </row>
    <row r="5404" spans="1:5" ht="27" x14ac:dyDescent="0.25">
      <c r="A5404" s="508">
        <v>98081</v>
      </c>
      <c r="B5404" s="509" t="s">
        <v>7417</v>
      </c>
      <c r="C5404" s="508" t="s">
        <v>107</v>
      </c>
      <c r="D5404" s="508">
        <v>15558.39</v>
      </c>
      <c r="E5404" s="461" t="s">
        <v>174</v>
      </c>
    </row>
    <row r="5405" spans="1:5" ht="27" x14ac:dyDescent="0.25">
      <c r="A5405" s="508">
        <v>98082</v>
      </c>
      <c r="B5405" s="509" t="s">
        <v>7418</v>
      </c>
      <c r="C5405" s="508" t="s">
        <v>107</v>
      </c>
      <c r="D5405" s="508">
        <v>3983.24</v>
      </c>
      <c r="E5405" s="461" t="s">
        <v>174</v>
      </c>
    </row>
    <row r="5406" spans="1:5" ht="27" x14ac:dyDescent="0.25">
      <c r="A5406" s="508">
        <v>98083</v>
      </c>
      <c r="B5406" s="509" t="s">
        <v>7419</v>
      </c>
      <c r="C5406" s="508" t="s">
        <v>107</v>
      </c>
      <c r="D5406" s="508">
        <v>5251.98</v>
      </c>
      <c r="E5406" s="461" t="s">
        <v>174</v>
      </c>
    </row>
    <row r="5407" spans="1:5" ht="27" x14ac:dyDescent="0.25">
      <c r="A5407" s="508">
        <v>98084</v>
      </c>
      <c r="B5407" s="509" t="s">
        <v>7420</v>
      </c>
      <c r="C5407" s="508" t="s">
        <v>107</v>
      </c>
      <c r="D5407" s="508">
        <v>7364.15</v>
      </c>
      <c r="E5407" s="461" t="s">
        <v>174</v>
      </c>
    </row>
    <row r="5408" spans="1:5" ht="27" x14ac:dyDescent="0.25">
      <c r="A5408" s="508">
        <v>98085</v>
      </c>
      <c r="B5408" s="509" t="s">
        <v>7421</v>
      </c>
      <c r="C5408" s="508" t="s">
        <v>107</v>
      </c>
      <c r="D5408" s="508">
        <v>9994.1299999999992</v>
      </c>
      <c r="E5408" s="461" t="s">
        <v>174</v>
      </c>
    </row>
    <row r="5409" spans="1:5" ht="27" x14ac:dyDescent="0.25">
      <c r="A5409" s="508">
        <v>98086</v>
      </c>
      <c r="B5409" s="509" t="s">
        <v>7422</v>
      </c>
      <c r="C5409" s="508" t="s">
        <v>107</v>
      </c>
      <c r="D5409" s="508">
        <v>11273.79</v>
      </c>
      <c r="E5409" s="461" t="s">
        <v>174</v>
      </c>
    </row>
    <row r="5410" spans="1:5" ht="27" x14ac:dyDescent="0.25">
      <c r="A5410" s="508">
        <v>98087</v>
      </c>
      <c r="B5410" s="509" t="s">
        <v>7423</v>
      </c>
      <c r="C5410" s="508" t="s">
        <v>107</v>
      </c>
      <c r="D5410" s="508">
        <v>12015.33</v>
      </c>
      <c r="E5410" s="461" t="s">
        <v>174</v>
      </c>
    </row>
    <row r="5411" spans="1:5" ht="27" x14ac:dyDescent="0.25">
      <c r="A5411" s="508">
        <v>98088</v>
      </c>
      <c r="B5411" s="509" t="s">
        <v>7424</v>
      </c>
      <c r="C5411" s="508" t="s">
        <v>107</v>
      </c>
      <c r="D5411" s="508">
        <v>3471.77</v>
      </c>
      <c r="E5411" s="461" t="s">
        <v>174</v>
      </c>
    </row>
    <row r="5412" spans="1:5" ht="27" x14ac:dyDescent="0.25">
      <c r="A5412" s="508">
        <v>98089</v>
      </c>
      <c r="B5412" s="509" t="s">
        <v>7425</v>
      </c>
      <c r="C5412" s="508" t="s">
        <v>107</v>
      </c>
      <c r="D5412" s="508">
        <v>5536.59</v>
      </c>
      <c r="E5412" s="461" t="s">
        <v>174</v>
      </c>
    </row>
    <row r="5413" spans="1:5" ht="27" x14ac:dyDescent="0.25">
      <c r="A5413" s="508">
        <v>98090</v>
      </c>
      <c r="B5413" s="509" t="s">
        <v>7426</v>
      </c>
      <c r="C5413" s="508" t="s">
        <v>107</v>
      </c>
      <c r="D5413" s="508">
        <v>8768.1</v>
      </c>
      <c r="E5413" s="461" t="s">
        <v>174</v>
      </c>
    </row>
    <row r="5414" spans="1:5" ht="27" x14ac:dyDescent="0.25">
      <c r="A5414" s="508">
        <v>98091</v>
      </c>
      <c r="B5414" s="509" t="s">
        <v>7427</v>
      </c>
      <c r="C5414" s="508" t="s">
        <v>107</v>
      </c>
      <c r="D5414" s="508">
        <v>11492.93</v>
      </c>
      <c r="E5414" s="461" t="s">
        <v>174</v>
      </c>
    </row>
    <row r="5415" spans="1:5" ht="27" x14ac:dyDescent="0.25">
      <c r="A5415" s="508">
        <v>98092</v>
      </c>
      <c r="B5415" s="509" t="s">
        <v>7428</v>
      </c>
      <c r="C5415" s="508" t="s">
        <v>107</v>
      </c>
      <c r="D5415" s="508">
        <v>13388.24</v>
      </c>
      <c r="E5415" s="461" t="s">
        <v>174</v>
      </c>
    </row>
    <row r="5416" spans="1:5" ht="27" x14ac:dyDescent="0.25">
      <c r="A5416" s="508">
        <v>98093</v>
      </c>
      <c r="B5416" s="509" t="s">
        <v>7429</v>
      </c>
      <c r="C5416" s="508" t="s">
        <v>107</v>
      </c>
      <c r="D5416" s="508">
        <v>15830.78</v>
      </c>
      <c r="E5416" s="461" t="s">
        <v>174</v>
      </c>
    </row>
    <row r="5417" spans="1:5" ht="27" x14ac:dyDescent="0.25">
      <c r="A5417" s="508">
        <v>98094</v>
      </c>
      <c r="B5417" s="509" t="s">
        <v>7430</v>
      </c>
      <c r="C5417" s="508" t="s">
        <v>107</v>
      </c>
      <c r="D5417" s="508">
        <v>2885.97</v>
      </c>
      <c r="E5417" s="461" t="s">
        <v>174</v>
      </c>
    </row>
    <row r="5418" spans="1:5" ht="27" x14ac:dyDescent="0.25">
      <c r="A5418" s="508">
        <v>98099</v>
      </c>
      <c r="B5418" s="509" t="s">
        <v>7431</v>
      </c>
      <c r="C5418" s="508" t="s">
        <v>107</v>
      </c>
      <c r="D5418" s="508">
        <v>4960.49</v>
      </c>
      <c r="E5418" s="461" t="s">
        <v>174</v>
      </c>
    </row>
    <row r="5419" spans="1:5" ht="27" x14ac:dyDescent="0.25">
      <c r="A5419" s="508">
        <v>98100</v>
      </c>
      <c r="B5419" s="509" t="s">
        <v>7432</v>
      </c>
      <c r="C5419" s="508" t="s">
        <v>107</v>
      </c>
      <c r="D5419" s="508">
        <v>6543.11</v>
      </c>
      <c r="E5419" s="461" t="s">
        <v>174</v>
      </c>
    </row>
    <row r="5420" spans="1:5" ht="27" x14ac:dyDescent="0.25">
      <c r="A5420" s="508">
        <v>98101</v>
      </c>
      <c r="B5420" s="509" t="s">
        <v>7433</v>
      </c>
      <c r="C5420" s="508" t="s">
        <v>107</v>
      </c>
      <c r="D5420" s="508">
        <v>9707.31</v>
      </c>
      <c r="E5420" s="461" t="s">
        <v>174</v>
      </c>
    </row>
    <row r="5421" spans="1:5" ht="40.5" x14ac:dyDescent="0.25">
      <c r="A5421" s="508">
        <v>98109</v>
      </c>
      <c r="B5421" s="509" t="s">
        <v>3016</v>
      </c>
      <c r="C5421" s="508" t="s">
        <v>107</v>
      </c>
      <c r="D5421" s="508">
        <v>863.2</v>
      </c>
      <c r="E5421" s="461" t="s">
        <v>174</v>
      </c>
    </row>
    <row r="5422" spans="1:5" ht="27" x14ac:dyDescent="0.25">
      <c r="A5422" s="508">
        <v>98110</v>
      </c>
      <c r="B5422" s="509" t="s">
        <v>3017</v>
      </c>
      <c r="C5422" s="508" t="s">
        <v>107</v>
      </c>
      <c r="D5422" s="508">
        <v>517.01</v>
      </c>
      <c r="E5422" s="461" t="s">
        <v>174</v>
      </c>
    </row>
    <row r="5423" spans="1:5" ht="27" x14ac:dyDescent="0.25">
      <c r="A5423" s="508">
        <v>98111</v>
      </c>
      <c r="B5423" s="509" t="s">
        <v>3018</v>
      </c>
      <c r="C5423" s="508" t="s">
        <v>107</v>
      </c>
      <c r="D5423" s="508">
        <v>69.22</v>
      </c>
      <c r="E5423" s="461" t="s">
        <v>174</v>
      </c>
    </row>
    <row r="5424" spans="1:5" ht="27" x14ac:dyDescent="0.25">
      <c r="A5424" s="508">
        <v>98112</v>
      </c>
      <c r="B5424" s="509" t="s">
        <v>3019</v>
      </c>
      <c r="C5424" s="508" t="s">
        <v>107</v>
      </c>
      <c r="D5424" s="508">
        <v>88.23</v>
      </c>
      <c r="E5424" s="461" t="s">
        <v>174</v>
      </c>
    </row>
    <row r="5425" spans="1:5" ht="27" x14ac:dyDescent="0.25">
      <c r="A5425" s="508">
        <v>98114</v>
      </c>
      <c r="B5425" s="509" t="s">
        <v>3020</v>
      </c>
      <c r="C5425" s="508" t="s">
        <v>107</v>
      </c>
      <c r="D5425" s="508">
        <v>754.74</v>
      </c>
      <c r="E5425" s="461" t="s">
        <v>174</v>
      </c>
    </row>
    <row r="5426" spans="1:5" ht="27" x14ac:dyDescent="0.25">
      <c r="A5426" s="508">
        <v>98115</v>
      </c>
      <c r="B5426" s="509" t="s">
        <v>7434</v>
      </c>
      <c r="C5426" s="508" t="s">
        <v>107</v>
      </c>
      <c r="D5426" s="508">
        <v>105.65</v>
      </c>
      <c r="E5426" s="461" t="s">
        <v>174</v>
      </c>
    </row>
    <row r="5427" spans="1:5" ht="27" x14ac:dyDescent="0.25">
      <c r="A5427" s="508">
        <v>89349</v>
      </c>
      <c r="B5427" s="509" t="s">
        <v>4058</v>
      </c>
      <c r="C5427" s="508" t="s">
        <v>107</v>
      </c>
      <c r="D5427" s="508">
        <v>30.12</v>
      </c>
      <c r="E5427" s="461" t="s">
        <v>174</v>
      </c>
    </row>
    <row r="5428" spans="1:5" ht="27" x14ac:dyDescent="0.25">
      <c r="A5428" s="508">
        <v>89351</v>
      </c>
      <c r="B5428" s="509" t="s">
        <v>4059</v>
      </c>
      <c r="C5428" s="508" t="s">
        <v>107</v>
      </c>
      <c r="D5428" s="508">
        <v>37.29</v>
      </c>
      <c r="E5428" s="461" t="s">
        <v>174</v>
      </c>
    </row>
    <row r="5429" spans="1:5" ht="27" x14ac:dyDescent="0.25">
      <c r="A5429" s="508">
        <v>89352</v>
      </c>
      <c r="B5429" s="509" t="s">
        <v>4060</v>
      </c>
      <c r="C5429" s="508" t="s">
        <v>107</v>
      </c>
      <c r="D5429" s="508">
        <v>40.869999999999997</v>
      </c>
      <c r="E5429" s="461" t="s">
        <v>174</v>
      </c>
    </row>
    <row r="5430" spans="1:5" ht="27" x14ac:dyDescent="0.25">
      <c r="A5430" s="508">
        <v>89353</v>
      </c>
      <c r="B5430" s="509" t="s">
        <v>4061</v>
      </c>
      <c r="C5430" s="508" t="s">
        <v>107</v>
      </c>
      <c r="D5430" s="508">
        <v>44.99</v>
      </c>
      <c r="E5430" s="461" t="s">
        <v>174</v>
      </c>
    </row>
    <row r="5431" spans="1:5" ht="27" x14ac:dyDescent="0.25">
      <c r="A5431" s="508">
        <v>89354</v>
      </c>
      <c r="B5431" s="509" t="s">
        <v>4062</v>
      </c>
      <c r="C5431" s="508" t="s">
        <v>107</v>
      </c>
      <c r="D5431" s="508">
        <v>520.37</v>
      </c>
      <c r="E5431" s="461" t="s">
        <v>174</v>
      </c>
    </row>
    <row r="5432" spans="1:5" ht="27" x14ac:dyDescent="0.25">
      <c r="A5432" s="508">
        <v>89984</v>
      </c>
      <c r="B5432" s="509" t="s">
        <v>4063</v>
      </c>
      <c r="C5432" s="508" t="s">
        <v>107</v>
      </c>
      <c r="D5432" s="508">
        <v>96.57</v>
      </c>
      <c r="E5432" s="461" t="s">
        <v>174</v>
      </c>
    </row>
    <row r="5433" spans="1:5" ht="27" x14ac:dyDescent="0.25">
      <c r="A5433" s="508">
        <v>89985</v>
      </c>
      <c r="B5433" s="509" t="s">
        <v>4064</v>
      </c>
      <c r="C5433" s="508" t="s">
        <v>107</v>
      </c>
      <c r="D5433" s="508">
        <v>101.57</v>
      </c>
      <c r="E5433" s="461" t="s">
        <v>174</v>
      </c>
    </row>
    <row r="5434" spans="1:5" ht="27" x14ac:dyDescent="0.25">
      <c r="A5434" s="508">
        <v>89986</v>
      </c>
      <c r="B5434" s="509" t="s">
        <v>4065</v>
      </c>
      <c r="C5434" s="508" t="s">
        <v>107</v>
      </c>
      <c r="D5434" s="508">
        <v>94.1</v>
      </c>
      <c r="E5434" s="461" t="s">
        <v>174</v>
      </c>
    </row>
    <row r="5435" spans="1:5" ht="27" x14ac:dyDescent="0.25">
      <c r="A5435" s="508">
        <v>89987</v>
      </c>
      <c r="B5435" s="509" t="s">
        <v>4066</v>
      </c>
      <c r="C5435" s="508" t="s">
        <v>107</v>
      </c>
      <c r="D5435" s="508">
        <v>106.97</v>
      </c>
      <c r="E5435" s="461" t="s">
        <v>174</v>
      </c>
    </row>
    <row r="5436" spans="1:5" ht="27" x14ac:dyDescent="0.25">
      <c r="A5436" s="508">
        <v>90371</v>
      </c>
      <c r="B5436" s="509" t="s">
        <v>4067</v>
      </c>
      <c r="C5436" s="508" t="s">
        <v>107</v>
      </c>
      <c r="D5436" s="508">
        <v>47.59</v>
      </c>
      <c r="E5436" s="461" t="s">
        <v>174</v>
      </c>
    </row>
    <row r="5437" spans="1:5" ht="27" x14ac:dyDescent="0.25">
      <c r="A5437" s="508">
        <v>94489</v>
      </c>
      <c r="B5437" s="509" t="s">
        <v>4068</v>
      </c>
      <c r="C5437" s="508" t="s">
        <v>107</v>
      </c>
      <c r="D5437" s="508">
        <v>48.02</v>
      </c>
      <c r="E5437" s="461" t="s">
        <v>174</v>
      </c>
    </row>
    <row r="5438" spans="1:5" ht="27" x14ac:dyDescent="0.25">
      <c r="A5438" s="508">
        <v>94490</v>
      </c>
      <c r="B5438" s="509" t="s">
        <v>4069</v>
      </c>
      <c r="C5438" s="508" t="s">
        <v>107</v>
      </c>
      <c r="D5438" s="508">
        <v>72.75</v>
      </c>
      <c r="E5438" s="461" t="s">
        <v>174</v>
      </c>
    </row>
    <row r="5439" spans="1:5" ht="27" x14ac:dyDescent="0.25">
      <c r="A5439" s="508">
        <v>94491</v>
      </c>
      <c r="B5439" s="509" t="s">
        <v>4070</v>
      </c>
      <c r="C5439" s="508" t="s">
        <v>107</v>
      </c>
      <c r="D5439" s="508">
        <v>98.5</v>
      </c>
      <c r="E5439" s="461" t="s">
        <v>174</v>
      </c>
    </row>
    <row r="5440" spans="1:5" ht="27" x14ac:dyDescent="0.25">
      <c r="A5440" s="508">
        <v>94492</v>
      </c>
      <c r="B5440" s="509" t="s">
        <v>4071</v>
      </c>
      <c r="C5440" s="508" t="s">
        <v>107</v>
      </c>
      <c r="D5440" s="508">
        <v>101.43</v>
      </c>
      <c r="E5440" s="461" t="s">
        <v>174</v>
      </c>
    </row>
    <row r="5441" spans="1:5" ht="27" x14ac:dyDescent="0.25">
      <c r="A5441" s="508">
        <v>94493</v>
      </c>
      <c r="B5441" s="509" t="s">
        <v>4072</v>
      </c>
      <c r="C5441" s="508" t="s">
        <v>107</v>
      </c>
      <c r="D5441" s="508">
        <v>185.65</v>
      </c>
      <c r="E5441" s="461" t="s">
        <v>174</v>
      </c>
    </row>
    <row r="5442" spans="1:5" ht="15" x14ac:dyDescent="0.25">
      <c r="A5442" s="508">
        <v>94495</v>
      </c>
      <c r="B5442" s="509" t="s">
        <v>4073</v>
      </c>
      <c r="C5442" s="508" t="s">
        <v>107</v>
      </c>
      <c r="D5442" s="508">
        <v>69.59</v>
      </c>
      <c r="E5442" s="461" t="s">
        <v>174</v>
      </c>
    </row>
    <row r="5443" spans="1:5" ht="27" x14ac:dyDescent="0.25">
      <c r="A5443" s="508">
        <v>94496</v>
      </c>
      <c r="B5443" s="509" t="s">
        <v>4074</v>
      </c>
      <c r="C5443" s="508" t="s">
        <v>107</v>
      </c>
      <c r="D5443" s="508">
        <v>94.81</v>
      </c>
      <c r="E5443" s="461" t="s">
        <v>174</v>
      </c>
    </row>
    <row r="5444" spans="1:5" ht="27" x14ac:dyDescent="0.25">
      <c r="A5444" s="508">
        <v>94497</v>
      </c>
      <c r="B5444" s="509" t="s">
        <v>4075</v>
      </c>
      <c r="C5444" s="508" t="s">
        <v>107</v>
      </c>
      <c r="D5444" s="508">
        <v>120.12</v>
      </c>
      <c r="E5444" s="461" t="s">
        <v>174</v>
      </c>
    </row>
    <row r="5445" spans="1:5" ht="15" x14ac:dyDescent="0.25">
      <c r="A5445" s="508">
        <v>94498</v>
      </c>
      <c r="B5445" s="509" t="s">
        <v>4076</v>
      </c>
      <c r="C5445" s="508" t="s">
        <v>107</v>
      </c>
      <c r="D5445" s="508">
        <v>165.81</v>
      </c>
      <c r="E5445" s="461" t="s">
        <v>174</v>
      </c>
    </row>
    <row r="5446" spans="1:5" ht="27" x14ac:dyDescent="0.25">
      <c r="A5446" s="508">
        <v>94499</v>
      </c>
      <c r="B5446" s="509" t="s">
        <v>4077</v>
      </c>
      <c r="C5446" s="508" t="s">
        <v>107</v>
      </c>
      <c r="D5446" s="508">
        <v>330.13</v>
      </c>
      <c r="E5446" s="461" t="s">
        <v>174</v>
      </c>
    </row>
    <row r="5447" spans="1:5" ht="15" x14ac:dyDescent="0.25">
      <c r="A5447" s="508">
        <v>94500</v>
      </c>
      <c r="B5447" s="509" t="s">
        <v>4078</v>
      </c>
      <c r="C5447" s="508" t="s">
        <v>107</v>
      </c>
      <c r="D5447" s="508">
        <v>400.71</v>
      </c>
      <c r="E5447" s="461" t="s">
        <v>174</v>
      </c>
    </row>
    <row r="5448" spans="1:5" ht="15" x14ac:dyDescent="0.25">
      <c r="A5448" s="508">
        <v>94501</v>
      </c>
      <c r="B5448" s="509" t="s">
        <v>4079</v>
      </c>
      <c r="C5448" s="508" t="s">
        <v>107</v>
      </c>
      <c r="D5448" s="508">
        <v>809.49</v>
      </c>
      <c r="E5448" s="461" t="s">
        <v>174</v>
      </c>
    </row>
    <row r="5449" spans="1:5" ht="27" x14ac:dyDescent="0.25">
      <c r="A5449" s="508">
        <v>94792</v>
      </c>
      <c r="B5449" s="509" t="s">
        <v>4080</v>
      </c>
      <c r="C5449" s="508" t="s">
        <v>107</v>
      </c>
      <c r="D5449" s="508">
        <v>130.36000000000001</v>
      </c>
      <c r="E5449" s="461" t="s">
        <v>174</v>
      </c>
    </row>
    <row r="5450" spans="1:5" ht="27" x14ac:dyDescent="0.25">
      <c r="A5450" s="508">
        <v>94793</v>
      </c>
      <c r="B5450" s="509" t="s">
        <v>4081</v>
      </c>
      <c r="C5450" s="508" t="s">
        <v>107</v>
      </c>
      <c r="D5450" s="508">
        <v>178.64</v>
      </c>
      <c r="E5450" s="461" t="s">
        <v>174</v>
      </c>
    </row>
    <row r="5451" spans="1:5" ht="27" x14ac:dyDescent="0.25">
      <c r="A5451" s="508">
        <v>94794</v>
      </c>
      <c r="B5451" s="509" t="s">
        <v>4082</v>
      </c>
      <c r="C5451" s="508" t="s">
        <v>107</v>
      </c>
      <c r="D5451" s="508">
        <v>189.4</v>
      </c>
      <c r="E5451" s="461" t="s">
        <v>174</v>
      </c>
    </row>
    <row r="5452" spans="1:5" ht="27" x14ac:dyDescent="0.25">
      <c r="A5452" s="508">
        <v>94795</v>
      </c>
      <c r="B5452" s="509" t="s">
        <v>4083</v>
      </c>
      <c r="C5452" s="508" t="s">
        <v>107</v>
      </c>
      <c r="D5452" s="508">
        <v>62.6</v>
      </c>
      <c r="E5452" s="461" t="s">
        <v>174</v>
      </c>
    </row>
    <row r="5453" spans="1:5" ht="27" x14ac:dyDescent="0.25">
      <c r="A5453" s="508">
        <v>94796</v>
      </c>
      <c r="B5453" s="509" t="s">
        <v>4084</v>
      </c>
      <c r="C5453" s="508" t="s">
        <v>107</v>
      </c>
      <c r="D5453" s="508">
        <v>70.64</v>
      </c>
      <c r="E5453" s="461" t="s">
        <v>174</v>
      </c>
    </row>
    <row r="5454" spans="1:5" ht="27" x14ac:dyDescent="0.25">
      <c r="A5454" s="508">
        <v>94797</v>
      </c>
      <c r="B5454" s="509" t="s">
        <v>4085</v>
      </c>
      <c r="C5454" s="508" t="s">
        <v>107</v>
      </c>
      <c r="D5454" s="508">
        <v>149.61000000000001</v>
      </c>
      <c r="E5454" s="461" t="s">
        <v>174</v>
      </c>
    </row>
    <row r="5455" spans="1:5" ht="27" x14ac:dyDescent="0.25">
      <c r="A5455" s="508">
        <v>94798</v>
      </c>
      <c r="B5455" s="509" t="s">
        <v>4086</v>
      </c>
      <c r="C5455" s="508" t="s">
        <v>107</v>
      </c>
      <c r="D5455" s="508">
        <v>250.03</v>
      </c>
      <c r="E5455" s="461" t="s">
        <v>174</v>
      </c>
    </row>
    <row r="5456" spans="1:5" ht="27" x14ac:dyDescent="0.25">
      <c r="A5456" s="508">
        <v>94799</v>
      </c>
      <c r="B5456" s="509" t="s">
        <v>4087</v>
      </c>
      <c r="C5456" s="508" t="s">
        <v>107</v>
      </c>
      <c r="D5456" s="510">
        <v>306.33</v>
      </c>
      <c r="E5456" s="461" t="s">
        <v>174</v>
      </c>
    </row>
    <row r="5457" spans="1:5" ht="27" x14ac:dyDescent="0.25">
      <c r="A5457" s="508">
        <v>94800</v>
      </c>
      <c r="B5457" s="509" t="s">
        <v>4088</v>
      </c>
      <c r="C5457" s="508" t="s">
        <v>107</v>
      </c>
      <c r="D5457" s="510">
        <v>393.23</v>
      </c>
      <c r="E5457" s="461" t="s">
        <v>174</v>
      </c>
    </row>
    <row r="5458" spans="1:5" ht="27" x14ac:dyDescent="0.25">
      <c r="A5458" s="508">
        <v>95248</v>
      </c>
      <c r="B5458" s="509" t="s">
        <v>4089</v>
      </c>
      <c r="C5458" s="508" t="s">
        <v>107</v>
      </c>
      <c r="D5458" s="510">
        <v>59.27</v>
      </c>
      <c r="E5458" s="461" t="s">
        <v>174</v>
      </c>
    </row>
    <row r="5459" spans="1:5" ht="27" x14ac:dyDescent="0.25">
      <c r="A5459" s="508">
        <v>95249</v>
      </c>
      <c r="B5459" s="509" t="s">
        <v>4090</v>
      </c>
      <c r="C5459" s="508" t="s">
        <v>107</v>
      </c>
      <c r="D5459" s="510">
        <v>69.900000000000006</v>
      </c>
      <c r="E5459" s="461" t="s">
        <v>174</v>
      </c>
    </row>
    <row r="5460" spans="1:5" ht="27" x14ac:dyDescent="0.25">
      <c r="A5460" s="508">
        <v>95250</v>
      </c>
      <c r="B5460" s="509" t="s">
        <v>4091</v>
      </c>
      <c r="C5460" s="508" t="s">
        <v>107</v>
      </c>
      <c r="D5460" s="508">
        <v>94.34</v>
      </c>
      <c r="E5460" s="461" t="s">
        <v>174</v>
      </c>
    </row>
    <row r="5461" spans="1:5" ht="27" x14ac:dyDescent="0.25">
      <c r="A5461" s="508">
        <v>95251</v>
      </c>
      <c r="B5461" s="509" t="s">
        <v>4092</v>
      </c>
      <c r="C5461" s="508" t="s">
        <v>107</v>
      </c>
      <c r="D5461" s="508">
        <v>139.53</v>
      </c>
      <c r="E5461" s="461" t="s">
        <v>174</v>
      </c>
    </row>
    <row r="5462" spans="1:5" ht="27" x14ac:dyDescent="0.25">
      <c r="A5462" s="508">
        <v>95252</v>
      </c>
      <c r="B5462" s="509" t="s">
        <v>4093</v>
      </c>
      <c r="C5462" s="508" t="s">
        <v>107</v>
      </c>
      <c r="D5462" s="508">
        <v>169.19</v>
      </c>
      <c r="E5462" s="461" t="s">
        <v>174</v>
      </c>
    </row>
    <row r="5463" spans="1:5" ht="27" x14ac:dyDescent="0.25">
      <c r="A5463" s="508">
        <v>95253</v>
      </c>
      <c r="B5463" s="509" t="s">
        <v>4094</v>
      </c>
      <c r="C5463" s="508" t="s">
        <v>107</v>
      </c>
      <c r="D5463" s="508">
        <v>257.24</v>
      </c>
      <c r="E5463" s="461" t="s">
        <v>174</v>
      </c>
    </row>
    <row r="5464" spans="1:5" ht="27" x14ac:dyDescent="0.25">
      <c r="A5464" s="508">
        <v>99619</v>
      </c>
      <c r="B5464" s="509" t="s">
        <v>4095</v>
      </c>
      <c r="C5464" s="508" t="s">
        <v>107</v>
      </c>
      <c r="D5464" s="508">
        <v>119.01</v>
      </c>
      <c r="E5464" s="461" t="s">
        <v>174</v>
      </c>
    </row>
    <row r="5465" spans="1:5" ht="27" x14ac:dyDescent="0.25">
      <c r="A5465" s="508">
        <v>99620</v>
      </c>
      <c r="B5465" s="509" t="s">
        <v>4096</v>
      </c>
      <c r="C5465" s="508" t="s">
        <v>107</v>
      </c>
      <c r="D5465" s="510">
        <v>161.66999999999999</v>
      </c>
      <c r="E5465" s="461" t="s">
        <v>174</v>
      </c>
    </row>
    <row r="5466" spans="1:5" ht="27" x14ac:dyDescent="0.25">
      <c r="A5466" s="508">
        <v>99621</v>
      </c>
      <c r="B5466" s="509" t="s">
        <v>4097</v>
      </c>
      <c r="C5466" s="508" t="s">
        <v>107</v>
      </c>
      <c r="D5466" s="510">
        <v>240.89</v>
      </c>
      <c r="E5466" s="461" t="s">
        <v>174</v>
      </c>
    </row>
    <row r="5467" spans="1:5" ht="27" x14ac:dyDescent="0.25">
      <c r="A5467" s="508">
        <v>99622</v>
      </c>
      <c r="B5467" s="509" t="s">
        <v>4098</v>
      </c>
      <c r="C5467" s="508" t="s">
        <v>107</v>
      </c>
      <c r="D5467" s="510">
        <v>271.24</v>
      </c>
      <c r="E5467" s="461" t="s">
        <v>174</v>
      </c>
    </row>
    <row r="5468" spans="1:5" ht="27" x14ac:dyDescent="0.25">
      <c r="A5468" s="508">
        <v>99623</v>
      </c>
      <c r="B5468" s="509" t="s">
        <v>4099</v>
      </c>
      <c r="C5468" s="508" t="s">
        <v>107</v>
      </c>
      <c r="D5468" s="510">
        <v>378.4</v>
      </c>
      <c r="E5468" s="461" t="s">
        <v>174</v>
      </c>
    </row>
    <row r="5469" spans="1:5" ht="27" x14ac:dyDescent="0.25">
      <c r="A5469" s="508">
        <v>99624</v>
      </c>
      <c r="B5469" s="509" t="s">
        <v>4100</v>
      </c>
      <c r="C5469" s="508" t="s">
        <v>107</v>
      </c>
      <c r="D5469" s="510">
        <v>539.39</v>
      </c>
      <c r="E5469" s="461" t="s">
        <v>174</v>
      </c>
    </row>
    <row r="5470" spans="1:5" ht="27" x14ac:dyDescent="0.25">
      <c r="A5470" s="508">
        <v>99625</v>
      </c>
      <c r="B5470" s="509" t="s">
        <v>4101</v>
      </c>
      <c r="C5470" s="508" t="s">
        <v>107</v>
      </c>
      <c r="D5470" s="510">
        <v>741.78</v>
      </c>
      <c r="E5470" s="461" t="s">
        <v>174</v>
      </c>
    </row>
    <row r="5471" spans="1:5" ht="27" x14ac:dyDescent="0.25">
      <c r="A5471" s="508">
        <v>99626</v>
      </c>
      <c r="B5471" s="509" t="s">
        <v>4102</v>
      </c>
      <c r="C5471" s="508" t="s">
        <v>107</v>
      </c>
      <c r="D5471" s="508">
        <v>1141.7</v>
      </c>
      <c r="E5471" s="461" t="s">
        <v>174</v>
      </c>
    </row>
    <row r="5472" spans="1:5" ht="27" x14ac:dyDescent="0.25">
      <c r="A5472" s="508">
        <v>99627</v>
      </c>
      <c r="B5472" s="509" t="s">
        <v>4103</v>
      </c>
      <c r="C5472" s="508" t="s">
        <v>107</v>
      </c>
      <c r="D5472" s="510">
        <v>71.819999999999993</v>
      </c>
      <c r="E5472" s="461" t="s">
        <v>174</v>
      </c>
    </row>
    <row r="5473" spans="1:5" ht="27" x14ac:dyDescent="0.25">
      <c r="A5473" s="508">
        <v>99628</v>
      </c>
      <c r="B5473" s="509" t="s">
        <v>4104</v>
      </c>
      <c r="C5473" s="508" t="s">
        <v>107</v>
      </c>
      <c r="D5473" s="508">
        <v>78.48</v>
      </c>
      <c r="E5473" s="461" t="s">
        <v>174</v>
      </c>
    </row>
    <row r="5474" spans="1:5" ht="27" x14ac:dyDescent="0.25">
      <c r="A5474" s="508">
        <v>99629</v>
      </c>
      <c r="B5474" s="509" t="s">
        <v>4105</v>
      </c>
      <c r="C5474" s="508" t="s">
        <v>107</v>
      </c>
      <c r="D5474" s="510">
        <v>87.28</v>
      </c>
      <c r="E5474" s="461" t="s">
        <v>174</v>
      </c>
    </row>
    <row r="5475" spans="1:5" ht="27" x14ac:dyDescent="0.25">
      <c r="A5475" s="508">
        <v>99630</v>
      </c>
      <c r="B5475" s="509" t="s">
        <v>4106</v>
      </c>
      <c r="C5475" s="508" t="s">
        <v>107</v>
      </c>
      <c r="D5475" s="510">
        <v>129.78</v>
      </c>
      <c r="E5475" s="461" t="s">
        <v>174</v>
      </c>
    </row>
    <row r="5476" spans="1:5" ht="27" x14ac:dyDescent="0.25">
      <c r="A5476" s="508">
        <v>99631</v>
      </c>
      <c r="B5476" s="509" t="s">
        <v>4107</v>
      </c>
      <c r="C5476" s="508" t="s">
        <v>107</v>
      </c>
      <c r="D5476" s="508">
        <v>151.16999999999999</v>
      </c>
      <c r="E5476" s="461" t="s">
        <v>174</v>
      </c>
    </row>
    <row r="5477" spans="1:5" ht="27" x14ac:dyDescent="0.25">
      <c r="A5477" s="508">
        <v>99632</v>
      </c>
      <c r="B5477" s="509" t="s">
        <v>4108</v>
      </c>
      <c r="C5477" s="508" t="s">
        <v>107</v>
      </c>
      <c r="D5477" s="510">
        <v>217.83</v>
      </c>
      <c r="E5477" s="461" t="s">
        <v>174</v>
      </c>
    </row>
    <row r="5478" spans="1:5" ht="27" x14ac:dyDescent="0.25">
      <c r="A5478" s="508">
        <v>99633</v>
      </c>
      <c r="B5478" s="509" t="s">
        <v>4109</v>
      </c>
      <c r="C5478" s="508" t="s">
        <v>107</v>
      </c>
      <c r="D5478" s="508">
        <v>467.07</v>
      </c>
      <c r="E5478" s="461" t="s">
        <v>174</v>
      </c>
    </row>
    <row r="5479" spans="1:5" ht="27" x14ac:dyDescent="0.25">
      <c r="A5479" s="508">
        <v>99634</v>
      </c>
      <c r="B5479" s="509" t="s">
        <v>4110</v>
      </c>
      <c r="C5479" s="508" t="s">
        <v>107</v>
      </c>
      <c r="D5479" s="508">
        <v>796.05</v>
      </c>
      <c r="E5479" s="461" t="s">
        <v>174</v>
      </c>
    </row>
    <row r="5480" spans="1:5" ht="27" x14ac:dyDescent="0.25">
      <c r="A5480" s="508">
        <v>99635</v>
      </c>
      <c r="B5480" s="509" t="s">
        <v>4111</v>
      </c>
      <c r="C5480" s="508" t="s">
        <v>107</v>
      </c>
      <c r="D5480" s="510">
        <v>408.42</v>
      </c>
      <c r="E5480" s="461" t="s">
        <v>174</v>
      </c>
    </row>
    <row r="5481" spans="1:5" ht="27" x14ac:dyDescent="0.25">
      <c r="A5481" s="508">
        <v>103008</v>
      </c>
      <c r="B5481" s="509" t="s">
        <v>4112</v>
      </c>
      <c r="C5481" s="508" t="s">
        <v>107</v>
      </c>
      <c r="D5481" s="508">
        <v>97.17</v>
      </c>
      <c r="E5481" s="461" t="s">
        <v>174</v>
      </c>
    </row>
    <row r="5482" spans="1:5" ht="27" x14ac:dyDescent="0.25">
      <c r="A5482" s="508">
        <v>103009</v>
      </c>
      <c r="B5482" s="509" t="s">
        <v>4113</v>
      </c>
      <c r="C5482" s="508" t="s">
        <v>107</v>
      </c>
      <c r="D5482" s="508">
        <v>344.11</v>
      </c>
      <c r="E5482" s="461" t="s">
        <v>174</v>
      </c>
    </row>
    <row r="5483" spans="1:5" ht="27" x14ac:dyDescent="0.25">
      <c r="A5483" s="508">
        <v>103010</v>
      </c>
      <c r="B5483" s="509" t="s">
        <v>4114</v>
      </c>
      <c r="C5483" s="508" t="s">
        <v>107</v>
      </c>
      <c r="D5483" s="508">
        <v>73.69</v>
      </c>
      <c r="E5483" s="461" t="s">
        <v>174</v>
      </c>
    </row>
    <row r="5484" spans="1:5" ht="27" x14ac:dyDescent="0.25">
      <c r="A5484" s="508">
        <v>103011</v>
      </c>
      <c r="B5484" s="509" t="s">
        <v>4115</v>
      </c>
      <c r="C5484" s="508" t="s">
        <v>107</v>
      </c>
      <c r="D5484" s="508">
        <v>82.21</v>
      </c>
      <c r="E5484" s="461" t="s">
        <v>174</v>
      </c>
    </row>
    <row r="5485" spans="1:5" ht="27" x14ac:dyDescent="0.25">
      <c r="A5485" s="508">
        <v>103012</v>
      </c>
      <c r="B5485" s="509" t="s">
        <v>4116</v>
      </c>
      <c r="C5485" s="508" t="s">
        <v>107</v>
      </c>
      <c r="D5485" s="510">
        <v>129.57</v>
      </c>
      <c r="E5485" s="461" t="s">
        <v>174</v>
      </c>
    </row>
    <row r="5486" spans="1:5" ht="27" x14ac:dyDescent="0.25">
      <c r="A5486" s="508">
        <v>103013</v>
      </c>
      <c r="B5486" s="509" t="s">
        <v>4117</v>
      </c>
      <c r="C5486" s="508" t="s">
        <v>107</v>
      </c>
      <c r="D5486" s="508">
        <v>139.56</v>
      </c>
      <c r="E5486" s="461" t="s">
        <v>174</v>
      </c>
    </row>
    <row r="5487" spans="1:5" ht="27" x14ac:dyDescent="0.25">
      <c r="A5487" s="508">
        <v>103014</v>
      </c>
      <c r="B5487" s="509" t="s">
        <v>4118</v>
      </c>
      <c r="C5487" s="508" t="s">
        <v>107</v>
      </c>
      <c r="D5487" s="510">
        <v>209.79</v>
      </c>
      <c r="E5487" s="461" t="s">
        <v>174</v>
      </c>
    </row>
    <row r="5488" spans="1:5" ht="27" x14ac:dyDescent="0.25">
      <c r="A5488" s="508">
        <v>103015</v>
      </c>
      <c r="B5488" s="509" t="s">
        <v>4119</v>
      </c>
      <c r="C5488" s="508" t="s">
        <v>107</v>
      </c>
      <c r="D5488" s="510">
        <v>370.71</v>
      </c>
      <c r="E5488" s="461" t="s">
        <v>174</v>
      </c>
    </row>
    <row r="5489" spans="1:5" ht="27" x14ac:dyDescent="0.25">
      <c r="A5489" s="508">
        <v>103016</v>
      </c>
      <c r="B5489" s="509" t="s">
        <v>4120</v>
      </c>
      <c r="C5489" s="508" t="s">
        <v>107</v>
      </c>
      <c r="D5489" s="510">
        <v>506.7</v>
      </c>
      <c r="E5489" s="461" t="s">
        <v>174</v>
      </c>
    </row>
    <row r="5490" spans="1:5" ht="27" x14ac:dyDescent="0.25">
      <c r="A5490" s="508">
        <v>103017</v>
      </c>
      <c r="B5490" s="509" t="s">
        <v>4121</v>
      </c>
      <c r="C5490" s="508" t="s">
        <v>107</v>
      </c>
      <c r="D5490" s="510">
        <v>884.09</v>
      </c>
      <c r="E5490" s="461" t="s">
        <v>174</v>
      </c>
    </row>
    <row r="5491" spans="1:5" ht="27" x14ac:dyDescent="0.25">
      <c r="A5491" s="508">
        <v>103018</v>
      </c>
      <c r="B5491" s="509" t="s">
        <v>4122</v>
      </c>
      <c r="C5491" s="508" t="s">
        <v>107</v>
      </c>
      <c r="D5491" s="510">
        <v>333.75</v>
      </c>
      <c r="E5491" s="461" t="s">
        <v>174</v>
      </c>
    </row>
    <row r="5492" spans="1:5" ht="27" x14ac:dyDescent="0.25">
      <c r="A5492" s="508">
        <v>103019</v>
      </c>
      <c r="B5492" s="509" t="s">
        <v>4123</v>
      </c>
      <c r="C5492" s="508" t="s">
        <v>107</v>
      </c>
      <c r="D5492" s="508">
        <v>224.95</v>
      </c>
      <c r="E5492" s="461" t="s">
        <v>174</v>
      </c>
    </row>
    <row r="5493" spans="1:5" ht="15" x14ac:dyDescent="0.25">
      <c r="A5493" s="508">
        <v>103029</v>
      </c>
      <c r="B5493" s="509" t="s">
        <v>4124</v>
      </c>
      <c r="C5493" s="508" t="s">
        <v>107</v>
      </c>
      <c r="D5493" s="508">
        <v>51.41</v>
      </c>
      <c r="E5493" s="461" t="s">
        <v>174</v>
      </c>
    </row>
    <row r="5494" spans="1:5" ht="27" x14ac:dyDescent="0.25">
      <c r="A5494" s="508">
        <v>103036</v>
      </c>
      <c r="B5494" s="509" t="s">
        <v>4125</v>
      </c>
      <c r="C5494" s="508" t="s">
        <v>107</v>
      </c>
      <c r="D5494" s="508">
        <v>38.630000000000003</v>
      </c>
      <c r="E5494" s="461" t="s">
        <v>174</v>
      </c>
    </row>
    <row r="5495" spans="1:5" ht="27" x14ac:dyDescent="0.25">
      <c r="A5495" s="508">
        <v>103037</v>
      </c>
      <c r="B5495" s="509" t="s">
        <v>4126</v>
      </c>
      <c r="C5495" s="508" t="s">
        <v>107</v>
      </c>
      <c r="D5495" s="508">
        <v>75.91</v>
      </c>
      <c r="E5495" s="461" t="s">
        <v>174</v>
      </c>
    </row>
    <row r="5496" spans="1:5" ht="27" x14ac:dyDescent="0.25">
      <c r="A5496" s="508">
        <v>103038</v>
      </c>
      <c r="B5496" s="509" t="s">
        <v>4127</v>
      </c>
      <c r="C5496" s="508" t="s">
        <v>107</v>
      </c>
      <c r="D5496" s="508">
        <v>101.55</v>
      </c>
      <c r="E5496" s="461" t="s">
        <v>174</v>
      </c>
    </row>
    <row r="5497" spans="1:5" ht="27" x14ac:dyDescent="0.25">
      <c r="A5497" s="508">
        <v>103039</v>
      </c>
      <c r="B5497" s="509" t="s">
        <v>4128</v>
      </c>
      <c r="C5497" s="508" t="s">
        <v>107</v>
      </c>
      <c r="D5497" s="508">
        <v>109.42</v>
      </c>
      <c r="E5497" s="461" t="s">
        <v>174</v>
      </c>
    </row>
    <row r="5498" spans="1:5" ht="27" x14ac:dyDescent="0.25">
      <c r="A5498" s="508">
        <v>103040</v>
      </c>
      <c r="B5498" s="509" t="s">
        <v>4129</v>
      </c>
      <c r="C5498" s="508" t="s">
        <v>107</v>
      </c>
      <c r="D5498" s="510">
        <v>163.97</v>
      </c>
      <c r="E5498" s="461" t="s">
        <v>174</v>
      </c>
    </row>
    <row r="5499" spans="1:5" ht="27" x14ac:dyDescent="0.25">
      <c r="A5499" s="508">
        <v>103041</v>
      </c>
      <c r="B5499" s="509" t="s">
        <v>4130</v>
      </c>
      <c r="C5499" s="508" t="s">
        <v>107</v>
      </c>
      <c r="D5499" s="508">
        <v>31.88</v>
      </c>
      <c r="E5499" s="461" t="s">
        <v>174</v>
      </c>
    </row>
    <row r="5500" spans="1:5" ht="27" x14ac:dyDescent="0.25">
      <c r="A5500" s="508">
        <v>103042</v>
      </c>
      <c r="B5500" s="509" t="s">
        <v>4131</v>
      </c>
      <c r="C5500" s="508" t="s">
        <v>107</v>
      </c>
      <c r="D5500" s="508">
        <v>38.86</v>
      </c>
      <c r="E5500" s="461" t="s">
        <v>174</v>
      </c>
    </row>
    <row r="5501" spans="1:5" ht="27" x14ac:dyDescent="0.25">
      <c r="A5501" s="508">
        <v>103043</v>
      </c>
      <c r="B5501" s="509" t="s">
        <v>4132</v>
      </c>
      <c r="C5501" s="508" t="s">
        <v>107</v>
      </c>
      <c r="D5501" s="508">
        <v>37.11</v>
      </c>
      <c r="E5501" s="461" t="s">
        <v>174</v>
      </c>
    </row>
    <row r="5502" spans="1:5" ht="27" x14ac:dyDescent="0.25">
      <c r="A5502" s="508">
        <v>103044</v>
      </c>
      <c r="B5502" s="509" t="s">
        <v>4133</v>
      </c>
      <c r="C5502" s="508" t="s">
        <v>107</v>
      </c>
      <c r="D5502" s="508">
        <v>49.74</v>
      </c>
      <c r="E5502" s="461" t="s">
        <v>174</v>
      </c>
    </row>
    <row r="5503" spans="1:5" ht="27" x14ac:dyDescent="0.25">
      <c r="A5503" s="508">
        <v>103045</v>
      </c>
      <c r="B5503" s="509" t="s">
        <v>4134</v>
      </c>
      <c r="C5503" s="508" t="s">
        <v>107</v>
      </c>
      <c r="D5503" s="508">
        <v>14.71</v>
      </c>
      <c r="E5503" s="461" t="s">
        <v>174</v>
      </c>
    </row>
    <row r="5504" spans="1:5" ht="27" x14ac:dyDescent="0.25">
      <c r="A5504" s="508">
        <v>103046</v>
      </c>
      <c r="B5504" s="509" t="s">
        <v>4135</v>
      </c>
      <c r="C5504" s="508" t="s">
        <v>107</v>
      </c>
      <c r="D5504" s="508">
        <v>36.67</v>
      </c>
      <c r="E5504" s="461" t="s">
        <v>174</v>
      </c>
    </row>
    <row r="5505" spans="1:5" ht="27" x14ac:dyDescent="0.25">
      <c r="A5505" s="508">
        <v>103047</v>
      </c>
      <c r="B5505" s="509" t="s">
        <v>4136</v>
      </c>
      <c r="C5505" s="508" t="s">
        <v>107</v>
      </c>
      <c r="D5505" s="508">
        <v>38.51</v>
      </c>
      <c r="E5505" s="461" t="s">
        <v>174</v>
      </c>
    </row>
    <row r="5506" spans="1:5" ht="27" x14ac:dyDescent="0.25">
      <c r="A5506" s="508">
        <v>103048</v>
      </c>
      <c r="B5506" s="509" t="s">
        <v>4137</v>
      </c>
      <c r="C5506" s="508" t="s">
        <v>107</v>
      </c>
      <c r="D5506" s="508">
        <v>28.13</v>
      </c>
      <c r="E5506" s="461" t="s">
        <v>174</v>
      </c>
    </row>
    <row r="5507" spans="1:5" ht="27" x14ac:dyDescent="0.25">
      <c r="A5507" s="508">
        <v>103049</v>
      </c>
      <c r="B5507" s="509" t="s">
        <v>4138</v>
      </c>
      <c r="C5507" s="508" t="s">
        <v>107</v>
      </c>
      <c r="D5507" s="508">
        <v>30.74</v>
      </c>
      <c r="E5507" s="461" t="s">
        <v>174</v>
      </c>
    </row>
    <row r="5508" spans="1:5" ht="15" x14ac:dyDescent="0.25">
      <c r="A5508" s="508">
        <v>103050</v>
      </c>
      <c r="B5508" s="509" t="s">
        <v>4139</v>
      </c>
      <c r="C5508" s="508" t="s">
        <v>107</v>
      </c>
      <c r="D5508" s="508">
        <v>26.52</v>
      </c>
      <c r="E5508" s="461" t="s">
        <v>174</v>
      </c>
    </row>
    <row r="5509" spans="1:5" ht="15" x14ac:dyDescent="0.25">
      <c r="A5509" s="508">
        <v>103051</v>
      </c>
      <c r="B5509" s="509" t="s">
        <v>4140</v>
      </c>
      <c r="C5509" s="508" t="s">
        <v>107</v>
      </c>
      <c r="D5509" s="508">
        <v>32.04</v>
      </c>
      <c r="E5509" s="461" t="s">
        <v>174</v>
      </c>
    </row>
    <row r="5510" spans="1:5" ht="15" x14ac:dyDescent="0.25">
      <c r="A5510" s="508">
        <v>103052</v>
      </c>
      <c r="B5510" s="509" t="s">
        <v>4141</v>
      </c>
      <c r="C5510" s="508" t="s">
        <v>107</v>
      </c>
      <c r="D5510" s="508">
        <v>42.8</v>
      </c>
      <c r="E5510" s="461" t="s">
        <v>174</v>
      </c>
    </row>
    <row r="5511" spans="1:5" ht="27" x14ac:dyDescent="0.25">
      <c r="A5511" s="508">
        <v>95634</v>
      </c>
      <c r="B5511" s="509" t="s">
        <v>7435</v>
      </c>
      <c r="C5511" s="508" t="s">
        <v>107</v>
      </c>
      <c r="D5511" s="508">
        <v>207.01</v>
      </c>
      <c r="E5511" s="461" t="s">
        <v>174</v>
      </c>
    </row>
    <row r="5512" spans="1:5" ht="27" x14ac:dyDescent="0.25">
      <c r="A5512" s="508">
        <v>95635</v>
      </c>
      <c r="B5512" s="509" t="s">
        <v>7436</v>
      </c>
      <c r="C5512" s="508" t="s">
        <v>107</v>
      </c>
      <c r="D5512" s="508">
        <v>218.38</v>
      </c>
      <c r="E5512" s="461" t="s">
        <v>174</v>
      </c>
    </row>
    <row r="5513" spans="1:5" ht="27" x14ac:dyDescent="0.25">
      <c r="A5513" s="508">
        <v>95636</v>
      </c>
      <c r="B5513" s="509" t="s">
        <v>7437</v>
      </c>
      <c r="C5513" s="508" t="s">
        <v>107</v>
      </c>
      <c r="D5513" s="508">
        <v>426.05</v>
      </c>
      <c r="E5513" s="461" t="s">
        <v>174</v>
      </c>
    </row>
    <row r="5514" spans="1:5" ht="27" x14ac:dyDescent="0.25">
      <c r="A5514" s="508">
        <v>95637</v>
      </c>
      <c r="B5514" s="509" t="s">
        <v>7438</v>
      </c>
      <c r="C5514" s="508" t="s">
        <v>107</v>
      </c>
      <c r="D5514" s="508">
        <v>566.16999999999996</v>
      </c>
      <c r="E5514" s="461" t="s">
        <v>174</v>
      </c>
    </row>
    <row r="5515" spans="1:5" ht="27" x14ac:dyDescent="0.25">
      <c r="A5515" s="508">
        <v>95638</v>
      </c>
      <c r="B5515" s="509" t="s">
        <v>7439</v>
      </c>
      <c r="C5515" s="508" t="s">
        <v>107</v>
      </c>
      <c r="D5515" s="508">
        <v>700.12</v>
      </c>
      <c r="E5515" s="461" t="s">
        <v>174</v>
      </c>
    </row>
    <row r="5516" spans="1:5" ht="27" x14ac:dyDescent="0.25">
      <c r="A5516" s="508">
        <v>95639</v>
      </c>
      <c r="B5516" s="509" t="s">
        <v>7440</v>
      </c>
      <c r="C5516" s="508" t="s">
        <v>107</v>
      </c>
      <c r="D5516" s="508">
        <v>962.86</v>
      </c>
      <c r="E5516" s="461" t="s">
        <v>174</v>
      </c>
    </row>
    <row r="5517" spans="1:5" ht="27" x14ac:dyDescent="0.25">
      <c r="A5517" s="508">
        <v>95641</v>
      </c>
      <c r="B5517" s="509" t="s">
        <v>7441</v>
      </c>
      <c r="C5517" s="508" t="s">
        <v>107</v>
      </c>
      <c r="D5517" s="508">
        <v>317.76</v>
      </c>
      <c r="E5517" s="461" t="s">
        <v>174</v>
      </c>
    </row>
    <row r="5518" spans="1:5" ht="27" x14ac:dyDescent="0.25">
      <c r="A5518" s="508">
        <v>95642</v>
      </c>
      <c r="B5518" s="509" t="s">
        <v>7442</v>
      </c>
      <c r="C5518" s="508" t="s">
        <v>107</v>
      </c>
      <c r="D5518" s="508">
        <v>470.32</v>
      </c>
      <c r="E5518" s="461" t="s">
        <v>174</v>
      </c>
    </row>
    <row r="5519" spans="1:5" ht="27" x14ac:dyDescent="0.25">
      <c r="A5519" s="508">
        <v>95643</v>
      </c>
      <c r="B5519" s="509" t="s">
        <v>7443</v>
      </c>
      <c r="C5519" s="508" t="s">
        <v>107</v>
      </c>
      <c r="D5519" s="508">
        <v>615.41999999999996</v>
      </c>
      <c r="E5519" s="461" t="s">
        <v>174</v>
      </c>
    </row>
    <row r="5520" spans="1:5" ht="27" x14ac:dyDescent="0.25">
      <c r="A5520" s="508">
        <v>95644</v>
      </c>
      <c r="B5520" s="509" t="s">
        <v>7444</v>
      </c>
      <c r="C5520" s="508" t="s">
        <v>107</v>
      </c>
      <c r="D5520" s="508">
        <v>232.23</v>
      </c>
      <c r="E5520" s="461" t="s">
        <v>174</v>
      </c>
    </row>
    <row r="5521" spans="1:5" ht="27" x14ac:dyDescent="0.25">
      <c r="A5521" s="508">
        <v>95645</v>
      </c>
      <c r="B5521" s="509" t="s">
        <v>7445</v>
      </c>
      <c r="C5521" s="508" t="s">
        <v>107</v>
      </c>
      <c r="D5521" s="508">
        <v>426</v>
      </c>
      <c r="E5521" s="461" t="s">
        <v>174</v>
      </c>
    </row>
    <row r="5522" spans="1:5" ht="27" x14ac:dyDescent="0.25">
      <c r="A5522" s="508">
        <v>95646</v>
      </c>
      <c r="B5522" s="509" t="s">
        <v>7446</v>
      </c>
      <c r="C5522" s="508" t="s">
        <v>107</v>
      </c>
      <c r="D5522" s="508">
        <v>635.21</v>
      </c>
      <c r="E5522" s="461" t="s">
        <v>174</v>
      </c>
    </row>
    <row r="5523" spans="1:5" ht="27" x14ac:dyDescent="0.25">
      <c r="A5523" s="508">
        <v>95647</v>
      </c>
      <c r="B5523" s="509" t="s">
        <v>7447</v>
      </c>
      <c r="C5523" s="508" t="s">
        <v>107</v>
      </c>
      <c r="D5523" s="508">
        <v>833.26</v>
      </c>
      <c r="E5523" s="461" t="s">
        <v>174</v>
      </c>
    </row>
    <row r="5524" spans="1:5" ht="27" x14ac:dyDescent="0.25">
      <c r="A5524" s="508">
        <v>95648</v>
      </c>
      <c r="B5524" s="509" t="s">
        <v>7448</v>
      </c>
      <c r="C5524" s="508" t="s">
        <v>107</v>
      </c>
      <c r="D5524" s="508">
        <v>528.65</v>
      </c>
      <c r="E5524" s="461" t="s">
        <v>174</v>
      </c>
    </row>
    <row r="5525" spans="1:5" ht="27" x14ac:dyDescent="0.25">
      <c r="A5525" s="508">
        <v>95649</v>
      </c>
      <c r="B5525" s="509" t="s">
        <v>7449</v>
      </c>
      <c r="C5525" s="508" t="s">
        <v>107</v>
      </c>
      <c r="D5525" s="508">
        <v>919.76</v>
      </c>
      <c r="E5525" s="461" t="s">
        <v>174</v>
      </c>
    </row>
    <row r="5526" spans="1:5" ht="27" x14ac:dyDescent="0.25">
      <c r="A5526" s="508">
        <v>95650</v>
      </c>
      <c r="B5526" s="509" t="s">
        <v>7450</v>
      </c>
      <c r="C5526" s="508" t="s">
        <v>107</v>
      </c>
      <c r="D5526" s="508">
        <v>1345.96</v>
      </c>
      <c r="E5526" s="461" t="s">
        <v>174</v>
      </c>
    </row>
    <row r="5527" spans="1:5" ht="27" x14ac:dyDescent="0.25">
      <c r="A5527" s="508">
        <v>95651</v>
      </c>
      <c r="B5527" s="509" t="s">
        <v>7451</v>
      </c>
      <c r="C5527" s="508" t="s">
        <v>107</v>
      </c>
      <c r="D5527" s="508">
        <v>1751.11</v>
      </c>
      <c r="E5527" s="461" t="s">
        <v>174</v>
      </c>
    </row>
    <row r="5528" spans="1:5" ht="27" x14ac:dyDescent="0.25">
      <c r="A5528" s="508">
        <v>95652</v>
      </c>
      <c r="B5528" s="509" t="s">
        <v>7452</v>
      </c>
      <c r="C5528" s="508" t="s">
        <v>107</v>
      </c>
      <c r="D5528" s="508">
        <v>652.62</v>
      </c>
      <c r="E5528" s="461" t="s">
        <v>174</v>
      </c>
    </row>
    <row r="5529" spans="1:5" ht="40.5" x14ac:dyDescent="0.25">
      <c r="A5529" s="508">
        <v>95653</v>
      </c>
      <c r="B5529" s="509" t="s">
        <v>7453</v>
      </c>
      <c r="C5529" s="508" t="s">
        <v>107</v>
      </c>
      <c r="D5529" s="508">
        <v>1166.1199999999999</v>
      </c>
      <c r="E5529" s="461" t="s">
        <v>174</v>
      </c>
    </row>
    <row r="5530" spans="1:5" ht="40.5" x14ac:dyDescent="0.25">
      <c r="A5530" s="508">
        <v>95654</v>
      </c>
      <c r="B5530" s="509" t="s">
        <v>7454</v>
      </c>
      <c r="C5530" s="508" t="s">
        <v>107</v>
      </c>
      <c r="D5530" s="508">
        <v>1719.48</v>
      </c>
      <c r="E5530" s="461" t="s">
        <v>174</v>
      </c>
    </row>
    <row r="5531" spans="1:5" ht="40.5" x14ac:dyDescent="0.25">
      <c r="A5531" s="508">
        <v>95655</v>
      </c>
      <c r="B5531" s="509" t="s">
        <v>7455</v>
      </c>
      <c r="C5531" s="508" t="s">
        <v>107</v>
      </c>
      <c r="D5531" s="508">
        <v>2245.96</v>
      </c>
      <c r="E5531" s="461" t="s">
        <v>174</v>
      </c>
    </row>
    <row r="5532" spans="1:5" ht="27" x14ac:dyDescent="0.25">
      <c r="A5532" s="508">
        <v>95657</v>
      </c>
      <c r="B5532" s="509" t="s">
        <v>7456</v>
      </c>
      <c r="C5532" s="508" t="s">
        <v>107</v>
      </c>
      <c r="D5532" s="508">
        <v>337.97</v>
      </c>
      <c r="E5532" s="461" t="s">
        <v>174</v>
      </c>
    </row>
    <row r="5533" spans="1:5" ht="40.5" x14ac:dyDescent="0.25">
      <c r="A5533" s="508">
        <v>95658</v>
      </c>
      <c r="B5533" s="509" t="s">
        <v>7457</v>
      </c>
      <c r="C5533" s="508" t="s">
        <v>107</v>
      </c>
      <c r="D5533" s="508">
        <v>615.82000000000005</v>
      </c>
      <c r="E5533" s="461" t="s">
        <v>174</v>
      </c>
    </row>
    <row r="5534" spans="1:5" ht="40.5" x14ac:dyDescent="0.25">
      <c r="A5534" s="508">
        <v>95659</v>
      </c>
      <c r="B5534" s="509" t="s">
        <v>7458</v>
      </c>
      <c r="C5534" s="508" t="s">
        <v>107</v>
      </c>
      <c r="D5534" s="508">
        <v>916.57</v>
      </c>
      <c r="E5534" s="461" t="s">
        <v>174</v>
      </c>
    </row>
    <row r="5535" spans="1:5" ht="40.5" x14ac:dyDescent="0.25">
      <c r="A5535" s="508">
        <v>95660</v>
      </c>
      <c r="B5535" s="509" t="s">
        <v>7459</v>
      </c>
      <c r="C5535" s="508" t="s">
        <v>107</v>
      </c>
      <c r="D5535" s="508">
        <v>1201.6099999999999</v>
      </c>
      <c r="E5535" s="461" t="s">
        <v>174</v>
      </c>
    </row>
    <row r="5536" spans="1:5" ht="27" x14ac:dyDescent="0.25">
      <c r="A5536" s="508">
        <v>95661</v>
      </c>
      <c r="B5536" s="509" t="s">
        <v>7460</v>
      </c>
      <c r="C5536" s="508" t="s">
        <v>107</v>
      </c>
      <c r="D5536" s="508">
        <v>420.19</v>
      </c>
      <c r="E5536" s="461" t="s">
        <v>174</v>
      </c>
    </row>
    <row r="5537" spans="1:5" ht="27" x14ac:dyDescent="0.25">
      <c r="A5537" s="508">
        <v>95662</v>
      </c>
      <c r="B5537" s="509" t="s">
        <v>7461</v>
      </c>
      <c r="C5537" s="508" t="s">
        <v>107</v>
      </c>
      <c r="D5537" s="508">
        <v>778.71</v>
      </c>
      <c r="E5537" s="461" t="s">
        <v>174</v>
      </c>
    </row>
    <row r="5538" spans="1:5" ht="27" x14ac:dyDescent="0.25">
      <c r="A5538" s="508">
        <v>95663</v>
      </c>
      <c r="B5538" s="509" t="s">
        <v>7462</v>
      </c>
      <c r="C5538" s="508" t="s">
        <v>107</v>
      </c>
      <c r="D5538" s="508">
        <v>1164.77</v>
      </c>
      <c r="E5538" s="461" t="s">
        <v>174</v>
      </c>
    </row>
    <row r="5539" spans="1:5" ht="27" x14ac:dyDescent="0.25">
      <c r="A5539" s="508">
        <v>95664</v>
      </c>
      <c r="B5539" s="509" t="s">
        <v>7463</v>
      </c>
      <c r="C5539" s="508" t="s">
        <v>107</v>
      </c>
      <c r="D5539" s="508">
        <v>1529.47</v>
      </c>
      <c r="E5539" s="461" t="s">
        <v>174</v>
      </c>
    </row>
    <row r="5540" spans="1:5" ht="27" x14ac:dyDescent="0.25">
      <c r="A5540" s="508">
        <v>95665</v>
      </c>
      <c r="B5540" s="509" t="s">
        <v>7464</v>
      </c>
      <c r="C5540" s="508" t="s">
        <v>107</v>
      </c>
      <c r="D5540" s="508">
        <v>374.31</v>
      </c>
      <c r="E5540" s="461" t="s">
        <v>174</v>
      </c>
    </row>
    <row r="5541" spans="1:5" ht="40.5" x14ac:dyDescent="0.25">
      <c r="A5541" s="508">
        <v>95666</v>
      </c>
      <c r="B5541" s="509" t="s">
        <v>7465</v>
      </c>
      <c r="C5541" s="508" t="s">
        <v>107</v>
      </c>
      <c r="D5541" s="508">
        <v>662.79</v>
      </c>
      <c r="E5541" s="461" t="s">
        <v>174</v>
      </c>
    </row>
    <row r="5542" spans="1:5" ht="40.5" x14ac:dyDescent="0.25">
      <c r="A5542" s="508">
        <v>95667</v>
      </c>
      <c r="B5542" s="509" t="s">
        <v>7466</v>
      </c>
      <c r="C5542" s="508" t="s">
        <v>107</v>
      </c>
      <c r="D5542" s="508">
        <v>981.51</v>
      </c>
      <c r="E5542" s="461" t="s">
        <v>174</v>
      </c>
    </row>
    <row r="5543" spans="1:5" ht="40.5" x14ac:dyDescent="0.25">
      <c r="A5543" s="508">
        <v>95668</v>
      </c>
      <c r="B5543" s="509" t="s">
        <v>7467</v>
      </c>
      <c r="C5543" s="508" t="s">
        <v>107</v>
      </c>
      <c r="D5543" s="508">
        <v>1282.3599999999999</v>
      </c>
      <c r="E5543" s="461" t="s">
        <v>174</v>
      </c>
    </row>
    <row r="5544" spans="1:5" ht="27" x14ac:dyDescent="0.25">
      <c r="A5544" s="508">
        <v>95669</v>
      </c>
      <c r="B5544" s="509" t="s">
        <v>7468</v>
      </c>
      <c r="C5544" s="508" t="s">
        <v>107</v>
      </c>
      <c r="D5544" s="508">
        <v>452.18</v>
      </c>
      <c r="E5544" s="461" t="s">
        <v>174</v>
      </c>
    </row>
    <row r="5545" spans="1:5" ht="27" x14ac:dyDescent="0.25">
      <c r="A5545" s="508">
        <v>95670</v>
      </c>
      <c r="B5545" s="509" t="s">
        <v>7469</v>
      </c>
      <c r="C5545" s="508" t="s">
        <v>107</v>
      </c>
      <c r="D5545" s="508">
        <v>817.18</v>
      </c>
      <c r="E5545" s="461" t="s">
        <v>174</v>
      </c>
    </row>
    <row r="5546" spans="1:5" ht="27" x14ac:dyDescent="0.25">
      <c r="A5546" s="508">
        <v>95671</v>
      </c>
      <c r="B5546" s="509" t="s">
        <v>7470</v>
      </c>
      <c r="C5546" s="508" t="s">
        <v>107</v>
      </c>
      <c r="D5546" s="508">
        <v>1216.3699999999999</v>
      </c>
      <c r="E5546" s="461" t="s">
        <v>174</v>
      </c>
    </row>
    <row r="5547" spans="1:5" ht="27" x14ac:dyDescent="0.25">
      <c r="A5547" s="508">
        <v>95672</v>
      </c>
      <c r="B5547" s="509" t="s">
        <v>7471</v>
      </c>
      <c r="C5547" s="508" t="s">
        <v>107</v>
      </c>
      <c r="D5547" s="508">
        <v>1592.9</v>
      </c>
      <c r="E5547" s="461" t="s">
        <v>174</v>
      </c>
    </row>
    <row r="5548" spans="1:5" ht="15" x14ac:dyDescent="0.25">
      <c r="A5548" s="508">
        <v>95673</v>
      </c>
      <c r="B5548" s="509" t="s">
        <v>7472</v>
      </c>
      <c r="C5548" s="508" t="s">
        <v>107</v>
      </c>
      <c r="D5548" s="508">
        <v>117.52</v>
      </c>
      <c r="E5548" s="461" t="s">
        <v>174</v>
      </c>
    </row>
    <row r="5549" spans="1:5" ht="15" x14ac:dyDescent="0.25">
      <c r="A5549" s="508">
        <v>95674</v>
      </c>
      <c r="B5549" s="509" t="s">
        <v>7473</v>
      </c>
      <c r="C5549" s="508" t="s">
        <v>107</v>
      </c>
      <c r="D5549" s="508">
        <v>124.43</v>
      </c>
      <c r="E5549" s="461" t="s">
        <v>174</v>
      </c>
    </row>
    <row r="5550" spans="1:5" ht="15" x14ac:dyDescent="0.25">
      <c r="A5550" s="508">
        <v>95675</v>
      </c>
      <c r="B5550" s="509" t="s">
        <v>7474</v>
      </c>
      <c r="C5550" s="508" t="s">
        <v>107</v>
      </c>
      <c r="D5550" s="508">
        <v>153.55000000000001</v>
      </c>
      <c r="E5550" s="461" t="s">
        <v>174</v>
      </c>
    </row>
    <row r="5551" spans="1:5" ht="27" x14ac:dyDescent="0.25">
      <c r="A5551" s="508">
        <v>95676</v>
      </c>
      <c r="B5551" s="509" t="s">
        <v>7475</v>
      </c>
      <c r="C5551" s="508" t="s">
        <v>107</v>
      </c>
      <c r="D5551" s="508">
        <v>134.49</v>
      </c>
      <c r="E5551" s="461" t="s">
        <v>174</v>
      </c>
    </row>
    <row r="5552" spans="1:5" ht="27" x14ac:dyDescent="0.25">
      <c r="A5552" s="508">
        <v>97741</v>
      </c>
      <c r="B5552" s="509" t="s">
        <v>7476</v>
      </c>
      <c r="C5552" s="508" t="s">
        <v>107</v>
      </c>
      <c r="D5552" s="508">
        <v>177.6</v>
      </c>
      <c r="E5552" s="461" t="s">
        <v>174</v>
      </c>
    </row>
    <row r="5553" spans="1:5" ht="15" x14ac:dyDescent="0.25">
      <c r="A5553" s="508">
        <v>104992</v>
      </c>
      <c r="B5553" s="509" t="s">
        <v>7477</v>
      </c>
      <c r="C5553" s="508" t="s">
        <v>107</v>
      </c>
      <c r="D5553" s="508">
        <v>1194.96</v>
      </c>
      <c r="E5553" s="461" t="s">
        <v>174</v>
      </c>
    </row>
    <row r="5554" spans="1:5" ht="15" x14ac:dyDescent="0.25">
      <c r="A5554" s="508">
        <v>104997</v>
      </c>
      <c r="B5554" s="509" t="s">
        <v>7478</v>
      </c>
      <c r="C5554" s="508" t="s">
        <v>107</v>
      </c>
      <c r="D5554" s="508">
        <v>394.99</v>
      </c>
      <c r="E5554" s="461" t="s">
        <v>174</v>
      </c>
    </row>
    <row r="5555" spans="1:5" ht="15" x14ac:dyDescent="0.25">
      <c r="A5555" s="508">
        <v>104998</v>
      </c>
      <c r="B5555" s="509" t="s">
        <v>7479</v>
      </c>
      <c r="C5555" s="508" t="s">
        <v>107</v>
      </c>
      <c r="D5555" s="508">
        <v>526.45000000000005</v>
      </c>
      <c r="E5555" s="461" t="s">
        <v>174</v>
      </c>
    </row>
    <row r="5556" spans="1:5" ht="15" x14ac:dyDescent="0.25">
      <c r="A5556" s="508">
        <v>105135</v>
      </c>
      <c r="B5556" s="509" t="s">
        <v>7480</v>
      </c>
      <c r="C5556" s="508" t="s">
        <v>107</v>
      </c>
      <c r="D5556" s="508">
        <v>857.23</v>
      </c>
      <c r="E5556" s="461" t="s">
        <v>174</v>
      </c>
    </row>
    <row r="5557" spans="1:5" ht="27" x14ac:dyDescent="0.25">
      <c r="A5557" s="508">
        <v>90436</v>
      </c>
      <c r="B5557" s="509" t="s">
        <v>7481</v>
      </c>
      <c r="C5557" s="508" t="s">
        <v>107</v>
      </c>
      <c r="D5557" s="508">
        <v>16.149999999999999</v>
      </c>
      <c r="E5557" s="461" t="s">
        <v>174</v>
      </c>
    </row>
    <row r="5558" spans="1:5" ht="27" x14ac:dyDescent="0.25">
      <c r="A5558" s="508">
        <v>90437</v>
      </c>
      <c r="B5558" s="509" t="s">
        <v>7482</v>
      </c>
      <c r="C5558" s="508" t="s">
        <v>107</v>
      </c>
      <c r="D5558" s="508">
        <v>43.04</v>
      </c>
      <c r="E5558" s="461" t="s">
        <v>174</v>
      </c>
    </row>
    <row r="5559" spans="1:5" ht="27" x14ac:dyDescent="0.25">
      <c r="A5559" s="508">
        <v>90438</v>
      </c>
      <c r="B5559" s="509" t="s">
        <v>7483</v>
      </c>
      <c r="C5559" s="508" t="s">
        <v>107</v>
      </c>
      <c r="D5559" s="508">
        <v>62.87</v>
      </c>
      <c r="E5559" s="461" t="s">
        <v>174</v>
      </c>
    </row>
    <row r="5560" spans="1:5" ht="27" x14ac:dyDescent="0.25">
      <c r="A5560" s="508">
        <v>90439</v>
      </c>
      <c r="B5560" s="509" t="s">
        <v>7484</v>
      </c>
      <c r="C5560" s="508" t="s">
        <v>107</v>
      </c>
      <c r="D5560" s="508">
        <v>9.93</v>
      </c>
      <c r="E5560" s="461" t="s">
        <v>174</v>
      </c>
    </row>
    <row r="5561" spans="1:5" ht="27" x14ac:dyDescent="0.25">
      <c r="A5561" s="508">
        <v>90440</v>
      </c>
      <c r="B5561" s="509" t="s">
        <v>7485</v>
      </c>
      <c r="C5561" s="508" t="s">
        <v>107</v>
      </c>
      <c r="D5561" s="508">
        <v>26.48</v>
      </c>
      <c r="E5561" s="461" t="s">
        <v>174</v>
      </c>
    </row>
    <row r="5562" spans="1:5" ht="27" x14ac:dyDescent="0.25">
      <c r="A5562" s="508">
        <v>90441</v>
      </c>
      <c r="B5562" s="509" t="s">
        <v>7486</v>
      </c>
      <c r="C5562" s="508" t="s">
        <v>107</v>
      </c>
      <c r="D5562" s="508">
        <v>38.68</v>
      </c>
      <c r="E5562" s="461" t="s">
        <v>174</v>
      </c>
    </row>
    <row r="5563" spans="1:5" ht="27" x14ac:dyDescent="0.25">
      <c r="A5563" s="508">
        <v>90443</v>
      </c>
      <c r="B5563" s="509" t="s">
        <v>7487</v>
      </c>
      <c r="C5563" s="508" t="s">
        <v>5</v>
      </c>
      <c r="D5563" s="508">
        <v>8.67</v>
      </c>
      <c r="E5563" s="461" t="s">
        <v>174</v>
      </c>
    </row>
    <row r="5564" spans="1:5" ht="27" x14ac:dyDescent="0.25">
      <c r="A5564" s="508">
        <v>90444</v>
      </c>
      <c r="B5564" s="509" t="s">
        <v>7488</v>
      </c>
      <c r="C5564" s="508" t="s">
        <v>5</v>
      </c>
      <c r="D5564" s="508">
        <v>13.67</v>
      </c>
      <c r="E5564" s="461" t="s">
        <v>174</v>
      </c>
    </row>
    <row r="5565" spans="1:5" ht="27" x14ac:dyDescent="0.25">
      <c r="A5565" s="508">
        <v>90445</v>
      </c>
      <c r="B5565" s="509" t="s">
        <v>7489</v>
      </c>
      <c r="C5565" s="508" t="s">
        <v>5</v>
      </c>
      <c r="D5565" s="508">
        <v>18.13</v>
      </c>
      <c r="E5565" s="461" t="s">
        <v>174</v>
      </c>
    </row>
    <row r="5566" spans="1:5" ht="27" x14ac:dyDescent="0.25">
      <c r="A5566" s="508">
        <v>90446</v>
      </c>
      <c r="B5566" s="509" t="s">
        <v>7490</v>
      </c>
      <c r="C5566" s="508" t="s">
        <v>5</v>
      </c>
      <c r="D5566" s="508">
        <v>24.08</v>
      </c>
      <c r="E5566" s="461" t="s">
        <v>174</v>
      </c>
    </row>
    <row r="5567" spans="1:5" ht="27" x14ac:dyDescent="0.25">
      <c r="A5567" s="508">
        <v>90447</v>
      </c>
      <c r="B5567" s="509" t="s">
        <v>7491</v>
      </c>
      <c r="C5567" s="508" t="s">
        <v>5</v>
      </c>
      <c r="D5567" s="508">
        <v>9.01</v>
      </c>
      <c r="E5567" s="461" t="s">
        <v>174</v>
      </c>
    </row>
    <row r="5568" spans="1:5" ht="27" x14ac:dyDescent="0.25">
      <c r="A5568" s="508">
        <v>90451</v>
      </c>
      <c r="B5568" s="509" t="s">
        <v>7492</v>
      </c>
      <c r="C5568" s="508" t="s">
        <v>107</v>
      </c>
      <c r="D5568" s="508">
        <v>6.88</v>
      </c>
      <c r="E5568" s="461" t="s">
        <v>174</v>
      </c>
    </row>
    <row r="5569" spans="1:5" ht="27" x14ac:dyDescent="0.25">
      <c r="A5569" s="508">
        <v>90452</v>
      </c>
      <c r="B5569" s="509" t="s">
        <v>7493</v>
      </c>
      <c r="C5569" s="508" t="s">
        <v>107</v>
      </c>
      <c r="D5569" s="508">
        <v>26.14</v>
      </c>
      <c r="E5569" s="461" t="s">
        <v>174</v>
      </c>
    </row>
    <row r="5570" spans="1:5" ht="27" x14ac:dyDescent="0.25">
      <c r="A5570" s="508">
        <v>90453</v>
      </c>
      <c r="B5570" s="509" t="s">
        <v>7494</v>
      </c>
      <c r="C5570" s="508" t="s">
        <v>107</v>
      </c>
      <c r="D5570" s="508">
        <v>3.97</v>
      </c>
      <c r="E5570" s="461" t="s">
        <v>174</v>
      </c>
    </row>
    <row r="5571" spans="1:5" ht="27" x14ac:dyDescent="0.25">
      <c r="A5571" s="508">
        <v>90454</v>
      </c>
      <c r="B5571" s="509" t="s">
        <v>7495</v>
      </c>
      <c r="C5571" s="508" t="s">
        <v>107</v>
      </c>
      <c r="D5571" s="508">
        <v>6.27</v>
      </c>
      <c r="E5571" s="461" t="s">
        <v>174</v>
      </c>
    </row>
    <row r="5572" spans="1:5" ht="27" x14ac:dyDescent="0.25">
      <c r="A5572" s="508">
        <v>90455</v>
      </c>
      <c r="B5572" s="509" t="s">
        <v>7496</v>
      </c>
      <c r="C5572" s="508" t="s">
        <v>107</v>
      </c>
      <c r="D5572" s="508">
        <v>8.14</v>
      </c>
      <c r="E5572" s="461" t="s">
        <v>174</v>
      </c>
    </row>
    <row r="5573" spans="1:5" ht="15" x14ac:dyDescent="0.25">
      <c r="A5573" s="508">
        <v>90456</v>
      </c>
      <c r="B5573" s="509" t="s">
        <v>7497</v>
      </c>
      <c r="C5573" s="508" t="s">
        <v>107</v>
      </c>
      <c r="D5573" s="508">
        <v>5.96</v>
      </c>
      <c r="E5573" s="461" t="s">
        <v>174</v>
      </c>
    </row>
    <row r="5574" spans="1:5" ht="27" x14ac:dyDescent="0.25">
      <c r="A5574" s="508">
        <v>90457</v>
      </c>
      <c r="B5574" s="509" t="s">
        <v>7498</v>
      </c>
      <c r="C5574" s="508" t="s">
        <v>107</v>
      </c>
      <c r="D5574" s="508">
        <v>13.63</v>
      </c>
      <c r="E5574" s="461" t="s">
        <v>174</v>
      </c>
    </row>
    <row r="5575" spans="1:5" ht="27" x14ac:dyDescent="0.25">
      <c r="A5575" s="508">
        <v>90458</v>
      </c>
      <c r="B5575" s="509" t="s">
        <v>7499</v>
      </c>
      <c r="C5575" s="508" t="s">
        <v>107</v>
      </c>
      <c r="D5575" s="508">
        <v>38.880000000000003</v>
      </c>
      <c r="E5575" s="461" t="s">
        <v>174</v>
      </c>
    </row>
    <row r="5576" spans="1:5" ht="15" x14ac:dyDescent="0.25">
      <c r="A5576" s="508">
        <v>90459</v>
      </c>
      <c r="B5576" s="509" t="s">
        <v>7500</v>
      </c>
      <c r="C5576" s="508" t="s">
        <v>107</v>
      </c>
      <c r="D5576" s="508">
        <v>52.96</v>
      </c>
      <c r="E5576" s="461" t="s">
        <v>174</v>
      </c>
    </row>
    <row r="5577" spans="1:5" ht="27" x14ac:dyDescent="0.25">
      <c r="A5577" s="508">
        <v>90460</v>
      </c>
      <c r="B5577" s="509" t="s">
        <v>7501</v>
      </c>
      <c r="C5577" s="508" t="s">
        <v>5</v>
      </c>
      <c r="D5577" s="508">
        <v>26.61</v>
      </c>
      <c r="E5577" s="461" t="s">
        <v>174</v>
      </c>
    </row>
    <row r="5578" spans="1:5" ht="27" x14ac:dyDescent="0.25">
      <c r="A5578" s="508">
        <v>90461</v>
      </c>
      <c r="B5578" s="509" t="s">
        <v>7502</v>
      </c>
      <c r="C5578" s="508" t="s">
        <v>5</v>
      </c>
      <c r="D5578" s="508">
        <v>20.010000000000002</v>
      </c>
      <c r="E5578" s="461" t="s">
        <v>174</v>
      </c>
    </row>
    <row r="5579" spans="1:5" ht="27" x14ac:dyDescent="0.25">
      <c r="A5579" s="508">
        <v>90462</v>
      </c>
      <c r="B5579" s="509" t="s">
        <v>7503</v>
      </c>
      <c r="C5579" s="508" t="s">
        <v>5</v>
      </c>
      <c r="D5579" s="508">
        <v>4.76</v>
      </c>
      <c r="E5579" s="461" t="s">
        <v>174</v>
      </c>
    </row>
    <row r="5580" spans="1:5" ht="27" x14ac:dyDescent="0.25">
      <c r="A5580" s="508">
        <v>90463</v>
      </c>
      <c r="B5580" s="509" t="s">
        <v>7504</v>
      </c>
      <c r="C5580" s="508" t="s">
        <v>5</v>
      </c>
      <c r="D5580" s="508">
        <v>4.03</v>
      </c>
      <c r="E5580" s="461" t="s">
        <v>174</v>
      </c>
    </row>
    <row r="5581" spans="1:5" ht="27" x14ac:dyDescent="0.25">
      <c r="A5581" s="508">
        <v>90466</v>
      </c>
      <c r="B5581" s="509" t="s">
        <v>7505</v>
      </c>
      <c r="C5581" s="508" t="s">
        <v>5</v>
      </c>
      <c r="D5581" s="508">
        <v>16.72</v>
      </c>
      <c r="E5581" s="461" t="s">
        <v>174</v>
      </c>
    </row>
    <row r="5582" spans="1:5" ht="27" x14ac:dyDescent="0.25">
      <c r="A5582" s="508">
        <v>90467</v>
      </c>
      <c r="B5582" s="509" t="s">
        <v>7506</v>
      </c>
      <c r="C5582" s="508" t="s">
        <v>5</v>
      </c>
      <c r="D5582" s="508">
        <v>25.12</v>
      </c>
      <c r="E5582" s="461" t="s">
        <v>174</v>
      </c>
    </row>
    <row r="5583" spans="1:5" ht="27" x14ac:dyDescent="0.25">
      <c r="A5583" s="508">
        <v>90468</v>
      </c>
      <c r="B5583" s="509" t="s">
        <v>7507</v>
      </c>
      <c r="C5583" s="508" t="s">
        <v>5</v>
      </c>
      <c r="D5583" s="508">
        <v>8.24</v>
      </c>
      <c r="E5583" s="461" t="s">
        <v>174</v>
      </c>
    </row>
    <row r="5584" spans="1:5" ht="27" x14ac:dyDescent="0.25">
      <c r="A5584" s="508">
        <v>90469</v>
      </c>
      <c r="B5584" s="509" t="s">
        <v>7508</v>
      </c>
      <c r="C5584" s="508" t="s">
        <v>5</v>
      </c>
      <c r="D5584" s="508">
        <v>12.5</v>
      </c>
      <c r="E5584" s="461" t="s">
        <v>174</v>
      </c>
    </row>
    <row r="5585" spans="1:5" ht="27" x14ac:dyDescent="0.25">
      <c r="A5585" s="508">
        <v>90470</v>
      </c>
      <c r="B5585" s="509" t="s">
        <v>7509</v>
      </c>
      <c r="C5585" s="508" t="s">
        <v>5</v>
      </c>
      <c r="D5585" s="508">
        <v>16.61</v>
      </c>
      <c r="E5585" s="461" t="s">
        <v>174</v>
      </c>
    </row>
    <row r="5586" spans="1:5" ht="27" x14ac:dyDescent="0.25">
      <c r="A5586" s="508">
        <v>91166</v>
      </c>
      <c r="B5586" s="509" t="s">
        <v>7510</v>
      </c>
      <c r="C5586" s="508" t="s">
        <v>5</v>
      </c>
      <c r="D5586" s="508">
        <v>4.3099999999999996</v>
      </c>
      <c r="E5586" s="461" t="s">
        <v>174</v>
      </c>
    </row>
    <row r="5587" spans="1:5" ht="40.5" x14ac:dyDescent="0.25">
      <c r="A5587" s="508">
        <v>91167</v>
      </c>
      <c r="B5587" s="509" t="s">
        <v>7511</v>
      </c>
      <c r="C5587" s="508" t="s">
        <v>5</v>
      </c>
      <c r="D5587" s="508">
        <v>10.73</v>
      </c>
      <c r="E5587" s="461" t="s">
        <v>174</v>
      </c>
    </row>
    <row r="5588" spans="1:5" ht="40.5" x14ac:dyDescent="0.25">
      <c r="A5588" s="508">
        <v>91170</v>
      </c>
      <c r="B5588" s="509" t="s">
        <v>7512</v>
      </c>
      <c r="C5588" s="508" t="s">
        <v>5</v>
      </c>
      <c r="D5588" s="508">
        <v>10.73</v>
      </c>
      <c r="E5588" s="461" t="s">
        <v>174</v>
      </c>
    </row>
    <row r="5589" spans="1:5" ht="54" x14ac:dyDescent="0.25">
      <c r="A5589" s="508">
        <v>91171</v>
      </c>
      <c r="B5589" s="509" t="s">
        <v>7513</v>
      </c>
      <c r="C5589" s="508" t="s">
        <v>5</v>
      </c>
      <c r="D5589" s="508">
        <v>17.329999999999998</v>
      </c>
      <c r="E5589" s="461" t="s">
        <v>174</v>
      </c>
    </row>
    <row r="5590" spans="1:5" ht="54" x14ac:dyDescent="0.25">
      <c r="A5590" s="508">
        <v>91172</v>
      </c>
      <c r="B5590" s="509" t="s">
        <v>7514</v>
      </c>
      <c r="C5590" s="508" t="s">
        <v>5</v>
      </c>
      <c r="D5590" s="508">
        <v>19.95</v>
      </c>
      <c r="E5590" s="461" t="s">
        <v>174</v>
      </c>
    </row>
    <row r="5591" spans="1:5" ht="40.5" x14ac:dyDescent="0.25">
      <c r="A5591" s="508">
        <v>91173</v>
      </c>
      <c r="B5591" s="509" t="s">
        <v>7515</v>
      </c>
      <c r="C5591" s="508" t="s">
        <v>5</v>
      </c>
      <c r="D5591" s="508">
        <v>4</v>
      </c>
      <c r="E5591" s="461" t="s">
        <v>174</v>
      </c>
    </row>
    <row r="5592" spans="1:5" ht="54" x14ac:dyDescent="0.25">
      <c r="A5592" s="508">
        <v>91174</v>
      </c>
      <c r="B5592" s="509" t="s">
        <v>7516</v>
      </c>
      <c r="C5592" s="508" t="s">
        <v>5</v>
      </c>
      <c r="D5592" s="508">
        <v>6.92</v>
      </c>
      <c r="E5592" s="461" t="s">
        <v>174</v>
      </c>
    </row>
    <row r="5593" spans="1:5" ht="54" x14ac:dyDescent="0.25">
      <c r="A5593" s="508">
        <v>91175</v>
      </c>
      <c r="B5593" s="509" t="s">
        <v>7517</v>
      </c>
      <c r="C5593" s="508" t="s">
        <v>5</v>
      </c>
      <c r="D5593" s="508">
        <v>10.77</v>
      </c>
      <c r="E5593" s="461" t="s">
        <v>174</v>
      </c>
    </row>
    <row r="5594" spans="1:5" ht="40.5" x14ac:dyDescent="0.25">
      <c r="A5594" s="508">
        <v>91176</v>
      </c>
      <c r="B5594" s="509" t="s">
        <v>7518</v>
      </c>
      <c r="C5594" s="508" t="s">
        <v>5</v>
      </c>
      <c r="D5594" s="508">
        <v>17.559999999999999</v>
      </c>
      <c r="E5594" s="461" t="s">
        <v>174</v>
      </c>
    </row>
    <row r="5595" spans="1:5" ht="40.5" x14ac:dyDescent="0.25">
      <c r="A5595" s="508">
        <v>91179</v>
      </c>
      <c r="B5595" s="509" t="s">
        <v>7519</v>
      </c>
      <c r="C5595" s="508" t="s">
        <v>5</v>
      </c>
      <c r="D5595" s="508">
        <v>17.559999999999999</v>
      </c>
      <c r="E5595" s="461" t="s">
        <v>174</v>
      </c>
    </row>
    <row r="5596" spans="1:5" ht="40.5" x14ac:dyDescent="0.25">
      <c r="A5596" s="508">
        <v>91180</v>
      </c>
      <c r="B5596" s="509" t="s">
        <v>7520</v>
      </c>
      <c r="C5596" s="508" t="s">
        <v>5</v>
      </c>
      <c r="D5596" s="508">
        <v>23.45</v>
      </c>
      <c r="E5596" s="461" t="s">
        <v>174</v>
      </c>
    </row>
    <row r="5597" spans="1:5" ht="40.5" x14ac:dyDescent="0.25">
      <c r="A5597" s="508">
        <v>91181</v>
      </c>
      <c r="B5597" s="509" t="s">
        <v>7521</v>
      </c>
      <c r="C5597" s="508" t="s">
        <v>5</v>
      </c>
      <c r="D5597" s="508">
        <v>24.61</v>
      </c>
      <c r="E5597" s="461" t="s">
        <v>174</v>
      </c>
    </row>
    <row r="5598" spans="1:5" ht="27" x14ac:dyDescent="0.25">
      <c r="A5598" s="508">
        <v>91182</v>
      </c>
      <c r="B5598" s="509" t="s">
        <v>7522</v>
      </c>
      <c r="C5598" s="508" t="s">
        <v>5</v>
      </c>
      <c r="D5598" s="508">
        <v>26.83</v>
      </c>
      <c r="E5598" s="461" t="s">
        <v>174</v>
      </c>
    </row>
    <row r="5599" spans="1:5" ht="40.5" x14ac:dyDescent="0.25">
      <c r="A5599" s="508">
        <v>91185</v>
      </c>
      <c r="B5599" s="509" t="s">
        <v>7523</v>
      </c>
      <c r="C5599" s="508" t="s">
        <v>5</v>
      </c>
      <c r="D5599" s="508">
        <v>26.83</v>
      </c>
      <c r="E5599" s="461" t="s">
        <v>174</v>
      </c>
    </row>
    <row r="5600" spans="1:5" ht="40.5" x14ac:dyDescent="0.25">
      <c r="A5600" s="508">
        <v>91186</v>
      </c>
      <c r="B5600" s="509" t="s">
        <v>7524</v>
      </c>
      <c r="C5600" s="508" t="s">
        <v>5</v>
      </c>
      <c r="D5600" s="508">
        <v>29.54</v>
      </c>
      <c r="E5600" s="461" t="s">
        <v>174</v>
      </c>
    </row>
    <row r="5601" spans="1:5" ht="40.5" x14ac:dyDescent="0.25">
      <c r="A5601" s="508">
        <v>91187</v>
      </c>
      <c r="B5601" s="509" t="s">
        <v>7525</v>
      </c>
      <c r="C5601" s="508" t="s">
        <v>5</v>
      </c>
      <c r="D5601" s="508">
        <v>26.54</v>
      </c>
      <c r="E5601" s="461" t="s">
        <v>174</v>
      </c>
    </row>
    <row r="5602" spans="1:5" ht="27" x14ac:dyDescent="0.25">
      <c r="A5602" s="508">
        <v>91188</v>
      </c>
      <c r="B5602" s="509" t="s">
        <v>7526</v>
      </c>
      <c r="C5602" s="508" t="s">
        <v>107</v>
      </c>
      <c r="D5602" s="508">
        <v>14.08</v>
      </c>
      <c r="E5602" s="461" t="s">
        <v>174</v>
      </c>
    </row>
    <row r="5603" spans="1:5" ht="27" x14ac:dyDescent="0.25">
      <c r="A5603" s="508">
        <v>91189</v>
      </c>
      <c r="B5603" s="509" t="s">
        <v>7527</v>
      </c>
      <c r="C5603" s="508" t="s">
        <v>107</v>
      </c>
      <c r="D5603" s="508">
        <v>77.44</v>
      </c>
      <c r="E5603" s="461" t="s">
        <v>174</v>
      </c>
    </row>
    <row r="5604" spans="1:5" ht="27" x14ac:dyDescent="0.25">
      <c r="A5604" s="508">
        <v>91190</v>
      </c>
      <c r="B5604" s="509" t="s">
        <v>7528</v>
      </c>
      <c r="C5604" s="508" t="s">
        <v>107</v>
      </c>
      <c r="D5604" s="508">
        <v>11.48</v>
      </c>
      <c r="E5604" s="461" t="s">
        <v>174</v>
      </c>
    </row>
    <row r="5605" spans="1:5" ht="15" x14ac:dyDescent="0.25">
      <c r="A5605" s="508">
        <v>91191</v>
      </c>
      <c r="B5605" s="509" t="s">
        <v>7529</v>
      </c>
      <c r="C5605" s="508" t="s">
        <v>107</v>
      </c>
      <c r="D5605" s="508">
        <v>15.88</v>
      </c>
      <c r="E5605" s="461" t="s">
        <v>174</v>
      </c>
    </row>
    <row r="5606" spans="1:5" ht="27" x14ac:dyDescent="0.25">
      <c r="A5606" s="508">
        <v>91192</v>
      </c>
      <c r="B5606" s="509" t="s">
        <v>7530</v>
      </c>
      <c r="C5606" s="508" t="s">
        <v>107</v>
      </c>
      <c r="D5606" s="508">
        <v>23.75</v>
      </c>
      <c r="E5606" s="461" t="s">
        <v>174</v>
      </c>
    </row>
    <row r="5607" spans="1:5" ht="27" x14ac:dyDescent="0.25">
      <c r="A5607" s="508">
        <v>91222</v>
      </c>
      <c r="B5607" s="509" t="s">
        <v>7531</v>
      </c>
      <c r="C5607" s="508" t="s">
        <v>5</v>
      </c>
      <c r="D5607" s="508">
        <v>9.64</v>
      </c>
      <c r="E5607" s="461" t="s">
        <v>174</v>
      </c>
    </row>
    <row r="5608" spans="1:5" ht="40.5" x14ac:dyDescent="0.25">
      <c r="A5608" s="508">
        <v>94480</v>
      </c>
      <c r="B5608" s="509" t="s">
        <v>7532</v>
      </c>
      <c r="C5608" s="508" t="s">
        <v>107</v>
      </c>
      <c r="D5608" s="508">
        <v>2901.05</v>
      </c>
      <c r="E5608" s="461" t="s">
        <v>174</v>
      </c>
    </row>
    <row r="5609" spans="1:5" ht="40.5" x14ac:dyDescent="0.25">
      <c r="A5609" s="508">
        <v>94481</v>
      </c>
      <c r="B5609" s="509" t="s">
        <v>7533</v>
      </c>
      <c r="C5609" s="508" t="s">
        <v>107</v>
      </c>
      <c r="D5609" s="508">
        <v>2029.87</v>
      </c>
      <c r="E5609" s="461" t="s">
        <v>174</v>
      </c>
    </row>
    <row r="5610" spans="1:5" ht="40.5" x14ac:dyDescent="0.25">
      <c r="A5610" s="508">
        <v>94482</v>
      </c>
      <c r="B5610" s="509" t="s">
        <v>7534</v>
      </c>
      <c r="C5610" s="508" t="s">
        <v>107</v>
      </c>
      <c r="D5610" s="508">
        <v>1585.34</v>
      </c>
      <c r="E5610" s="461" t="s">
        <v>174</v>
      </c>
    </row>
    <row r="5611" spans="1:5" ht="40.5" x14ac:dyDescent="0.25">
      <c r="A5611" s="508">
        <v>94483</v>
      </c>
      <c r="B5611" s="509" t="s">
        <v>7535</v>
      </c>
      <c r="C5611" s="508" t="s">
        <v>107</v>
      </c>
      <c r="D5611" s="508">
        <v>1322.47</v>
      </c>
      <c r="E5611" s="461" t="s">
        <v>174</v>
      </c>
    </row>
    <row r="5612" spans="1:5" ht="27" x14ac:dyDescent="0.25">
      <c r="A5612" s="508">
        <v>95541</v>
      </c>
      <c r="B5612" s="509" t="s">
        <v>7536</v>
      </c>
      <c r="C5612" s="508" t="s">
        <v>107</v>
      </c>
      <c r="D5612" s="508">
        <v>26.38</v>
      </c>
      <c r="E5612" s="461" t="s">
        <v>174</v>
      </c>
    </row>
    <row r="5613" spans="1:5" ht="27" x14ac:dyDescent="0.25">
      <c r="A5613" s="508">
        <v>96559</v>
      </c>
      <c r="B5613" s="509" t="s">
        <v>7537</v>
      </c>
      <c r="C5613" s="508" t="s">
        <v>150</v>
      </c>
      <c r="D5613" s="508">
        <v>37.020000000000003</v>
      </c>
      <c r="E5613" s="461" t="s">
        <v>174</v>
      </c>
    </row>
    <row r="5614" spans="1:5" ht="27" x14ac:dyDescent="0.25">
      <c r="A5614" s="508">
        <v>96560</v>
      </c>
      <c r="B5614" s="509" t="s">
        <v>7538</v>
      </c>
      <c r="C5614" s="508" t="s">
        <v>150</v>
      </c>
      <c r="D5614" s="508">
        <v>35.19</v>
      </c>
      <c r="E5614" s="461" t="s">
        <v>174</v>
      </c>
    </row>
    <row r="5615" spans="1:5" ht="40.5" x14ac:dyDescent="0.25">
      <c r="A5615" s="508">
        <v>96562</v>
      </c>
      <c r="B5615" s="509" t="s">
        <v>7539</v>
      </c>
      <c r="C5615" s="508" t="s">
        <v>5</v>
      </c>
      <c r="D5615" s="508">
        <v>53.99</v>
      </c>
      <c r="E5615" s="461" t="s">
        <v>174</v>
      </c>
    </row>
    <row r="5616" spans="1:5" ht="40.5" x14ac:dyDescent="0.25">
      <c r="A5616" s="508">
        <v>96563</v>
      </c>
      <c r="B5616" s="509" t="s">
        <v>7540</v>
      </c>
      <c r="C5616" s="508" t="s">
        <v>5</v>
      </c>
      <c r="D5616" s="508">
        <v>59.96</v>
      </c>
      <c r="E5616" s="461" t="s">
        <v>174</v>
      </c>
    </row>
    <row r="5617" spans="1:5" ht="27" x14ac:dyDescent="0.25">
      <c r="A5617" s="508">
        <v>100128</v>
      </c>
      <c r="B5617" s="509" t="s">
        <v>7541</v>
      </c>
      <c r="C5617" s="508" t="s">
        <v>107</v>
      </c>
      <c r="D5617" s="508">
        <v>1328.69</v>
      </c>
      <c r="E5617" s="461" t="s">
        <v>174</v>
      </c>
    </row>
    <row r="5618" spans="1:5" ht="27" x14ac:dyDescent="0.25">
      <c r="A5618" s="508">
        <v>101802</v>
      </c>
      <c r="B5618" s="509" t="s">
        <v>3021</v>
      </c>
      <c r="C5618" s="508" t="s">
        <v>107</v>
      </c>
      <c r="D5618" s="508">
        <v>1852.95</v>
      </c>
      <c r="E5618" s="461" t="s">
        <v>174</v>
      </c>
    </row>
    <row r="5619" spans="1:5" ht="27" x14ac:dyDescent="0.25">
      <c r="A5619" s="508">
        <v>101803</v>
      </c>
      <c r="B5619" s="509" t="s">
        <v>3022</v>
      </c>
      <c r="C5619" s="508" t="s">
        <v>107</v>
      </c>
      <c r="D5619" s="508">
        <v>1180.5899999999999</v>
      </c>
      <c r="E5619" s="461" t="s">
        <v>174</v>
      </c>
    </row>
    <row r="5620" spans="1:5" ht="27" x14ac:dyDescent="0.25">
      <c r="A5620" s="508">
        <v>101804</v>
      </c>
      <c r="B5620" s="509" t="s">
        <v>3023</v>
      </c>
      <c r="C5620" s="508" t="s">
        <v>107</v>
      </c>
      <c r="D5620" s="508">
        <v>1485</v>
      </c>
      <c r="E5620" s="461" t="s">
        <v>174</v>
      </c>
    </row>
    <row r="5621" spans="1:5" ht="27" x14ac:dyDescent="0.25">
      <c r="A5621" s="508">
        <v>101805</v>
      </c>
      <c r="B5621" s="509" t="s">
        <v>3024</v>
      </c>
      <c r="C5621" s="508" t="s">
        <v>107</v>
      </c>
      <c r="D5621" s="508">
        <v>1890.56</v>
      </c>
      <c r="E5621" s="461" t="s">
        <v>174</v>
      </c>
    </row>
    <row r="5622" spans="1:5" ht="27" x14ac:dyDescent="0.25">
      <c r="A5622" s="508">
        <v>102111</v>
      </c>
      <c r="B5622" s="509" t="s">
        <v>3025</v>
      </c>
      <c r="C5622" s="508" t="s">
        <v>107</v>
      </c>
      <c r="D5622" s="508">
        <v>1285.21</v>
      </c>
      <c r="E5622" s="461" t="s">
        <v>174</v>
      </c>
    </row>
    <row r="5623" spans="1:5" ht="27" x14ac:dyDescent="0.25">
      <c r="A5623" s="508">
        <v>102112</v>
      </c>
      <c r="B5623" s="509" t="s">
        <v>3026</v>
      </c>
      <c r="C5623" s="508" t="s">
        <v>107</v>
      </c>
      <c r="D5623" s="508">
        <v>153.81</v>
      </c>
      <c r="E5623" s="461" t="s">
        <v>174</v>
      </c>
    </row>
    <row r="5624" spans="1:5" ht="27" x14ac:dyDescent="0.25">
      <c r="A5624" s="508">
        <v>102113</v>
      </c>
      <c r="B5624" s="509" t="s">
        <v>3027</v>
      </c>
      <c r="C5624" s="508" t="s">
        <v>107</v>
      </c>
      <c r="D5624" s="508">
        <v>2064.86</v>
      </c>
      <c r="E5624" s="461" t="s">
        <v>174</v>
      </c>
    </row>
    <row r="5625" spans="1:5" ht="27" x14ac:dyDescent="0.25">
      <c r="A5625" s="508">
        <v>102114</v>
      </c>
      <c r="B5625" s="509" t="s">
        <v>3028</v>
      </c>
      <c r="C5625" s="508" t="s">
        <v>107</v>
      </c>
      <c r="D5625" s="508">
        <v>157.69999999999999</v>
      </c>
      <c r="E5625" s="461" t="s">
        <v>174</v>
      </c>
    </row>
    <row r="5626" spans="1:5" ht="27" x14ac:dyDescent="0.25">
      <c r="A5626" s="508">
        <v>102115</v>
      </c>
      <c r="B5626" s="509" t="s">
        <v>3029</v>
      </c>
      <c r="C5626" s="508" t="s">
        <v>107</v>
      </c>
      <c r="D5626" s="508">
        <v>3613.81</v>
      </c>
      <c r="E5626" s="461" t="s">
        <v>174</v>
      </c>
    </row>
    <row r="5627" spans="1:5" ht="27" x14ac:dyDescent="0.25">
      <c r="A5627" s="508">
        <v>102116</v>
      </c>
      <c r="B5627" s="509" t="s">
        <v>3030</v>
      </c>
      <c r="C5627" s="508" t="s">
        <v>107</v>
      </c>
      <c r="D5627" s="508">
        <v>2206.9</v>
      </c>
      <c r="E5627" s="461" t="s">
        <v>174</v>
      </c>
    </row>
    <row r="5628" spans="1:5" ht="27" x14ac:dyDescent="0.25">
      <c r="A5628" s="508">
        <v>102117</v>
      </c>
      <c r="B5628" s="509" t="s">
        <v>3031</v>
      </c>
      <c r="C5628" s="508" t="s">
        <v>107</v>
      </c>
      <c r="D5628" s="508">
        <v>162.41999999999999</v>
      </c>
      <c r="E5628" s="461" t="s">
        <v>174</v>
      </c>
    </row>
    <row r="5629" spans="1:5" ht="27" x14ac:dyDescent="0.25">
      <c r="A5629" s="508">
        <v>102118</v>
      </c>
      <c r="B5629" s="509" t="s">
        <v>3032</v>
      </c>
      <c r="C5629" s="508" t="s">
        <v>107</v>
      </c>
      <c r="D5629" s="508">
        <v>3019.17</v>
      </c>
      <c r="E5629" s="461" t="s">
        <v>174</v>
      </c>
    </row>
    <row r="5630" spans="1:5" ht="27" x14ac:dyDescent="0.25">
      <c r="A5630" s="508">
        <v>102119</v>
      </c>
      <c r="B5630" s="509" t="s">
        <v>3033</v>
      </c>
      <c r="C5630" s="508" t="s">
        <v>107</v>
      </c>
      <c r="D5630" s="508">
        <v>166.49</v>
      </c>
      <c r="E5630" s="461" t="s">
        <v>174</v>
      </c>
    </row>
    <row r="5631" spans="1:5" ht="27" x14ac:dyDescent="0.25">
      <c r="A5631" s="508">
        <v>102121</v>
      </c>
      <c r="B5631" s="509" t="s">
        <v>3034</v>
      </c>
      <c r="C5631" s="508" t="s">
        <v>107</v>
      </c>
      <c r="D5631" s="508">
        <v>208.97</v>
      </c>
      <c r="E5631" s="461" t="s">
        <v>174</v>
      </c>
    </row>
    <row r="5632" spans="1:5" ht="27" x14ac:dyDescent="0.25">
      <c r="A5632" s="508">
        <v>102122</v>
      </c>
      <c r="B5632" s="509" t="s">
        <v>3035</v>
      </c>
      <c r="C5632" s="508" t="s">
        <v>107</v>
      </c>
      <c r="D5632" s="508">
        <v>10282.07</v>
      </c>
      <c r="E5632" s="461" t="s">
        <v>174</v>
      </c>
    </row>
    <row r="5633" spans="1:5" ht="27" x14ac:dyDescent="0.25">
      <c r="A5633" s="508">
        <v>102123</v>
      </c>
      <c r="B5633" s="509" t="s">
        <v>3036</v>
      </c>
      <c r="C5633" s="508" t="s">
        <v>107</v>
      </c>
      <c r="D5633" s="508">
        <v>221.07</v>
      </c>
      <c r="E5633" s="461" t="s">
        <v>174</v>
      </c>
    </row>
    <row r="5634" spans="1:5" ht="27" x14ac:dyDescent="0.25">
      <c r="A5634" s="508">
        <v>102136</v>
      </c>
      <c r="B5634" s="509" t="s">
        <v>3037</v>
      </c>
      <c r="C5634" s="508" t="s">
        <v>107</v>
      </c>
      <c r="D5634" s="508">
        <v>80.36</v>
      </c>
      <c r="E5634" s="461" t="s">
        <v>174</v>
      </c>
    </row>
    <row r="5635" spans="1:5" ht="27" x14ac:dyDescent="0.25">
      <c r="A5635" s="508">
        <v>102137</v>
      </c>
      <c r="B5635" s="509" t="s">
        <v>3038</v>
      </c>
      <c r="C5635" s="508" t="s">
        <v>107</v>
      </c>
      <c r="D5635" s="508">
        <v>85.53</v>
      </c>
      <c r="E5635" s="461" t="s">
        <v>174</v>
      </c>
    </row>
    <row r="5636" spans="1:5" ht="27" x14ac:dyDescent="0.25">
      <c r="A5636" s="508">
        <v>102138</v>
      </c>
      <c r="B5636" s="509" t="s">
        <v>3039</v>
      </c>
      <c r="C5636" s="508" t="s">
        <v>107</v>
      </c>
      <c r="D5636" s="508">
        <v>240.77</v>
      </c>
      <c r="E5636" s="461" t="s">
        <v>174</v>
      </c>
    </row>
    <row r="5637" spans="1:5" ht="40.5" x14ac:dyDescent="0.25">
      <c r="A5637" s="508">
        <v>103517</v>
      </c>
      <c r="B5637" s="509" t="s">
        <v>4405</v>
      </c>
      <c r="C5637" s="508" t="s">
        <v>107</v>
      </c>
      <c r="D5637" s="508">
        <v>3601.81</v>
      </c>
      <c r="E5637" s="461" t="s">
        <v>174</v>
      </c>
    </row>
    <row r="5638" spans="1:5" ht="27" x14ac:dyDescent="0.25">
      <c r="A5638" s="508">
        <v>103519</v>
      </c>
      <c r="B5638" s="509" t="s">
        <v>4406</v>
      </c>
      <c r="C5638" s="508" t="s">
        <v>107</v>
      </c>
      <c r="D5638" s="508">
        <v>11.63</v>
      </c>
      <c r="E5638" s="461" t="s">
        <v>174</v>
      </c>
    </row>
    <row r="5639" spans="1:5" ht="40.5" x14ac:dyDescent="0.25">
      <c r="A5639" s="508">
        <v>103520</v>
      </c>
      <c r="B5639" s="509" t="s">
        <v>4407</v>
      </c>
      <c r="C5639" s="508" t="s">
        <v>107</v>
      </c>
      <c r="D5639" s="508">
        <v>5932.56</v>
      </c>
      <c r="E5639" s="461" t="s">
        <v>174</v>
      </c>
    </row>
    <row r="5640" spans="1:5" ht="40.5" x14ac:dyDescent="0.25">
      <c r="A5640" s="508">
        <v>103521</v>
      </c>
      <c r="B5640" s="509" t="s">
        <v>4408</v>
      </c>
      <c r="C5640" s="508" t="s">
        <v>107</v>
      </c>
      <c r="D5640" s="508">
        <v>7877.36</v>
      </c>
      <c r="E5640" s="461" t="s">
        <v>174</v>
      </c>
    </row>
    <row r="5641" spans="1:5" ht="40.5" x14ac:dyDescent="0.25">
      <c r="A5641" s="508">
        <v>103522</v>
      </c>
      <c r="B5641" s="509" t="s">
        <v>4409</v>
      </c>
      <c r="C5641" s="508" t="s">
        <v>107</v>
      </c>
      <c r="D5641" s="508">
        <v>7936.16</v>
      </c>
      <c r="E5641" s="461" t="s">
        <v>174</v>
      </c>
    </row>
    <row r="5642" spans="1:5" ht="40.5" x14ac:dyDescent="0.25">
      <c r="A5642" s="508">
        <v>103523</v>
      </c>
      <c r="B5642" s="509" t="s">
        <v>4410</v>
      </c>
      <c r="C5642" s="508" t="s">
        <v>107</v>
      </c>
      <c r="D5642" s="508">
        <v>11944.23</v>
      </c>
      <c r="E5642" s="461" t="s">
        <v>174</v>
      </c>
    </row>
    <row r="5643" spans="1:5" ht="40.5" x14ac:dyDescent="0.25">
      <c r="A5643" s="508">
        <v>104660</v>
      </c>
      <c r="B5643" s="509" t="s">
        <v>7542</v>
      </c>
      <c r="C5643" s="508" t="s">
        <v>107</v>
      </c>
      <c r="D5643" s="508">
        <v>1426.16</v>
      </c>
      <c r="E5643" s="461" t="s">
        <v>174</v>
      </c>
    </row>
    <row r="5644" spans="1:5" ht="40.5" x14ac:dyDescent="0.25">
      <c r="A5644" s="508">
        <v>104661</v>
      </c>
      <c r="B5644" s="509" t="s">
        <v>7543</v>
      </c>
      <c r="C5644" s="508" t="s">
        <v>107</v>
      </c>
      <c r="D5644" s="508">
        <v>636.72</v>
      </c>
      <c r="E5644" s="461" t="s">
        <v>174</v>
      </c>
    </row>
    <row r="5645" spans="1:5" ht="40.5" x14ac:dyDescent="0.25">
      <c r="A5645" s="508">
        <v>104662</v>
      </c>
      <c r="B5645" s="509" t="s">
        <v>7544</v>
      </c>
      <c r="C5645" s="508" t="s">
        <v>107</v>
      </c>
      <c r="D5645" s="508">
        <v>442.1</v>
      </c>
      <c r="E5645" s="461" t="s">
        <v>174</v>
      </c>
    </row>
    <row r="5646" spans="1:5" ht="40.5" x14ac:dyDescent="0.25">
      <c r="A5646" s="508">
        <v>104663</v>
      </c>
      <c r="B5646" s="509" t="s">
        <v>13048</v>
      </c>
      <c r="C5646" s="508" t="s">
        <v>107</v>
      </c>
      <c r="D5646" s="508">
        <v>571.32000000000005</v>
      </c>
      <c r="E5646" s="461" t="s">
        <v>174</v>
      </c>
    </row>
    <row r="5647" spans="1:5" ht="40.5" x14ac:dyDescent="0.25">
      <c r="A5647" s="508">
        <v>104664</v>
      </c>
      <c r="B5647" s="509" t="s">
        <v>13049</v>
      </c>
      <c r="C5647" s="508" t="s">
        <v>107</v>
      </c>
      <c r="D5647" s="508">
        <v>174.94</v>
      </c>
      <c r="E5647" s="461" t="s">
        <v>174</v>
      </c>
    </row>
    <row r="5648" spans="1:5" ht="40.5" x14ac:dyDescent="0.25">
      <c r="A5648" s="508">
        <v>104665</v>
      </c>
      <c r="B5648" s="509" t="s">
        <v>13050</v>
      </c>
      <c r="C5648" s="508" t="s">
        <v>107</v>
      </c>
      <c r="D5648" s="508">
        <v>724.68</v>
      </c>
      <c r="E5648" s="461" t="s">
        <v>174</v>
      </c>
    </row>
    <row r="5649" spans="1:5" ht="40.5" x14ac:dyDescent="0.25">
      <c r="A5649" s="508">
        <v>104666</v>
      </c>
      <c r="B5649" s="509" t="s">
        <v>13051</v>
      </c>
      <c r="C5649" s="508" t="s">
        <v>107</v>
      </c>
      <c r="D5649" s="508">
        <v>336.95</v>
      </c>
      <c r="E5649" s="461" t="s">
        <v>174</v>
      </c>
    </row>
    <row r="5650" spans="1:5" ht="40.5" x14ac:dyDescent="0.25">
      <c r="A5650" s="508">
        <v>104671</v>
      </c>
      <c r="B5650" s="509" t="s">
        <v>7545</v>
      </c>
      <c r="C5650" s="508" t="s">
        <v>107</v>
      </c>
      <c r="D5650" s="508">
        <v>1254.58</v>
      </c>
      <c r="E5650" s="461" t="s">
        <v>174</v>
      </c>
    </row>
    <row r="5651" spans="1:5" ht="40.5" x14ac:dyDescent="0.25">
      <c r="A5651" s="508">
        <v>104672</v>
      </c>
      <c r="B5651" s="509" t="s">
        <v>7546</v>
      </c>
      <c r="C5651" s="508" t="s">
        <v>107</v>
      </c>
      <c r="D5651" s="508">
        <v>457.97</v>
      </c>
      <c r="E5651" s="461" t="s">
        <v>174</v>
      </c>
    </row>
    <row r="5652" spans="1:5" ht="40.5" x14ac:dyDescent="0.25">
      <c r="A5652" s="508">
        <v>104673</v>
      </c>
      <c r="B5652" s="509" t="s">
        <v>13052</v>
      </c>
      <c r="C5652" s="508" t="s">
        <v>107</v>
      </c>
      <c r="D5652" s="508">
        <v>770.39</v>
      </c>
      <c r="E5652" s="461" t="s">
        <v>174</v>
      </c>
    </row>
    <row r="5653" spans="1:5" ht="40.5" x14ac:dyDescent="0.25">
      <c r="A5653" s="508">
        <v>104676</v>
      </c>
      <c r="B5653" s="509" t="s">
        <v>13053</v>
      </c>
      <c r="C5653" s="508" t="s">
        <v>107</v>
      </c>
      <c r="D5653" s="508">
        <v>431.41</v>
      </c>
      <c r="E5653" s="461" t="s">
        <v>174</v>
      </c>
    </row>
    <row r="5654" spans="1:5" ht="40.5" x14ac:dyDescent="0.25">
      <c r="A5654" s="508">
        <v>104677</v>
      </c>
      <c r="B5654" s="509" t="s">
        <v>13054</v>
      </c>
      <c r="C5654" s="508" t="s">
        <v>107</v>
      </c>
      <c r="D5654" s="508">
        <v>688.2</v>
      </c>
      <c r="E5654" s="461" t="s">
        <v>174</v>
      </c>
    </row>
    <row r="5655" spans="1:5" ht="27" x14ac:dyDescent="0.25">
      <c r="A5655" s="508">
        <v>104678</v>
      </c>
      <c r="B5655" s="509" t="s">
        <v>13055</v>
      </c>
      <c r="C5655" s="508" t="s">
        <v>107</v>
      </c>
      <c r="D5655" s="508">
        <v>157.52000000000001</v>
      </c>
      <c r="E5655" s="461" t="s">
        <v>174</v>
      </c>
    </row>
    <row r="5656" spans="1:5" ht="40.5" x14ac:dyDescent="0.25">
      <c r="A5656" s="508">
        <v>104679</v>
      </c>
      <c r="B5656" s="509" t="s">
        <v>13056</v>
      </c>
      <c r="C5656" s="508" t="s">
        <v>107</v>
      </c>
      <c r="D5656" s="508">
        <v>169.14</v>
      </c>
      <c r="E5656" s="461" t="s">
        <v>174</v>
      </c>
    </row>
    <row r="5657" spans="1:5" ht="27" x14ac:dyDescent="0.25">
      <c r="A5657" s="508">
        <v>104767</v>
      </c>
      <c r="B5657" s="509" t="s">
        <v>7547</v>
      </c>
      <c r="C5657" s="508" t="s">
        <v>107</v>
      </c>
      <c r="D5657" s="508">
        <v>0.68</v>
      </c>
      <c r="E5657" s="461" t="s">
        <v>174</v>
      </c>
    </row>
    <row r="5658" spans="1:5" ht="27" x14ac:dyDescent="0.25">
      <c r="A5658" s="508">
        <v>104769</v>
      </c>
      <c r="B5658" s="509" t="s">
        <v>7548</v>
      </c>
      <c r="C5658" s="508" t="s">
        <v>107</v>
      </c>
      <c r="D5658" s="508">
        <v>1.82</v>
      </c>
      <c r="E5658" s="461" t="s">
        <v>174</v>
      </c>
    </row>
    <row r="5659" spans="1:5" ht="27" x14ac:dyDescent="0.25">
      <c r="A5659" s="508">
        <v>104771</v>
      </c>
      <c r="B5659" s="509" t="s">
        <v>7549</v>
      </c>
      <c r="C5659" s="508" t="s">
        <v>107</v>
      </c>
      <c r="D5659" s="508">
        <v>2.66</v>
      </c>
      <c r="E5659" s="461" t="s">
        <v>174</v>
      </c>
    </row>
    <row r="5660" spans="1:5" ht="27" x14ac:dyDescent="0.25">
      <c r="A5660" s="508">
        <v>104773</v>
      </c>
      <c r="B5660" s="509" t="s">
        <v>7550</v>
      </c>
      <c r="C5660" s="508" t="s">
        <v>107</v>
      </c>
      <c r="D5660" s="508">
        <v>2.34</v>
      </c>
      <c r="E5660" s="461" t="s">
        <v>174</v>
      </c>
    </row>
    <row r="5661" spans="1:5" ht="27" x14ac:dyDescent="0.25">
      <c r="A5661" s="508">
        <v>104775</v>
      </c>
      <c r="B5661" s="509" t="s">
        <v>7551</v>
      </c>
      <c r="C5661" s="508" t="s">
        <v>107</v>
      </c>
      <c r="D5661" s="508">
        <v>6.27</v>
      </c>
      <c r="E5661" s="461" t="s">
        <v>174</v>
      </c>
    </row>
    <row r="5662" spans="1:5" ht="27" x14ac:dyDescent="0.25">
      <c r="A5662" s="508">
        <v>104777</v>
      </c>
      <c r="B5662" s="509" t="s">
        <v>7552</v>
      </c>
      <c r="C5662" s="508" t="s">
        <v>107</v>
      </c>
      <c r="D5662" s="508">
        <v>9.17</v>
      </c>
      <c r="E5662" s="461" t="s">
        <v>174</v>
      </c>
    </row>
    <row r="5663" spans="1:5" ht="27" x14ac:dyDescent="0.25">
      <c r="A5663" s="508">
        <v>104779</v>
      </c>
      <c r="B5663" s="509" t="s">
        <v>7553</v>
      </c>
      <c r="C5663" s="508" t="s">
        <v>5</v>
      </c>
      <c r="D5663" s="508">
        <v>5.54</v>
      </c>
      <c r="E5663" s="461" t="s">
        <v>174</v>
      </c>
    </row>
    <row r="5664" spans="1:5" ht="27" x14ac:dyDescent="0.25">
      <c r="A5664" s="508">
        <v>104781</v>
      </c>
      <c r="B5664" s="509" t="s">
        <v>7554</v>
      </c>
      <c r="C5664" s="508" t="s">
        <v>5</v>
      </c>
      <c r="D5664" s="508">
        <v>6.39</v>
      </c>
      <c r="E5664" s="461" t="s">
        <v>174</v>
      </c>
    </row>
    <row r="5665" spans="1:5" ht="27" x14ac:dyDescent="0.25">
      <c r="A5665" s="508">
        <v>104782</v>
      </c>
      <c r="B5665" s="509" t="s">
        <v>7555</v>
      </c>
      <c r="C5665" s="508" t="s">
        <v>107</v>
      </c>
      <c r="D5665" s="508">
        <v>56.7</v>
      </c>
      <c r="E5665" s="461" t="s">
        <v>174</v>
      </c>
    </row>
    <row r="5666" spans="1:5" ht="27" x14ac:dyDescent="0.25">
      <c r="A5666" s="508">
        <v>104783</v>
      </c>
      <c r="B5666" s="509" t="s">
        <v>7556</v>
      </c>
      <c r="C5666" s="508" t="s">
        <v>107</v>
      </c>
      <c r="D5666" s="508">
        <v>4.95</v>
      </c>
      <c r="E5666" s="461" t="s">
        <v>174</v>
      </c>
    </row>
    <row r="5667" spans="1:5" ht="27" x14ac:dyDescent="0.25">
      <c r="A5667" s="508">
        <v>104784</v>
      </c>
      <c r="B5667" s="509" t="s">
        <v>7557</v>
      </c>
      <c r="C5667" s="508" t="s">
        <v>107</v>
      </c>
      <c r="D5667" s="508">
        <v>13.39</v>
      </c>
      <c r="E5667" s="461" t="s">
        <v>174</v>
      </c>
    </row>
    <row r="5668" spans="1:5" ht="27" x14ac:dyDescent="0.25">
      <c r="A5668" s="508">
        <v>104786</v>
      </c>
      <c r="B5668" s="509" t="s">
        <v>7558</v>
      </c>
      <c r="C5668" s="508" t="s">
        <v>5</v>
      </c>
      <c r="D5668" s="508">
        <v>6.6</v>
      </c>
      <c r="E5668" s="461" t="s">
        <v>174</v>
      </c>
    </row>
    <row r="5669" spans="1:5" ht="27" x14ac:dyDescent="0.25">
      <c r="A5669" s="508">
        <v>104787</v>
      </c>
      <c r="B5669" s="509" t="s">
        <v>7559</v>
      </c>
      <c r="C5669" s="508" t="s">
        <v>5</v>
      </c>
      <c r="D5669" s="508">
        <v>8.76</v>
      </c>
      <c r="E5669" s="461" t="s">
        <v>174</v>
      </c>
    </row>
    <row r="5670" spans="1:5" ht="27" x14ac:dyDescent="0.25">
      <c r="A5670" s="508">
        <v>104788</v>
      </c>
      <c r="B5670" s="509" t="s">
        <v>7560</v>
      </c>
      <c r="C5670" s="508" t="s">
        <v>5</v>
      </c>
      <c r="D5670" s="508">
        <v>11.64</v>
      </c>
      <c r="E5670" s="461" t="s">
        <v>174</v>
      </c>
    </row>
    <row r="5671" spans="1:5" ht="27" x14ac:dyDescent="0.25">
      <c r="A5671" s="508">
        <v>104031</v>
      </c>
      <c r="B5671" s="509" t="s">
        <v>7561</v>
      </c>
      <c r="C5671" s="508" t="s">
        <v>107</v>
      </c>
      <c r="D5671" s="508">
        <v>18.07</v>
      </c>
      <c r="E5671" s="461" t="s">
        <v>174</v>
      </c>
    </row>
    <row r="5672" spans="1:5" ht="27" x14ac:dyDescent="0.25">
      <c r="A5672" s="508">
        <v>104032</v>
      </c>
      <c r="B5672" s="509" t="s">
        <v>7562</v>
      </c>
      <c r="C5672" s="508" t="s">
        <v>107</v>
      </c>
      <c r="D5672" s="508">
        <v>22.18</v>
      </c>
      <c r="E5672" s="461" t="s">
        <v>174</v>
      </c>
    </row>
    <row r="5673" spans="1:5" ht="27" x14ac:dyDescent="0.25">
      <c r="A5673" s="508">
        <v>104033</v>
      </c>
      <c r="B5673" s="509" t="s">
        <v>7563</v>
      </c>
      <c r="C5673" s="508" t="s">
        <v>107</v>
      </c>
      <c r="D5673" s="508">
        <v>20.47</v>
      </c>
      <c r="E5673" s="461" t="s">
        <v>174</v>
      </c>
    </row>
    <row r="5674" spans="1:5" ht="27" x14ac:dyDescent="0.25">
      <c r="A5674" s="508">
        <v>104034</v>
      </c>
      <c r="B5674" s="509" t="s">
        <v>7564</v>
      </c>
      <c r="C5674" s="508" t="s">
        <v>107</v>
      </c>
      <c r="D5674" s="508">
        <v>26.02</v>
      </c>
      <c r="E5674" s="461" t="s">
        <v>174</v>
      </c>
    </row>
    <row r="5675" spans="1:5" ht="27" x14ac:dyDescent="0.25">
      <c r="A5675" s="508">
        <v>104035</v>
      </c>
      <c r="B5675" s="509" t="s">
        <v>7565</v>
      </c>
      <c r="C5675" s="508" t="s">
        <v>107</v>
      </c>
      <c r="D5675" s="508">
        <v>38.630000000000003</v>
      </c>
      <c r="E5675" s="461" t="s">
        <v>174</v>
      </c>
    </row>
    <row r="5676" spans="1:5" ht="27" x14ac:dyDescent="0.25">
      <c r="A5676" s="508">
        <v>104036</v>
      </c>
      <c r="B5676" s="509" t="s">
        <v>7566</v>
      </c>
      <c r="C5676" s="508" t="s">
        <v>107</v>
      </c>
      <c r="D5676" s="508">
        <v>39.869999999999997</v>
      </c>
      <c r="E5676" s="461" t="s">
        <v>174</v>
      </c>
    </row>
    <row r="5677" spans="1:5" ht="27" x14ac:dyDescent="0.25">
      <c r="A5677" s="508">
        <v>104039</v>
      </c>
      <c r="B5677" s="509" t="s">
        <v>7567</v>
      </c>
      <c r="C5677" s="508" t="s">
        <v>107</v>
      </c>
      <c r="D5677" s="508">
        <v>73.03</v>
      </c>
      <c r="E5677" s="461" t="s">
        <v>174</v>
      </c>
    </row>
    <row r="5678" spans="1:5" ht="27" x14ac:dyDescent="0.25">
      <c r="A5678" s="508">
        <v>104043</v>
      </c>
      <c r="B5678" s="509" t="s">
        <v>7568</v>
      </c>
      <c r="C5678" s="508" t="s">
        <v>107</v>
      </c>
      <c r="D5678" s="508">
        <v>8.5399999999999991</v>
      </c>
      <c r="E5678" s="461" t="s">
        <v>174</v>
      </c>
    </row>
    <row r="5679" spans="1:5" ht="27" x14ac:dyDescent="0.25">
      <c r="A5679" s="508">
        <v>104044</v>
      </c>
      <c r="B5679" s="509" t="s">
        <v>7569</v>
      </c>
      <c r="C5679" s="508" t="s">
        <v>107</v>
      </c>
      <c r="D5679" s="508">
        <v>9.1199999999999992</v>
      </c>
      <c r="E5679" s="461" t="s">
        <v>174</v>
      </c>
    </row>
    <row r="5680" spans="1:5" ht="27" x14ac:dyDescent="0.25">
      <c r="A5680" s="508">
        <v>104045</v>
      </c>
      <c r="B5680" s="509" t="s">
        <v>7570</v>
      </c>
      <c r="C5680" s="508" t="s">
        <v>107</v>
      </c>
      <c r="D5680" s="508">
        <v>14.15</v>
      </c>
      <c r="E5680" s="461" t="s">
        <v>174</v>
      </c>
    </row>
    <row r="5681" spans="1:5" ht="27" x14ac:dyDescent="0.25">
      <c r="A5681" s="508">
        <v>104046</v>
      </c>
      <c r="B5681" s="509" t="s">
        <v>7571</v>
      </c>
      <c r="C5681" s="508" t="s">
        <v>107</v>
      </c>
      <c r="D5681" s="508">
        <v>8.17</v>
      </c>
      <c r="E5681" s="461" t="s">
        <v>174</v>
      </c>
    </row>
    <row r="5682" spans="1:5" ht="27" x14ac:dyDescent="0.25">
      <c r="A5682" s="508">
        <v>104047</v>
      </c>
      <c r="B5682" s="509" t="s">
        <v>7572</v>
      </c>
      <c r="C5682" s="508" t="s">
        <v>107</v>
      </c>
      <c r="D5682" s="508">
        <v>9.49</v>
      </c>
      <c r="E5682" s="461" t="s">
        <v>174</v>
      </c>
    </row>
    <row r="5683" spans="1:5" ht="27" x14ac:dyDescent="0.25">
      <c r="A5683" s="508">
        <v>104048</v>
      </c>
      <c r="B5683" s="509" t="s">
        <v>7573</v>
      </c>
      <c r="C5683" s="508" t="s">
        <v>107</v>
      </c>
      <c r="D5683" s="508">
        <v>13.82</v>
      </c>
      <c r="E5683" s="461" t="s">
        <v>174</v>
      </c>
    </row>
    <row r="5684" spans="1:5" ht="27" x14ac:dyDescent="0.25">
      <c r="A5684" s="508">
        <v>104049</v>
      </c>
      <c r="B5684" s="509" t="s">
        <v>7574</v>
      </c>
      <c r="C5684" s="508" t="s">
        <v>107</v>
      </c>
      <c r="D5684" s="508">
        <v>6.01</v>
      </c>
      <c r="E5684" s="461" t="s">
        <v>174</v>
      </c>
    </row>
    <row r="5685" spans="1:5" ht="27" x14ac:dyDescent="0.25">
      <c r="A5685" s="508">
        <v>104050</v>
      </c>
      <c r="B5685" s="509" t="s">
        <v>7575</v>
      </c>
      <c r="C5685" s="508" t="s">
        <v>107</v>
      </c>
      <c r="D5685" s="508">
        <v>8.9499999999999993</v>
      </c>
      <c r="E5685" s="461" t="s">
        <v>174</v>
      </c>
    </row>
    <row r="5686" spans="1:5" ht="27" x14ac:dyDescent="0.25">
      <c r="A5686" s="508">
        <v>104051</v>
      </c>
      <c r="B5686" s="509" t="s">
        <v>7576</v>
      </c>
      <c r="C5686" s="508" t="s">
        <v>107</v>
      </c>
      <c r="D5686" s="508">
        <v>7.63</v>
      </c>
      <c r="E5686" s="461" t="s">
        <v>174</v>
      </c>
    </row>
    <row r="5687" spans="1:5" ht="27" x14ac:dyDescent="0.25">
      <c r="A5687" s="508">
        <v>104052</v>
      </c>
      <c r="B5687" s="509" t="s">
        <v>7577</v>
      </c>
      <c r="C5687" s="508" t="s">
        <v>107</v>
      </c>
      <c r="D5687" s="508">
        <v>10.68</v>
      </c>
      <c r="E5687" s="461" t="s">
        <v>174</v>
      </c>
    </row>
    <row r="5688" spans="1:5" ht="27" x14ac:dyDescent="0.25">
      <c r="A5688" s="508">
        <v>104053</v>
      </c>
      <c r="B5688" s="509" t="s">
        <v>7578</v>
      </c>
      <c r="C5688" s="508" t="s">
        <v>107</v>
      </c>
      <c r="D5688" s="508">
        <v>8.84</v>
      </c>
      <c r="E5688" s="461" t="s">
        <v>174</v>
      </c>
    </row>
    <row r="5689" spans="1:5" ht="27" x14ac:dyDescent="0.25">
      <c r="A5689" s="508">
        <v>104054</v>
      </c>
      <c r="B5689" s="509" t="s">
        <v>7579</v>
      </c>
      <c r="C5689" s="508" t="s">
        <v>107</v>
      </c>
      <c r="D5689" s="508">
        <v>17.329999999999998</v>
      </c>
      <c r="E5689" s="461" t="s">
        <v>174</v>
      </c>
    </row>
    <row r="5690" spans="1:5" ht="27" x14ac:dyDescent="0.25">
      <c r="A5690" s="508">
        <v>104055</v>
      </c>
      <c r="B5690" s="509" t="s">
        <v>7580</v>
      </c>
      <c r="C5690" s="508" t="s">
        <v>107</v>
      </c>
      <c r="D5690" s="508">
        <v>24.56</v>
      </c>
      <c r="E5690" s="461" t="s">
        <v>174</v>
      </c>
    </row>
    <row r="5691" spans="1:5" ht="15" x14ac:dyDescent="0.25">
      <c r="A5691" s="508">
        <v>104056</v>
      </c>
      <c r="B5691" s="509" t="s">
        <v>7581</v>
      </c>
      <c r="C5691" s="508" t="s">
        <v>107</v>
      </c>
      <c r="D5691" s="508">
        <v>37.79</v>
      </c>
      <c r="E5691" s="461" t="s">
        <v>174</v>
      </c>
    </row>
    <row r="5692" spans="1:5" ht="15" x14ac:dyDescent="0.25">
      <c r="A5692" s="508">
        <v>104058</v>
      </c>
      <c r="B5692" s="509" t="s">
        <v>7582</v>
      </c>
      <c r="C5692" s="508" t="s">
        <v>107</v>
      </c>
      <c r="D5692" s="508">
        <v>6.93</v>
      </c>
      <c r="E5692" s="461" t="s">
        <v>174</v>
      </c>
    </row>
    <row r="5693" spans="1:5" ht="15" x14ac:dyDescent="0.25">
      <c r="A5693" s="508">
        <v>104059</v>
      </c>
      <c r="B5693" s="509" t="s">
        <v>7583</v>
      </c>
      <c r="C5693" s="508" t="s">
        <v>107</v>
      </c>
      <c r="D5693" s="508">
        <v>10.87</v>
      </c>
      <c r="E5693" s="461" t="s">
        <v>174</v>
      </c>
    </row>
    <row r="5694" spans="1:5" ht="15" x14ac:dyDescent="0.25">
      <c r="A5694" s="508">
        <v>104060</v>
      </c>
      <c r="B5694" s="509" t="s">
        <v>7584</v>
      </c>
      <c r="C5694" s="508" t="s">
        <v>5</v>
      </c>
      <c r="D5694" s="508">
        <v>8.9</v>
      </c>
      <c r="E5694" s="461" t="s">
        <v>174</v>
      </c>
    </row>
    <row r="5695" spans="1:5" ht="15" x14ac:dyDescent="0.25">
      <c r="A5695" s="508">
        <v>104061</v>
      </c>
      <c r="B5695" s="509" t="s">
        <v>7585</v>
      </c>
      <c r="C5695" s="508" t="s">
        <v>5</v>
      </c>
      <c r="D5695" s="508">
        <v>15.89</v>
      </c>
      <c r="E5695" s="461" t="s">
        <v>174</v>
      </c>
    </row>
    <row r="5696" spans="1:5" ht="27" x14ac:dyDescent="0.25">
      <c r="A5696" s="508">
        <v>104062</v>
      </c>
      <c r="B5696" s="509" t="s">
        <v>7586</v>
      </c>
      <c r="C5696" s="508" t="s">
        <v>107</v>
      </c>
      <c r="D5696" s="508">
        <v>62.31</v>
      </c>
      <c r="E5696" s="461" t="s">
        <v>174</v>
      </c>
    </row>
    <row r="5697" spans="1:5" ht="27" x14ac:dyDescent="0.25">
      <c r="A5697" s="508">
        <v>104063</v>
      </c>
      <c r="B5697" s="509" t="s">
        <v>7587</v>
      </c>
      <c r="C5697" s="508" t="s">
        <v>107</v>
      </c>
      <c r="D5697" s="508">
        <v>59.36</v>
      </c>
      <c r="E5697" s="461" t="s">
        <v>174</v>
      </c>
    </row>
    <row r="5698" spans="1:5" ht="27" x14ac:dyDescent="0.25">
      <c r="A5698" s="508">
        <v>104064</v>
      </c>
      <c r="B5698" s="509" t="s">
        <v>7588</v>
      </c>
      <c r="C5698" s="508" t="s">
        <v>107</v>
      </c>
      <c r="D5698" s="508">
        <v>149.11000000000001</v>
      </c>
      <c r="E5698" s="461" t="s">
        <v>174</v>
      </c>
    </row>
    <row r="5699" spans="1:5" ht="27" x14ac:dyDescent="0.25">
      <c r="A5699" s="508">
        <v>104065</v>
      </c>
      <c r="B5699" s="509" t="s">
        <v>7589</v>
      </c>
      <c r="C5699" s="508" t="s">
        <v>107</v>
      </c>
      <c r="D5699" s="508">
        <v>126.89</v>
      </c>
      <c r="E5699" s="461" t="s">
        <v>174</v>
      </c>
    </row>
    <row r="5700" spans="1:5" ht="15" x14ac:dyDescent="0.25">
      <c r="A5700" s="508">
        <v>104072</v>
      </c>
      <c r="B5700" s="509" t="s">
        <v>7590</v>
      </c>
      <c r="C5700" s="508" t="s">
        <v>107</v>
      </c>
      <c r="D5700" s="508">
        <v>237.06</v>
      </c>
      <c r="E5700" s="461" t="s">
        <v>174</v>
      </c>
    </row>
    <row r="5701" spans="1:5" ht="27" x14ac:dyDescent="0.25">
      <c r="A5701" s="508">
        <v>104076</v>
      </c>
      <c r="B5701" s="509" t="s">
        <v>7591</v>
      </c>
      <c r="C5701" s="508" t="s">
        <v>107</v>
      </c>
      <c r="D5701" s="508">
        <v>40.83</v>
      </c>
      <c r="E5701" s="461" t="s">
        <v>174</v>
      </c>
    </row>
    <row r="5702" spans="1:5" ht="15" x14ac:dyDescent="0.25">
      <c r="A5702" s="508">
        <v>104082</v>
      </c>
      <c r="B5702" s="509" t="s">
        <v>7592</v>
      </c>
      <c r="C5702" s="508" t="s">
        <v>107</v>
      </c>
      <c r="D5702" s="508">
        <v>26.14</v>
      </c>
      <c r="E5702" s="461" t="s">
        <v>174</v>
      </c>
    </row>
    <row r="5703" spans="1:5" ht="15" x14ac:dyDescent="0.25">
      <c r="A5703" s="508">
        <v>104083</v>
      </c>
      <c r="B5703" s="509" t="s">
        <v>7593</v>
      </c>
      <c r="C5703" s="508" t="s">
        <v>107</v>
      </c>
      <c r="D5703" s="508">
        <v>62.2</v>
      </c>
      <c r="E5703" s="461" t="s">
        <v>174</v>
      </c>
    </row>
    <row r="5704" spans="1:5" ht="15" x14ac:dyDescent="0.25">
      <c r="A5704" s="508">
        <v>104084</v>
      </c>
      <c r="B5704" s="509" t="s">
        <v>7594</v>
      </c>
      <c r="C5704" s="508" t="s">
        <v>107</v>
      </c>
      <c r="D5704" s="508">
        <v>70.569999999999993</v>
      </c>
      <c r="E5704" s="461" t="s">
        <v>174</v>
      </c>
    </row>
    <row r="5705" spans="1:5" ht="15" x14ac:dyDescent="0.25">
      <c r="A5705" s="508">
        <v>104085</v>
      </c>
      <c r="B5705" s="509" t="s">
        <v>7595</v>
      </c>
      <c r="C5705" s="508" t="s">
        <v>5</v>
      </c>
      <c r="D5705" s="508">
        <v>47.3</v>
      </c>
      <c r="E5705" s="461" t="s">
        <v>174</v>
      </c>
    </row>
    <row r="5706" spans="1:5" ht="15" x14ac:dyDescent="0.25">
      <c r="A5706" s="508">
        <v>104086</v>
      </c>
      <c r="B5706" s="509" t="s">
        <v>7596</v>
      </c>
      <c r="C5706" s="508" t="s">
        <v>5</v>
      </c>
      <c r="D5706" s="508">
        <v>82.89</v>
      </c>
      <c r="E5706" s="461" t="s">
        <v>174</v>
      </c>
    </row>
    <row r="5707" spans="1:5" ht="27" x14ac:dyDescent="0.25">
      <c r="A5707" s="508">
        <v>104947</v>
      </c>
      <c r="B5707" s="509" t="s">
        <v>7597</v>
      </c>
      <c r="C5707" s="508" t="s">
        <v>163</v>
      </c>
      <c r="D5707" s="508">
        <v>11.45</v>
      </c>
      <c r="E5707" s="461" t="s">
        <v>174</v>
      </c>
    </row>
    <row r="5708" spans="1:5" ht="27" x14ac:dyDescent="0.25">
      <c r="A5708" s="508">
        <v>104948</v>
      </c>
      <c r="B5708" s="509" t="s">
        <v>7598</v>
      </c>
      <c r="C5708" s="508" t="s">
        <v>163</v>
      </c>
      <c r="D5708" s="508">
        <v>5.07</v>
      </c>
      <c r="E5708" s="461" t="s">
        <v>174</v>
      </c>
    </row>
    <row r="5709" spans="1:5" ht="27" x14ac:dyDescent="0.25">
      <c r="A5709" s="508">
        <v>96520</v>
      </c>
      <c r="B5709" s="509" t="s">
        <v>7599</v>
      </c>
      <c r="C5709" s="508" t="s">
        <v>163</v>
      </c>
      <c r="D5709" s="508">
        <v>92.91</v>
      </c>
      <c r="E5709" s="461" t="s">
        <v>174</v>
      </c>
    </row>
    <row r="5710" spans="1:5" ht="27" x14ac:dyDescent="0.25">
      <c r="A5710" s="508">
        <v>96521</v>
      </c>
      <c r="B5710" s="509" t="s">
        <v>7600</v>
      </c>
      <c r="C5710" s="508" t="s">
        <v>163</v>
      </c>
      <c r="D5710" s="508">
        <v>39.82</v>
      </c>
      <c r="E5710" s="461" t="s">
        <v>174</v>
      </c>
    </row>
    <row r="5711" spans="1:5" ht="27" x14ac:dyDescent="0.25">
      <c r="A5711" s="508">
        <v>96522</v>
      </c>
      <c r="B5711" s="509" t="s">
        <v>7601</v>
      </c>
      <c r="C5711" s="508" t="s">
        <v>163</v>
      </c>
      <c r="D5711" s="508">
        <v>156.25</v>
      </c>
      <c r="E5711" s="461" t="s">
        <v>174</v>
      </c>
    </row>
    <row r="5712" spans="1:5" ht="27" x14ac:dyDescent="0.25">
      <c r="A5712" s="508">
        <v>96523</v>
      </c>
      <c r="B5712" s="509" t="s">
        <v>7602</v>
      </c>
      <c r="C5712" s="508" t="s">
        <v>163</v>
      </c>
      <c r="D5712" s="508">
        <v>103.18</v>
      </c>
      <c r="E5712" s="461" t="s">
        <v>174</v>
      </c>
    </row>
    <row r="5713" spans="1:5" ht="27" x14ac:dyDescent="0.25">
      <c r="A5713" s="508">
        <v>96524</v>
      </c>
      <c r="B5713" s="509" t="s">
        <v>7603</v>
      </c>
      <c r="C5713" s="508" t="s">
        <v>163</v>
      </c>
      <c r="D5713" s="508">
        <v>159.82</v>
      </c>
      <c r="E5713" s="461" t="s">
        <v>174</v>
      </c>
    </row>
    <row r="5714" spans="1:5" ht="27" x14ac:dyDescent="0.25">
      <c r="A5714" s="508">
        <v>96525</v>
      </c>
      <c r="B5714" s="509" t="s">
        <v>7604</v>
      </c>
      <c r="C5714" s="508" t="s">
        <v>163</v>
      </c>
      <c r="D5714" s="508">
        <v>55.1</v>
      </c>
      <c r="E5714" s="461" t="s">
        <v>174</v>
      </c>
    </row>
    <row r="5715" spans="1:5" ht="27" x14ac:dyDescent="0.25">
      <c r="A5715" s="508">
        <v>96526</v>
      </c>
      <c r="B5715" s="509" t="s">
        <v>7605</v>
      </c>
      <c r="C5715" s="508" t="s">
        <v>163</v>
      </c>
      <c r="D5715" s="508">
        <v>223.86</v>
      </c>
      <c r="E5715" s="461" t="s">
        <v>174</v>
      </c>
    </row>
    <row r="5716" spans="1:5" ht="27" x14ac:dyDescent="0.25">
      <c r="A5716" s="508">
        <v>96527</v>
      </c>
      <c r="B5716" s="509" t="s">
        <v>7606</v>
      </c>
      <c r="C5716" s="508" t="s">
        <v>163</v>
      </c>
      <c r="D5716" s="508">
        <v>113.47</v>
      </c>
      <c r="E5716" s="461" t="s">
        <v>174</v>
      </c>
    </row>
    <row r="5717" spans="1:5" ht="27" x14ac:dyDescent="0.25">
      <c r="A5717" s="508">
        <v>96528</v>
      </c>
      <c r="B5717" s="509" t="s">
        <v>7607</v>
      </c>
      <c r="C5717" s="508" t="s">
        <v>150</v>
      </c>
      <c r="D5717" s="508">
        <v>153.94</v>
      </c>
      <c r="E5717" s="461" t="s">
        <v>174</v>
      </c>
    </row>
    <row r="5718" spans="1:5" ht="27" x14ac:dyDescent="0.25">
      <c r="A5718" s="508">
        <v>101114</v>
      </c>
      <c r="B5718" s="509" t="s">
        <v>3040</v>
      </c>
      <c r="C5718" s="508" t="s">
        <v>163</v>
      </c>
      <c r="D5718" s="508">
        <v>4.26</v>
      </c>
      <c r="E5718" s="461" t="s">
        <v>174</v>
      </c>
    </row>
    <row r="5719" spans="1:5" ht="27" x14ac:dyDescent="0.25">
      <c r="A5719" s="508">
        <v>101115</v>
      </c>
      <c r="B5719" s="509" t="s">
        <v>3041</v>
      </c>
      <c r="C5719" s="508" t="s">
        <v>163</v>
      </c>
      <c r="D5719" s="508">
        <v>3.58</v>
      </c>
      <c r="E5719" s="461" t="s">
        <v>174</v>
      </c>
    </row>
    <row r="5720" spans="1:5" ht="27" x14ac:dyDescent="0.25">
      <c r="A5720" s="508">
        <v>101116</v>
      </c>
      <c r="B5720" s="509" t="s">
        <v>3042</v>
      </c>
      <c r="C5720" s="508" t="s">
        <v>163</v>
      </c>
      <c r="D5720" s="508">
        <v>2.2200000000000002</v>
      </c>
      <c r="E5720" s="461" t="s">
        <v>174</v>
      </c>
    </row>
    <row r="5721" spans="1:5" ht="27" x14ac:dyDescent="0.25">
      <c r="A5721" s="508">
        <v>101117</v>
      </c>
      <c r="B5721" s="509" t="s">
        <v>3043</v>
      </c>
      <c r="C5721" s="508" t="s">
        <v>163</v>
      </c>
      <c r="D5721" s="508">
        <v>3.17</v>
      </c>
      <c r="E5721" s="461" t="s">
        <v>174</v>
      </c>
    </row>
    <row r="5722" spans="1:5" ht="27" x14ac:dyDescent="0.25">
      <c r="A5722" s="508">
        <v>101118</v>
      </c>
      <c r="B5722" s="509" t="s">
        <v>3044</v>
      </c>
      <c r="C5722" s="508" t="s">
        <v>163</v>
      </c>
      <c r="D5722" s="508">
        <v>3.66</v>
      </c>
      <c r="E5722" s="461" t="s">
        <v>174</v>
      </c>
    </row>
    <row r="5723" spans="1:5" ht="27" x14ac:dyDescent="0.25">
      <c r="A5723" s="508">
        <v>101119</v>
      </c>
      <c r="B5723" s="509" t="s">
        <v>3045</v>
      </c>
      <c r="C5723" s="508" t="s">
        <v>163</v>
      </c>
      <c r="D5723" s="508">
        <v>8.1300000000000008</v>
      </c>
      <c r="E5723" s="461" t="s">
        <v>174</v>
      </c>
    </row>
    <row r="5724" spans="1:5" ht="27" x14ac:dyDescent="0.25">
      <c r="A5724" s="508">
        <v>101120</v>
      </c>
      <c r="B5724" s="509" t="s">
        <v>3046</v>
      </c>
      <c r="C5724" s="508" t="s">
        <v>163</v>
      </c>
      <c r="D5724" s="508">
        <v>6.85</v>
      </c>
      <c r="E5724" s="461" t="s">
        <v>174</v>
      </c>
    </row>
    <row r="5725" spans="1:5" ht="27" x14ac:dyDescent="0.25">
      <c r="A5725" s="508">
        <v>101121</v>
      </c>
      <c r="B5725" s="509" t="s">
        <v>3047</v>
      </c>
      <c r="C5725" s="508" t="s">
        <v>163</v>
      </c>
      <c r="D5725" s="508">
        <v>4.28</v>
      </c>
      <c r="E5725" s="461" t="s">
        <v>174</v>
      </c>
    </row>
    <row r="5726" spans="1:5" ht="27" x14ac:dyDescent="0.25">
      <c r="A5726" s="508">
        <v>101122</v>
      </c>
      <c r="B5726" s="509" t="s">
        <v>3048</v>
      </c>
      <c r="C5726" s="508" t="s">
        <v>163</v>
      </c>
      <c r="D5726" s="508">
        <v>6.04</v>
      </c>
      <c r="E5726" s="461" t="s">
        <v>174</v>
      </c>
    </row>
    <row r="5727" spans="1:5" ht="27" x14ac:dyDescent="0.25">
      <c r="A5727" s="508">
        <v>101123</v>
      </c>
      <c r="B5727" s="509" t="s">
        <v>3049</v>
      </c>
      <c r="C5727" s="508" t="s">
        <v>163</v>
      </c>
      <c r="D5727" s="508">
        <v>6.99</v>
      </c>
      <c r="E5727" s="461" t="s">
        <v>174</v>
      </c>
    </row>
    <row r="5728" spans="1:5" ht="27" x14ac:dyDescent="0.25">
      <c r="A5728" s="508">
        <v>101124</v>
      </c>
      <c r="B5728" s="509" t="s">
        <v>3050</v>
      </c>
      <c r="C5728" s="508" t="s">
        <v>163</v>
      </c>
      <c r="D5728" s="508">
        <v>14.74</v>
      </c>
      <c r="E5728" s="461" t="s">
        <v>174</v>
      </c>
    </row>
    <row r="5729" spans="1:5" ht="27" x14ac:dyDescent="0.25">
      <c r="A5729" s="508">
        <v>101125</v>
      </c>
      <c r="B5729" s="509" t="s">
        <v>3051</v>
      </c>
      <c r="C5729" s="508" t="s">
        <v>163</v>
      </c>
      <c r="D5729" s="508">
        <v>14.06</v>
      </c>
      <c r="E5729" s="461" t="s">
        <v>174</v>
      </c>
    </row>
    <row r="5730" spans="1:5" ht="27" x14ac:dyDescent="0.25">
      <c r="A5730" s="508">
        <v>101126</v>
      </c>
      <c r="B5730" s="509" t="s">
        <v>3052</v>
      </c>
      <c r="C5730" s="508" t="s">
        <v>163</v>
      </c>
      <c r="D5730" s="508">
        <v>12.7</v>
      </c>
      <c r="E5730" s="461" t="s">
        <v>174</v>
      </c>
    </row>
    <row r="5731" spans="1:5" ht="27" x14ac:dyDescent="0.25">
      <c r="A5731" s="508">
        <v>101127</v>
      </c>
      <c r="B5731" s="509" t="s">
        <v>3053</v>
      </c>
      <c r="C5731" s="508" t="s">
        <v>163</v>
      </c>
      <c r="D5731" s="508">
        <v>13.65</v>
      </c>
      <c r="E5731" s="461" t="s">
        <v>174</v>
      </c>
    </row>
    <row r="5732" spans="1:5" ht="27" x14ac:dyDescent="0.25">
      <c r="A5732" s="508">
        <v>101128</v>
      </c>
      <c r="B5732" s="509" t="s">
        <v>3054</v>
      </c>
      <c r="C5732" s="508" t="s">
        <v>163</v>
      </c>
      <c r="D5732" s="508">
        <v>14.14</v>
      </c>
      <c r="E5732" s="461" t="s">
        <v>174</v>
      </c>
    </row>
    <row r="5733" spans="1:5" ht="27" x14ac:dyDescent="0.25">
      <c r="A5733" s="508">
        <v>101129</v>
      </c>
      <c r="B5733" s="509" t="s">
        <v>3055</v>
      </c>
      <c r="C5733" s="508" t="s">
        <v>163</v>
      </c>
      <c r="D5733" s="508">
        <v>19.03</v>
      </c>
      <c r="E5733" s="461" t="s">
        <v>174</v>
      </c>
    </row>
    <row r="5734" spans="1:5" ht="27" x14ac:dyDescent="0.25">
      <c r="A5734" s="508">
        <v>101130</v>
      </c>
      <c r="B5734" s="509" t="s">
        <v>3056</v>
      </c>
      <c r="C5734" s="508" t="s">
        <v>163</v>
      </c>
      <c r="D5734" s="508">
        <v>17.75</v>
      </c>
      <c r="E5734" s="461" t="s">
        <v>174</v>
      </c>
    </row>
    <row r="5735" spans="1:5" ht="27" x14ac:dyDescent="0.25">
      <c r="A5735" s="508">
        <v>101131</v>
      </c>
      <c r="B5735" s="509" t="s">
        <v>3057</v>
      </c>
      <c r="C5735" s="508" t="s">
        <v>163</v>
      </c>
      <c r="D5735" s="508">
        <v>15.18</v>
      </c>
      <c r="E5735" s="461" t="s">
        <v>174</v>
      </c>
    </row>
    <row r="5736" spans="1:5" ht="27" x14ac:dyDescent="0.25">
      <c r="A5736" s="508">
        <v>101132</v>
      </c>
      <c r="B5736" s="509" t="s">
        <v>3058</v>
      </c>
      <c r="C5736" s="508" t="s">
        <v>163</v>
      </c>
      <c r="D5736" s="508">
        <v>16.940000000000001</v>
      </c>
      <c r="E5736" s="461" t="s">
        <v>174</v>
      </c>
    </row>
    <row r="5737" spans="1:5" ht="27" x14ac:dyDescent="0.25">
      <c r="A5737" s="508">
        <v>101133</v>
      </c>
      <c r="B5737" s="509" t="s">
        <v>3059</v>
      </c>
      <c r="C5737" s="508" t="s">
        <v>163</v>
      </c>
      <c r="D5737" s="508">
        <v>17.89</v>
      </c>
      <c r="E5737" s="461" t="s">
        <v>174</v>
      </c>
    </row>
    <row r="5738" spans="1:5" ht="40.5" x14ac:dyDescent="0.25">
      <c r="A5738" s="508">
        <v>101134</v>
      </c>
      <c r="B5738" s="509" t="s">
        <v>3060</v>
      </c>
      <c r="C5738" s="508" t="s">
        <v>163</v>
      </c>
      <c r="D5738" s="508">
        <v>15.4</v>
      </c>
      <c r="E5738" s="461" t="s">
        <v>174</v>
      </c>
    </row>
    <row r="5739" spans="1:5" ht="40.5" x14ac:dyDescent="0.25">
      <c r="A5739" s="508">
        <v>101135</v>
      </c>
      <c r="B5739" s="509" t="s">
        <v>3061</v>
      </c>
      <c r="C5739" s="508" t="s">
        <v>163</v>
      </c>
      <c r="D5739" s="508">
        <v>14.72</v>
      </c>
      <c r="E5739" s="461" t="s">
        <v>174</v>
      </c>
    </row>
    <row r="5740" spans="1:5" ht="40.5" x14ac:dyDescent="0.25">
      <c r="A5740" s="508">
        <v>101136</v>
      </c>
      <c r="B5740" s="509" t="s">
        <v>3062</v>
      </c>
      <c r="C5740" s="508" t="s">
        <v>163</v>
      </c>
      <c r="D5740" s="508">
        <v>13.36</v>
      </c>
      <c r="E5740" s="461" t="s">
        <v>174</v>
      </c>
    </row>
    <row r="5741" spans="1:5" ht="40.5" x14ac:dyDescent="0.25">
      <c r="A5741" s="508">
        <v>101137</v>
      </c>
      <c r="B5741" s="509" t="s">
        <v>3063</v>
      </c>
      <c r="C5741" s="508" t="s">
        <v>163</v>
      </c>
      <c r="D5741" s="508">
        <v>14.31</v>
      </c>
      <c r="E5741" s="461" t="s">
        <v>174</v>
      </c>
    </row>
    <row r="5742" spans="1:5" ht="40.5" x14ac:dyDescent="0.25">
      <c r="A5742" s="508">
        <v>101138</v>
      </c>
      <c r="B5742" s="509" t="s">
        <v>3064</v>
      </c>
      <c r="C5742" s="508" t="s">
        <v>163</v>
      </c>
      <c r="D5742" s="508">
        <v>14.8</v>
      </c>
      <c r="E5742" s="461" t="s">
        <v>174</v>
      </c>
    </row>
    <row r="5743" spans="1:5" ht="40.5" x14ac:dyDescent="0.25">
      <c r="A5743" s="508">
        <v>101139</v>
      </c>
      <c r="B5743" s="509" t="s">
        <v>3065</v>
      </c>
      <c r="C5743" s="508" t="s">
        <v>163</v>
      </c>
      <c r="D5743" s="508">
        <v>19.71</v>
      </c>
      <c r="E5743" s="461" t="s">
        <v>174</v>
      </c>
    </row>
    <row r="5744" spans="1:5" ht="40.5" x14ac:dyDescent="0.25">
      <c r="A5744" s="508">
        <v>101140</v>
      </c>
      <c r="B5744" s="509" t="s">
        <v>3066</v>
      </c>
      <c r="C5744" s="508" t="s">
        <v>163</v>
      </c>
      <c r="D5744" s="508">
        <v>18.43</v>
      </c>
      <c r="E5744" s="461" t="s">
        <v>174</v>
      </c>
    </row>
    <row r="5745" spans="1:5" ht="40.5" x14ac:dyDescent="0.25">
      <c r="A5745" s="508">
        <v>101141</v>
      </c>
      <c r="B5745" s="509" t="s">
        <v>3067</v>
      </c>
      <c r="C5745" s="508" t="s">
        <v>163</v>
      </c>
      <c r="D5745" s="508">
        <v>15.86</v>
      </c>
      <c r="E5745" s="461" t="s">
        <v>174</v>
      </c>
    </row>
    <row r="5746" spans="1:5" ht="40.5" x14ac:dyDescent="0.25">
      <c r="A5746" s="508">
        <v>101142</v>
      </c>
      <c r="B5746" s="509" t="s">
        <v>3068</v>
      </c>
      <c r="C5746" s="508" t="s">
        <v>163</v>
      </c>
      <c r="D5746" s="508">
        <v>17.62</v>
      </c>
      <c r="E5746" s="461" t="s">
        <v>174</v>
      </c>
    </row>
    <row r="5747" spans="1:5" ht="40.5" x14ac:dyDescent="0.25">
      <c r="A5747" s="508">
        <v>101143</v>
      </c>
      <c r="B5747" s="509" t="s">
        <v>3069</v>
      </c>
      <c r="C5747" s="508" t="s">
        <v>163</v>
      </c>
      <c r="D5747" s="508">
        <v>18.57</v>
      </c>
      <c r="E5747" s="461" t="s">
        <v>174</v>
      </c>
    </row>
    <row r="5748" spans="1:5" ht="42" customHeight="1" x14ac:dyDescent="0.25">
      <c r="A5748" s="508">
        <v>101144</v>
      </c>
      <c r="B5748" s="509" t="s">
        <v>3070</v>
      </c>
      <c r="C5748" s="508" t="s">
        <v>163</v>
      </c>
      <c r="D5748" s="508">
        <v>15.39</v>
      </c>
      <c r="E5748" s="461" t="s">
        <v>174</v>
      </c>
    </row>
    <row r="5749" spans="1:5" ht="40.5" x14ac:dyDescent="0.25">
      <c r="A5749" s="508">
        <v>101145</v>
      </c>
      <c r="B5749" s="509" t="s">
        <v>3071</v>
      </c>
      <c r="C5749" s="508" t="s">
        <v>163</v>
      </c>
      <c r="D5749" s="508">
        <v>14.71</v>
      </c>
      <c r="E5749" s="461" t="s">
        <v>174</v>
      </c>
    </row>
    <row r="5750" spans="1:5" ht="40.5" x14ac:dyDescent="0.25">
      <c r="A5750" s="508">
        <v>101146</v>
      </c>
      <c r="B5750" s="509" t="s">
        <v>3072</v>
      </c>
      <c r="C5750" s="508" t="s">
        <v>163</v>
      </c>
      <c r="D5750" s="508">
        <v>13.35</v>
      </c>
      <c r="E5750" s="461" t="s">
        <v>174</v>
      </c>
    </row>
    <row r="5751" spans="1:5" ht="40.5" x14ac:dyDescent="0.25">
      <c r="A5751" s="508">
        <v>101147</v>
      </c>
      <c r="B5751" s="509" t="s">
        <v>3073</v>
      </c>
      <c r="C5751" s="508" t="s">
        <v>163</v>
      </c>
      <c r="D5751" s="508">
        <v>14.3</v>
      </c>
      <c r="E5751" s="461" t="s">
        <v>174</v>
      </c>
    </row>
    <row r="5752" spans="1:5" ht="40.5" x14ac:dyDescent="0.25">
      <c r="A5752" s="508">
        <v>101148</v>
      </c>
      <c r="B5752" s="509" t="s">
        <v>3074</v>
      </c>
      <c r="C5752" s="508" t="s">
        <v>163</v>
      </c>
      <c r="D5752" s="508">
        <v>14.79</v>
      </c>
      <c r="E5752" s="461" t="s">
        <v>174</v>
      </c>
    </row>
    <row r="5753" spans="1:5" ht="40.5" x14ac:dyDescent="0.25">
      <c r="A5753" s="508">
        <v>101149</v>
      </c>
      <c r="B5753" s="509" t="s">
        <v>3075</v>
      </c>
      <c r="C5753" s="508" t="s">
        <v>163</v>
      </c>
      <c r="D5753" s="508">
        <v>19.7</v>
      </c>
      <c r="E5753" s="461" t="s">
        <v>174</v>
      </c>
    </row>
    <row r="5754" spans="1:5" ht="40.5" x14ac:dyDescent="0.25">
      <c r="A5754" s="508">
        <v>101150</v>
      </c>
      <c r="B5754" s="509" t="s">
        <v>3076</v>
      </c>
      <c r="C5754" s="508" t="s">
        <v>163</v>
      </c>
      <c r="D5754" s="508">
        <v>18.420000000000002</v>
      </c>
      <c r="E5754" s="461" t="s">
        <v>174</v>
      </c>
    </row>
    <row r="5755" spans="1:5" ht="40.5" x14ac:dyDescent="0.25">
      <c r="A5755" s="508">
        <v>101151</v>
      </c>
      <c r="B5755" s="509" t="s">
        <v>3077</v>
      </c>
      <c r="C5755" s="508" t="s">
        <v>163</v>
      </c>
      <c r="D5755" s="508">
        <v>15.85</v>
      </c>
      <c r="E5755" s="461" t="s">
        <v>174</v>
      </c>
    </row>
    <row r="5756" spans="1:5" ht="40.5" x14ac:dyDescent="0.25">
      <c r="A5756" s="508">
        <v>101152</v>
      </c>
      <c r="B5756" s="509" t="s">
        <v>3078</v>
      </c>
      <c r="C5756" s="508" t="s">
        <v>163</v>
      </c>
      <c r="D5756" s="508">
        <v>17.61</v>
      </c>
      <c r="E5756" s="461" t="s">
        <v>174</v>
      </c>
    </row>
    <row r="5757" spans="1:5" ht="40.5" x14ac:dyDescent="0.25">
      <c r="A5757" s="508">
        <v>101153</v>
      </c>
      <c r="B5757" s="509" t="s">
        <v>3079</v>
      </c>
      <c r="C5757" s="508" t="s">
        <v>163</v>
      </c>
      <c r="D5757" s="508">
        <v>18.559999999999999</v>
      </c>
      <c r="E5757" s="461" t="s">
        <v>174</v>
      </c>
    </row>
    <row r="5758" spans="1:5" ht="40.5" x14ac:dyDescent="0.25">
      <c r="A5758" s="508">
        <v>101206</v>
      </c>
      <c r="B5758" s="509" t="s">
        <v>7608</v>
      </c>
      <c r="C5758" s="508" t="s">
        <v>163</v>
      </c>
      <c r="D5758" s="508">
        <v>12.45</v>
      </c>
      <c r="E5758" s="461" t="s">
        <v>174</v>
      </c>
    </row>
    <row r="5759" spans="1:5" ht="40.5" x14ac:dyDescent="0.25">
      <c r="A5759" s="508">
        <v>101207</v>
      </c>
      <c r="B5759" s="509" t="s">
        <v>7609</v>
      </c>
      <c r="C5759" s="508" t="s">
        <v>163</v>
      </c>
      <c r="D5759" s="508">
        <v>10.72</v>
      </c>
      <c r="E5759" s="461" t="s">
        <v>174</v>
      </c>
    </row>
    <row r="5760" spans="1:5" ht="40.5" x14ac:dyDescent="0.25">
      <c r="A5760" s="508">
        <v>101208</v>
      </c>
      <c r="B5760" s="509" t="s">
        <v>7610</v>
      </c>
      <c r="C5760" s="508" t="s">
        <v>163</v>
      </c>
      <c r="D5760" s="508">
        <v>10.48</v>
      </c>
      <c r="E5760" s="461" t="s">
        <v>174</v>
      </c>
    </row>
    <row r="5761" spans="1:5" ht="40.5" x14ac:dyDescent="0.25">
      <c r="A5761" s="508">
        <v>101209</v>
      </c>
      <c r="B5761" s="509" t="s">
        <v>7611</v>
      </c>
      <c r="C5761" s="508" t="s">
        <v>163</v>
      </c>
      <c r="D5761" s="508">
        <v>9.73</v>
      </c>
      <c r="E5761" s="461" t="s">
        <v>174</v>
      </c>
    </row>
    <row r="5762" spans="1:5" ht="40.5" x14ac:dyDescent="0.25">
      <c r="A5762" s="508">
        <v>101210</v>
      </c>
      <c r="B5762" s="509" t="s">
        <v>7612</v>
      </c>
      <c r="C5762" s="508" t="s">
        <v>163</v>
      </c>
      <c r="D5762" s="508">
        <v>17.37</v>
      </c>
      <c r="E5762" s="461" t="s">
        <v>174</v>
      </c>
    </row>
    <row r="5763" spans="1:5" ht="40.5" x14ac:dyDescent="0.25">
      <c r="A5763" s="508">
        <v>101211</v>
      </c>
      <c r="B5763" s="509" t="s">
        <v>7613</v>
      </c>
      <c r="C5763" s="508" t="s">
        <v>163</v>
      </c>
      <c r="D5763" s="508">
        <v>18.64</v>
      </c>
      <c r="E5763" s="461" t="s">
        <v>174</v>
      </c>
    </row>
    <row r="5764" spans="1:5" ht="40.5" x14ac:dyDescent="0.25">
      <c r="A5764" s="508">
        <v>101212</v>
      </c>
      <c r="B5764" s="509" t="s">
        <v>7614</v>
      </c>
      <c r="C5764" s="508" t="s">
        <v>163</v>
      </c>
      <c r="D5764" s="508">
        <v>21.76</v>
      </c>
      <c r="E5764" s="461" t="s">
        <v>174</v>
      </c>
    </row>
    <row r="5765" spans="1:5" ht="40.5" x14ac:dyDescent="0.25">
      <c r="A5765" s="508">
        <v>101213</v>
      </c>
      <c r="B5765" s="509" t="s">
        <v>7615</v>
      </c>
      <c r="C5765" s="508" t="s">
        <v>163</v>
      </c>
      <c r="D5765" s="508">
        <v>24.35</v>
      </c>
      <c r="E5765" s="461" t="s">
        <v>174</v>
      </c>
    </row>
    <row r="5766" spans="1:5" ht="40.5" x14ac:dyDescent="0.25">
      <c r="A5766" s="508">
        <v>101214</v>
      </c>
      <c r="B5766" s="509" t="s">
        <v>7616</v>
      </c>
      <c r="C5766" s="508" t="s">
        <v>163</v>
      </c>
      <c r="D5766" s="508">
        <v>29.42</v>
      </c>
      <c r="E5766" s="461" t="s">
        <v>174</v>
      </c>
    </row>
    <row r="5767" spans="1:5" ht="40.5" x14ac:dyDescent="0.25">
      <c r="A5767" s="508">
        <v>101215</v>
      </c>
      <c r="B5767" s="509" t="s">
        <v>7617</v>
      </c>
      <c r="C5767" s="508" t="s">
        <v>163</v>
      </c>
      <c r="D5767" s="508">
        <v>16.690000000000001</v>
      </c>
      <c r="E5767" s="461" t="s">
        <v>174</v>
      </c>
    </row>
    <row r="5768" spans="1:5" ht="40.5" x14ac:dyDescent="0.25">
      <c r="A5768" s="508">
        <v>101216</v>
      </c>
      <c r="B5768" s="509" t="s">
        <v>7618</v>
      </c>
      <c r="C5768" s="508" t="s">
        <v>163</v>
      </c>
      <c r="D5768" s="508">
        <v>17.489999999999998</v>
      </c>
      <c r="E5768" s="461" t="s">
        <v>174</v>
      </c>
    </row>
    <row r="5769" spans="1:5" ht="40.5" x14ac:dyDescent="0.25">
      <c r="A5769" s="508">
        <v>101217</v>
      </c>
      <c r="B5769" s="509" t="s">
        <v>7619</v>
      </c>
      <c r="C5769" s="508" t="s">
        <v>163</v>
      </c>
      <c r="D5769" s="508">
        <v>20.38</v>
      </c>
      <c r="E5769" s="461" t="s">
        <v>174</v>
      </c>
    </row>
    <row r="5770" spans="1:5" ht="40.5" x14ac:dyDescent="0.25">
      <c r="A5770" s="508">
        <v>101218</v>
      </c>
      <c r="B5770" s="509" t="s">
        <v>7620</v>
      </c>
      <c r="C5770" s="508" t="s">
        <v>163</v>
      </c>
      <c r="D5770" s="508">
        <v>21.55</v>
      </c>
      <c r="E5770" s="461" t="s">
        <v>174</v>
      </c>
    </row>
    <row r="5771" spans="1:5" ht="40.5" x14ac:dyDescent="0.25">
      <c r="A5771" s="508">
        <v>101219</v>
      </c>
      <c r="B5771" s="509" t="s">
        <v>7621</v>
      </c>
      <c r="C5771" s="508" t="s">
        <v>163</v>
      </c>
      <c r="D5771" s="508">
        <v>26.12</v>
      </c>
      <c r="E5771" s="461" t="s">
        <v>174</v>
      </c>
    </row>
    <row r="5772" spans="1:5" ht="40.5" x14ac:dyDescent="0.25">
      <c r="A5772" s="508">
        <v>101220</v>
      </c>
      <c r="B5772" s="509" t="s">
        <v>7622</v>
      </c>
      <c r="C5772" s="508" t="s">
        <v>163</v>
      </c>
      <c r="D5772" s="508">
        <v>16.37</v>
      </c>
      <c r="E5772" s="461" t="s">
        <v>174</v>
      </c>
    </row>
    <row r="5773" spans="1:5" ht="40.5" x14ac:dyDescent="0.25">
      <c r="A5773" s="508">
        <v>101221</v>
      </c>
      <c r="B5773" s="509" t="s">
        <v>7623</v>
      </c>
      <c r="C5773" s="508" t="s">
        <v>163</v>
      </c>
      <c r="D5773" s="508">
        <v>17.3</v>
      </c>
      <c r="E5773" s="461" t="s">
        <v>174</v>
      </c>
    </row>
    <row r="5774" spans="1:5" ht="40.5" x14ac:dyDescent="0.25">
      <c r="A5774" s="508">
        <v>101222</v>
      </c>
      <c r="B5774" s="509" t="s">
        <v>7624</v>
      </c>
      <c r="C5774" s="508" t="s">
        <v>163</v>
      </c>
      <c r="D5774" s="508">
        <v>20.12</v>
      </c>
      <c r="E5774" s="461" t="s">
        <v>174</v>
      </c>
    </row>
    <row r="5775" spans="1:5" ht="40.5" x14ac:dyDescent="0.25">
      <c r="A5775" s="508">
        <v>101223</v>
      </c>
      <c r="B5775" s="509" t="s">
        <v>7625</v>
      </c>
      <c r="C5775" s="508" t="s">
        <v>163</v>
      </c>
      <c r="D5775" s="508">
        <v>22.4</v>
      </c>
      <c r="E5775" s="461" t="s">
        <v>174</v>
      </c>
    </row>
    <row r="5776" spans="1:5" ht="40.5" x14ac:dyDescent="0.25">
      <c r="A5776" s="508">
        <v>101224</v>
      </c>
      <c r="B5776" s="509" t="s">
        <v>7626</v>
      </c>
      <c r="C5776" s="508" t="s">
        <v>163</v>
      </c>
      <c r="D5776" s="508">
        <v>28.1</v>
      </c>
      <c r="E5776" s="461" t="s">
        <v>174</v>
      </c>
    </row>
    <row r="5777" spans="1:5" ht="40.5" x14ac:dyDescent="0.25">
      <c r="A5777" s="508">
        <v>101225</v>
      </c>
      <c r="B5777" s="509" t="s">
        <v>7627</v>
      </c>
      <c r="C5777" s="508" t="s">
        <v>163</v>
      </c>
      <c r="D5777" s="508">
        <v>15.02</v>
      </c>
      <c r="E5777" s="461" t="s">
        <v>174</v>
      </c>
    </row>
    <row r="5778" spans="1:5" ht="40.5" x14ac:dyDescent="0.25">
      <c r="A5778" s="508">
        <v>101226</v>
      </c>
      <c r="B5778" s="509" t="s">
        <v>7628</v>
      </c>
      <c r="C5778" s="508" t="s">
        <v>163</v>
      </c>
      <c r="D5778" s="508">
        <v>15.82</v>
      </c>
      <c r="E5778" s="461" t="s">
        <v>174</v>
      </c>
    </row>
    <row r="5779" spans="1:5" ht="40.5" x14ac:dyDescent="0.25">
      <c r="A5779" s="508">
        <v>101227</v>
      </c>
      <c r="B5779" s="509" t="s">
        <v>7629</v>
      </c>
      <c r="C5779" s="508" t="s">
        <v>163</v>
      </c>
      <c r="D5779" s="508">
        <v>18.36</v>
      </c>
      <c r="E5779" s="461" t="s">
        <v>174</v>
      </c>
    </row>
    <row r="5780" spans="1:5" ht="40.5" x14ac:dyDescent="0.25">
      <c r="A5780" s="508">
        <v>101228</v>
      </c>
      <c r="B5780" s="509" t="s">
        <v>7630</v>
      </c>
      <c r="C5780" s="508" t="s">
        <v>163</v>
      </c>
      <c r="D5780" s="508">
        <v>19.559999999999999</v>
      </c>
      <c r="E5780" s="461" t="s">
        <v>174</v>
      </c>
    </row>
    <row r="5781" spans="1:5" ht="40.5" x14ac:dyDescent="0.25">
      <c r="A5781" s="508">
        <v>101229</v>
      </c>
      <c r="B5781" s="509" t="s">
        <v>7631</v>
      </c>
      <c r="C5781" s="508" t="s">
        <v>163</v>
      </c>
      <c r="D5781" s="508">
        <v>24.69</v>
      </c>
      <c r="E5781" s="461" t="s">
        <v>174</v>
      </c>
    </row>
    <row r="5782" spans="1:5" ht="40.5" x14ac:dyDescent="0.25">
      <c r="A5782" s="508">
        <v>101230</v>
      </c>
      <c r="B5782" s="509" t="s">
        <v>7632</v>
      </c>
      <c r="C5782" s="508" t="s">
        <v>163</v>
      </c>
      <c r="D5782" s="508">
        <v>10.97</v>
      </c>
      <c r="E5782" s="461" t="s">
        <v>174</v>
      </c>
    </row>
    <row r="5783" spans="1:5" ht="40.5" x14ac:dyDescent="0.25">
      <c r="A5783" s="508">
        <v>101231</v>
      </c>
      <c r="B5783" s="509" t="s">
        <v>7633</v>
      </c>
      <c r="C5783" s="508" t="s">
        <v>163</v>
      </c>
      <c r="D5783" s="508">
        <v>10.42</v>
      </c>
      <c r="E5783" s="461" t="s">
        <v>174</v>
      </c>
    </row>
    <row r="5784" spans="1:5" ht="40.5" x14ac:dyDescent="0.25">
      <c r="A5784" s="508">
        <v>101232</v>
      </c>
      <c r="B5784" s="509" t="s">
        <v>7634</v>
      </c>
      <c r="C5784" s="508" t="s">
        <v>163</v>
      </c>
      <c r="D5784" s="508">
        <v>9.36</v>
      </c>
      <c r="E5784" s="461" t="s">
        <v>174</v>
      </c>
    </row>
    <row r="5785" spans="1:5" ht="40.5" x14ac:dyDescent="0.25">
      <c r="A5785" s="508">
        <v>101233</v>
      </c>
      <c r="B5785" s="509" t="s">
        <v>7635</v>
      </c>
      <c r="C5785" s="508" t="s">
        <v>163</v>
      </c>
      <c r="D5785" s="508">
        <v>8.6199999999999992</v>
      </c>
      <c r="E5785" s="461" t="s">
        <v>174</v>
      </c>
    </row>
    <row r="5786" spans="1:5" ht="40.5" x14ac:dyDescent="0.25">
      <c r="A5786" s="508">
        <v>101234</v>
      </c>
      <c r="B5786" s="509" t="s">
        <v>7636</v>
      </c>
      <c r="C5786" s="508" t="s">
        <v>163</v>
      </c>
      <c r="D5786" s="508">
        <v>17.059999999999999</v>
      </c>
      <c r="E5786" s="461" t="s">
        <v>174</v>
      </c>
    </row>
    <row r="5787" spans="1:5" ht="40.5" x14ac:dyDescent="0.25">
      <c r="A5787" s="508">
        <v>101235</v>
      </c>
      <c r="B5787" s="509" t="s">
        <v>7637</v>
      </c>
      <c r="C5787" s="508" t="s">
        <v>163</v>
      </c>
      <c r="D5787" s="508">
        <v>17.95</v>
      </c>
      <c r="E5787" s="461" t="s">
        <v>174</v>
      </c>
    </row>
    <row r="5788" spans="1:5" ht="40.5" x14ac:dyDescent="0.25">
      <c r="A5788" s="508">
        <v>101236</v>
      </c>
      <c r="B5788" s="509" t="s">
        <v>7638</v>
      </c>
      <c r="C5788" s="508" t="s">
        <v>163</v>
      </c>
      <c r="D5788" s="508">
        <v>20.91</v>
      </c>
      <c r="E5788" s="461" t="s">
        <v>174</v>
      </c>
    </row>
    <row r="5789" spans="1:5" ht="40.5" x14ac:dyDescent="0.25">
      <c r="A5789" s="508">
        <v>101237</v>
      </c>
      <c r="B5789" s="509" t="s">
        <v>7639</v>
      </c>
      <c r="C5789" s="508" t="s">
        <v>163</v>
      </c>
      <c r="D5789" s="508">
        <v>22.27</v>
      </c>
      <c r="E5789" s="461" t="s">
        <v>174</v>
      </c>
    </row>
    <row r="5790" spans="1:5" ht="40.5" x14ac:dyDescent="0.25">
      <c r="A5790" s="508">
        <v>101238</v>
      </c>
      <c r="B5790" s="509" t="s">
        <v>7640</v>
      </c>
      <c r="C5790" s="508" t="s">
        <v>163</v>
      </c>
      <c r="D5790" s="508">
        <v>28.18</v>
      </c>
      <c r="E5790" s="461" t="s">
        <v>174</v>
      </c>
    </row>
    <row r="5791" spans="1:5" ht="40.5" x14ac:dyDescent="0.25">
      <c r="A5791" s="508">
        <v>101239</v>
      </c>
      <c r="B5791" s="509" t="s">
        <v>7641</v>
      </c>
      <c r="C5791" s="508" t="s">
        <v>163</v>
      </c>
      <c r="D5791" s="508">
        <v>14.94</v>
      </c>
      <c r="E5791" s="461" t="s">
        <v>174</v>
      </c>
    </row>
    <row r="5792" spans="1:5" ht="40.5" x14ac:dyDescent="0.25">
      <c r="A5792" s="508">
        <v>101240</v>
      </c>
      <c r="B5792" s="509" t="s">
        <v>7642</v>
      </c>
      <c r="C5792" s="508" t="s">
        <v>163</v>
      </c>
      <c r="D5792" s="508">
        <v>15.77</v>
      </c>
      <c r="E5792" s="461" t="s">
        <v>174</v>
      </c>
    </row>
    <row r="5793" spans="1:5" ht="40.5" x14ac:dyDescent="0.25">
      <c r="A5793" s="508">
        <v>101241</v>
      </c>
      <c r="B5793" s="509" t="s">
        <v>7643</v>
      </c>
      <c r="C5793" s="508" t="s">
        <v>163</v>
      </c>
      <c r="D5793" s="508">
        <v>18.440000000000001</v>
      </c>
      <c r="E5793" s="461" t="s">
        <v>174</v>
      </c>
    </row>
    <row r="5794" spans="1:5" ht="40.5" x14ac:dyDescent="0.25">
      <c r="A5794" s="508">
        <v>101242</v>
      </c>
      <c r="B5794" s="509" t="s">
        <v>7644</v>
      </c>
      <c r="C5794" s="508" t="s">
        <v>163</v>
      </c>
      <c r="D5794" s="508">
        <v>20.63</v>
      </c>
      <c r="E5794" s="461" t="s">
        <v>174</v>
      </c>
    </row>
    <row r="5795" spans="1:5" ht="40.5" x14ac:dyDescent="0.25">
      <c r="A5795" s="508">
        <v>101243</v>
      </c>
      <c r="B5795" s="509" t="s">
        <v>7645</v>
      </c>
      <c r="C5795" s="508" t="s">
        <v>163</v>
      </c>
      <c r="D5795" s="508">
        <v>24.98</v>
      </c>
      <c r="E5795" s="461" t="s">
        <v>174</v>
      </c>
    </row>
    <row r="5796" spans="1:5" ht="40.5" x14ac:dyDescent="0.25">
      <c r="A5796" s="508">
        <v>101244</v>
      </c>
      <c r="B5796" s="509" t="s">
        <v>7646</v>
      </c>
      <c r="C5796" s="508" t="s">
        <v>163</v>
      </c>
      <c r="D5796" s="508">
        <v>15.75</v>
      </c>
      <c r="E5796" s="461" t="s">
        <v>174</v>
      </c>
    </row>
    <row r="5797" spans="1:5" ht="40.5" x14ac:dyDescent="0.25">
      <c r="A5797" s="508">
        <v>101245</v>
      </c>
      <c r="B5797" s="509" t="s">
        <v>7647</v>
      </c>
      <c r="C5797" s="508" t="s">
        <v>163</v>
      </c>
      <c r="D5797" s="508">
        <v>16.66</v>
      </c>
      <c r="E5797" s="461" t="s">
        <v>174</v>
      </c>
    </row>
    <row r="5798" spans="1:5" ht="40.5" x14ac:dyDescent="0.25">
      <c r="A5798" s="508">
        <v>101246</v>
      </c>
      <c r="B5798" s="509" t="s">
        <v>7648</v>
      </c>
      <c r="C5798" s="508" t="s">
        <v>163</v>
      </c>
      <c r="D5798" s="508">
        <v>19.36</v>
      </c>
      <c r="E5798" s="461" t="s">
        <v>174</v>
      </c>
    </row>
    <row r="5799" spans="1:5" ht="40.5" x14ac:dyDescent="0.25">
      <c r="A5799" s="508">
        <v>101247</v>
      </c>
      <c r="B5799" s="509" t="s">
        <v>7649</v>
      </c>
      <c r="C5799" s="508" t="s">
        <v>163</v>
      </c>
      <c r="D5799" s="508">
        <v>21.5</v>
      </c>
      <c r="E5799" s="461" t="s">
        <v>174</v>
      </c>
    </row>
    <row r="5800" spans="1:5" ht="40.5" x14ac:dyDescent="0.25">
      <c r="A5800" s="508">
        <v>101248</v>
      </c>
      <c r="B5800" s="509" t="s">
        <v>7650</v>
      </c>
      <c r="C5800" s="508" t="s">
        <v>163</v>
      </c>
      <c r="D5800" s="508">
        <v>26.91</v>
      </c>
      <c r="E5800" s="461" t="s">
        <v>174</v>
      </c>
    </row>
    <row r="5801" spans="1:5" ht="40.5" x14ac:dyDescent="0.25">
      <c r="A5801" s="508">
        <v>101249</v>
      </c>
      <c r="B5801" s="509" t="s">
        <v>7651</v>
      </c>
      <c r="C5801" s="508" t="s">
        <v>163</v>
      </c>
      <c r="D5801" s="508">
        <v>13.66</v>
      </c>
      <c r="E5801" s="461" t="s">
        <v>174</v>
      </c>
    </row>
    <row r="5802" spans="1:5" ht="40.5" x14ac:dyDescent="0.25">
      <c r="A5802" s="508">
        <v>101250</v>
      </c>
      <c r="B5802" s="509" t="s">
        <v>7652</v>
      </c>
      <c r="C5802" s="508" t="s">
        <v>163</v>
      </c>
      <c r="D5802" s="508">
        <v>15.18</v>
      </c>
      <c r="E5802" s="461" t="s">
        <v>174</v>
      </c>
    </row>
    <row r="5803" spans="1:5" ht="40.5" x14ac:dyDescent="0.25">
      <c r="A5803" s="508">
        <v>101251</v>
      </c>
      <c r="B5803" s="509" t="s">
        <v>7653</v>
      </c>
      <c r="C5803" s="508" t="s">
        <v>163</v>
      </c>
      <c r="D5803" s="508">
        <v>17.27</v>
      </c>
      <c r="E5803" s="461" t="s">
        <v>174</v>
      </c>
    </row>
    <row r="5804" spans="1:5" ht="40.5" x14ac:dyDescent="0.25">
      <c r="A5804" s="508">
        <v>101252</v>
      </c>
      <c r="B5804" s="509" t="s">
        <v>7654</v>
      </c>
      <c r="C5804" s="508" t="s">
        <v>163</v>
      </c>
      <c r="D5804" s="508">
        <v>18.760000000000002</v>
      </c>
      <c r="E5804" s="461" t="s">
        <v>174</v>
      </c>
    </row>
    <row r="5805" spans="1:5" ht="40.5" x14ac:dyDescent="0.25">
      <c r="A5805" s="508">
        <v>101253</v>
      </c>
      <c r="B5805" s="509" t="s">
        <v>7655</v>
      </c>
      <c r="C5805" s="508" t="s">
        <v>163</v>
      </c>
      <c r="D5805" s="508">
        <v>23.63</v>
      </c>
      <c r="E5805" s="461" t="s">
        <v>174</v>
      </c>
    </row>
    <row r="5806" spans="1:5" ht="40.5" x14ac:dyDescent="0.25">
      <c r="A5806" s="508">
        <v>101254</v>
      </c>
      <c r="B5806" s="509" t="s">
        <v>7656</v>
      </c>
      <c r="C5806" s="508" t="s">
        <v>163</v>
      </c>
      <c r="D5806" s="508">
        <v>12.65</v>
      </c>
      <c r="E5806" s="461" t="s">
        <v>174</v>
      </c>
    </row>
    <row r="5807" spans="1:5" ht="40.5" x14ac:dyDescent="0.25">
      <c r="A5807" s="508">
        <v>101255</v>
      </c>
      <c r="B5807" s="509" t="s">
        <v>7657</v>
      </c>
      <c r="C5807" s="508" t="s">
        <v>163</v>
      </c>
      <c r="D5807" s="508">
        <v>11.16</v>
      </c>
      <c r="E5807" s="461" t="s">
        <v>174</v>
      </c>
    </row>
    <row r="5808" spans="1:5" ht="40.5" x14ac:dyDescent="0.25">
      <c r="A5808" s="508">
        <v>101256</v>
      </c>
      <c r="B5808" s="509" t="s">
        <v>7658</v>
      </c>
      <c r="C5808" s="508" t="s">
        <v>163</v>
      </c>
      <c r="D5808" s="508">
        <v>19.54</v>
      </c>
      <c r="E5808" s="461" t="s">
        <v>174</v>
      </c>
    </row>
    <row r="5809" spans="1:5" ht="40.5" x14ac:dyDescent="0.25">
      <c r="A5809" s="508">
        <v>101257</v>
      </c>
      <c r="B5809" s="509" t="s">
        <v>7659</v>
      </c>
      <c r="C5809" s="508" t="s">
        <v>163</v>
      </c>
      <c r="D5809" s="508">
        <v>20.58</v>
      </c>
      <c r="E5809" s="461" t="s">
        <v>174</v>
      </c>
    </row>
    <row r="5810" spans="1:5" ht="40.5" x14ac:dyDescent="0.25">
      <c r="A5810" s="508">
        <v>101258</v>
      </c>
      <c r="B5810" s="509" t="s">
        <v>7660</v>
      </c>
      <c r="C5810" s="508" t="s">
        <v>163</v>
      </c>
      <c r="D5810" s="508">
        <v>23.88</v>
      </c>
      <c r="E5810" s="461" t="s">
        <v>174</v>
      </c>
    </row>
    <row r="5811" spans="1:5" ht="40.5" x14ac:dyDescent="0.25">
      <c r="A5811" s="508">
        <v>101259</v>
      </c>
      <c r="B5811" s="509" t="s">
        <v>7661</v>
      </c>
      <c r="C5811" s="508" t="s">
        <v>163</v>
      </c>
      <c r="D5811" s="508">
        <v>26.54</v>
      </c>
      <c r="E5811" s="461" t="s">
        <v>174</v>
      </c>
    </row>
    <row r="5812" spans="1:5" ht="40.5" x14ac:dyDescent="0.25">
      <c r="A5812" s="508">
        <v>101260</v>
      </c>
      <c r="B5812" s="509" t="s">
        <v>7662</v>
      </c>
      <c r="C5812" s="508" t="s">
        <v>163</v>
      </c>
      <c r="D5812" s="508">
        <v>33.19</v>
      </c>
      <c r="E5812" s="461" t="s">
        <v>174</v>
      </c>
    </row>
    <row r="5813" spans="1:5" ht="40.5" x14ac:dyDescent="0.25">
      <c r="A5813" s="508">
        <v>101261</v>
      </c>
      <c r="B5813" s="509" t="s">
        <v>7663</v>
      </c>
      <c r="C5813" s="508" t="s">
        <v>163</v>
      </c>
      <c r="D5813" s="508">
        <v>18.489999999999998</v>
      </c>
      <c r="E5813" s="461" t="s">
        <v>174</v>
      </c>
    </row>
    <row r="5814" spans="1:5" ht="40.5" x14ac:dyDescent="0.25">
      <c r="A5814" s="508">
        <v>101262</v>
      </c>
      <c r="B5814" s="509" t="s">
        <v>7664</v>
      </c>
      <c r="C5814" s="508" t="s">
        <v>163</v>
      </c>
      <c r="D5814" s="508">
        <v>19.5</v>
      </c>
      <c r="E5814" s="461" t="s">
        <v>174</v>
      </c>
    </row>
    <row r="5815" spans="1:5" ht="40.5" x14ac:dyDescent="0.25">
      <c r="A5815" s="508">
        <v>101263</v>
      </c>
      <c r="B5815" s="509" t="s">
        <v>7665</v>
      </c>
      <c r="C5815" s="508" t="s">
        <v>163</v>
      </c>
      <c r="D5815" s="508">
        <v>22.57</v>
      </c>
      <c r="E5815" s="461" t="s">
        <v>174</v>
      </c>
    </row>
    <row r="5816" spans="1:5" ht="40.5" x14ac:dyDescent="0.25">
      <c r="A5816" s="508">
        <v>101264</v>
      </c>
      <c r="B5816" s="509" t="s">
        <v>7666</v>
      </c>
      <c r="C5816" s="508" t="s">
        <v>163</v>
      </c>
      <c r="D5816" s="508">
        <v>25.01</v>
      </c>
      <c r="E5816" s="461" t="s">
        <v>174</v>
      </c>
    </row>
    <row r="5817" spans="1:5" ht="40.5" x14ac:dyDescent="0.25">
      <c r="A5817" s="508">
        <v>101265</v>
      </c>
      <c r="B5817" s="509" t="s">
        <v>7667</v>
      </c>
      <c r="C5817" s="508" t="s">
        <v>163</v>
      </c>
      <c r="D5817" s="508">
        <v>31.17</v>
      </c>
      <c r="E5817" s="461" t="s">
        <v>174</v>
      </c>
    </row>
    <row r="5818" spans="1:5" ht="40.5" x14ac:dyDescent="0.25">
      <c r="A5818" s="508">
        <v>101266</v>
      </c>
      <c r="B5818" s="509" t="s">
        <v>7668</v>
      </c>
      <c r="C5818" s="508" t="s">
        <v>163</v>
      </c>
      <c r="D5818" s="508">
        <v>11.24</v>
      </c>
      <c r="E5818" s="461" t="s">
        <v>174</v>
      </c>
    </row>
    <row r="5819" spans="1:5" ht="40.5" x14ac:dyDescent="0.25">
      <c r="A5819" s="508">
        <v>101267</v>
      </c>
      <c r="B5819" s="509" t="s">
        <v>7669</v>
      </c>
      <c r="C5819" s="508" t="s">
        <v>163</v>
      </c>
      <c r="D5819" s="508">
        <v>10.82</v>
      </c>
      <c r="E5819" s="461" t="s">
        <v>174</v>
      </c>
    </row>
    <row r="5820" spans="1:5" ht="40.5" x14ac:dyDescent="0.25">
      <c r="A5820" s="508">
        <v>101268</v>
      </c>
      <c r="B5820" s="509" t="s">
        <v>7670</v>
      </c>
      <c r="C5820" s="508" t="s">
        <v>163</v>
      </c>
      <c r="D5820" s="508">
        <v>17.739999999999998</v>
      </c>
      <c r="E5820" s="461" t="s">
        <v>174</v>
      </c>
    </row>
    <row r="5821" spans="1:5" ht="40.5" x14ac:dyDescent="0.25">
      <c r="A5821" s="508">
        <v>101269</v>
      </c>
      <c r="B5821" s="509" t="s">
        <v>7671</v>
      </c>
      <c r="C5821" s="508" t="s">
        <v>163</v>
      </c>
      <c r="D5821" s="508">
        <v>19.760000000000002</v>
      </c>
      <c r="E5821" s="461" t="s">
        <v>174</v>
      </c>
    </row>
    <row r="5822" spans="1:5" ht="40.5" x14ac:dyDescent="0.25">
      <c r="A5822" s="508">
        <v>101270</v>
      </c>
      <c r="B5822" s="509" t="s">
        <v>7672</v>
      </c>
      <c r="C5822" s="508" t="s">
        <v>163</v>
      </c>
      <c r="D5822" s="508">
        <v>22.89</v>
      </c>
      <c r="E5822" s="461" t="s">
        <v>174</v>
      </c>
    </row>
    <row r="5823" spans="1:5" ht="40.5" x14ac:dyDescent="0.25">
      <c r="A5823" s="508">
        <v>101271</v>
      </c>
      <c r="B5823" s="509" t="s">
        <v>7673</v>
      </c>
      <c r="C5823" s="508" t="s">
        <v>163</v>
      </c>
      <c r="D5823" s="508">
        <v>25.4</v>
      </c>
      <c r="E5823" s="461" t="s">
        <v>174</v>
      </c>
    </row>
    <row r="5824" spans="1:5" ht="40.5" x14ac:dyDescent="0.25">
      <c r="A5824" s="508">
        <v>101272</v>
      </c>
      <c r="B5824" s="509" t="s">
        <v>7674</v>
      </c>
      <c r="C5824" s="508" t="s">
        <v>163</v>
      </c>
      <c r="D5824" s="508">
        <v>31.69</v>
      </c>
      <c r="E5824" s="461" t="s">
        <v>174</v>
      </c>
    </row>
    <row r="5825" spans="1:5" ht="40.5" x14ac:dyDescent="0.25">
      <c r="A5825" s="508">
        <v>101273</v>
      </c>
      <c r="B5825" s="509" t="s">
        <v>7675</v>
      </c>
      <c r="C5825" s="508" t="s">
        <v>163</v>
      </c>
      <c r="D5825" s="508">
        <v>16.95</v>
      </c>
      <c r="E5825" s="461" t="s">
        <v>174</v>
      </c>
    </row>
    <row r="5826" spans="1:5" ht="40.5" x14ac:dyDescent="0.25">
      <c r="A5826" s="508">
        <v>101274</v>
      </c>
      <c r="B5826" s="509" t="s">
        <v>7676</v>
      </c>
      <c r="C5826" s="508" t="s">
        <v>163</v>
      </c>
      <c r="D5826" s="508">
        <v>18.75</v>
      </c>
      <c r="E5826" s="461" t="s">
        <v>174</v>
      </c>
    </row>
    <row r="5827" spans="1:5" ht="40.5" x14ac:dyDescent="0.25">
      <c r="A5827" s="508">
        <v>101275</v>
      </c>
      <c r="B5827" s="509" t="s">
        <v>7677</v>
      </c>
      <c r="C5827" s="508" t="s">
        <v>163</v>
      </c>
      <c r="D5827" s="508">
        <v>21.7</v>
      </c>
      <c r="E5827" s="461" t="s">
        <v>174</v>
      </c>
    </row>
    <row r="5828" spans="1:5" ht="40.5" x14ac:dyDescent="0.25">
      <c r="A5828" s="508">
        <v>101276</v>
      </c>
      <c r="B5828" s="509" t="s">
        <v>7678</v>
      </c>
      <c r="C5828" s="508" t="s">
        <v>163</v>
      </c>
      <c r="D5828" s="508">
        <v>23.99</v>
      </c>
      <c r="E5828" s="461" t="s">
        <v>174</v>
      </c>
    </row>
    <row r="5829" spans="1:5" ht="40.5" x14ac:dyDescent="0.25">
      <c r="A5829" s="508">
        <v>101277</v>
      </c>
      <c r="B5829" s="509" t="s">
        <v>7679</v>
      </c>
      <c r="C5829" s="508" t="s">
        <v>163</v>
      </c>
      <c r="D5829" s="508">
        <v>30.67</v>
      </c>
      <c r="E5829" s="461" t="s">
        <v>174</v>
      </c>
    </row>
    <row r="5830" spans="1:5" ht="27" x14ac:dyDescent="0.25">
      <c r="A5830" s="508">
        <v>102354</v>
      </c>
      <c r="B5830" s="509" t="s">
        <v>7680</v>
      </c>
      <c r="C5830" s="508" t="s">
        <v>163</v>
      </c>
      <c r="D5830" s="508">
        <v>158.12</v>
      </c>
      <c r="E5830" s="461" t="s">
        <v>174</v>
      </c>
    </row>
    <row r="5831" spans="1:5" ht="27" x14ac:dyDescent="0.25">
      <c r="A5831" s="508">
        <v>102355</v>
      </c>
      <c r="B5831" s="509" t="s">
        <v>7681</v>
      </c>
      <c r="C5831" s="508" t="s">
        <v>163</v>
      </c>
      <c r="D5831" s="508">
        <v>186.76</v>
      </c>
      <c r="E5831" s="461" t="s">
        <v>174</v>
      </c>
    </row>
    <row r="5832" spans="1:5" ht="27" x14ac:dyDescent="0.25">
      <c r="A5832" s="508">
        <v>102360</v>
      </c>
      <c r="B5832" s="509" t="s">
        <v>3596</v>
      </c>
      <c r="C5832" s="508" t="s">
        <v>163</v>
      </c>
      <c r="D5832" s="508">
        <v>23.81</v>
      </c>
      <c r="E5832" s="461" t="s">
        <v>174</v>
      </c>
    </row>
    <row r="5833" spans="1:5" ht="27" x14ac:dyDescent="0.25">
      <c r="A5833" s="508">
        <v>102361</v>
      </c>
      <c r="B5833" s="509" t="s">
        <v>3597</v>
      </c>
      <c r="C5833" s="508" t="s">
        <v>163</v>
      </c>
      <c r="D5833" s="508">
        <v>35</v>
      </c>
      <c r="E5833" s="461" t="s">
        <v>174</v>
      </c>
    </row>
    <row r="5834" spans="1:5" ht="40.5" x14ac:dyDescent="0.25">
      <c r="A5834" s="508">
        <v>90082</v>
      </c>
      <c r="B5834" s="509" t="s">
        <v>4174</v>
      </c>
      <c r="C5834" s="508" t="s">
        <v>163</v>
      </c>
      <c r="D5834" s="508">
        <v>11.25</v>
      </c>
      <c r="E5834" s="461" t="s">
        <v>174</v>
      </c>
    </row>
    <row r="5835" spans="1:5" ht="40.5" x14ac:dyDescent="0.25">
      <c r="A5835" s="508">
        <v>90084</v>
      </c>
      <c r="B5835" s="509" t="s">
        <v>4175</v>
      </c>
      <c r="C5835" s="508" t="s">
        <v>163</v>
      </c>
      <c r="D5835" s="508">
        <v>10.89</v>
      </c>
      <c r="E5835" s="461" t="s">
        <v>174</v>
      </c>
    </row>
    <row r="5836" spans="1:5" ht="40.5" x14ac:dyDescent="0.25">
      <c r="A5836" s="508">
        <v>90086</v>
      </c>
      <c r="B5836" s="509" t="s">
        <v>4176</v>
      </c>
      <c r="C5836" s="508" t="s">
        <v>163</v>
      </c>
      <c r="D5836" s="508">
        <v>10.29</v>
      </c>
      <c r="E5836" s="461" t="s">
        <v>174</v>
      </c>
    </row>
    <row r="5837" spans="1:5" ht="40.5" x14ac:dyDescent="0.25">
      <c r="A5837" s="508">
        <v>90087</v>
      </c>
      <c r="B5837" s="509" t="s">
        <v>4177</v>
      </c>
      <c r="C5837" s="508" t="s">
        <v>163</v>
      </c>
      <c r="D5837" s="508">
        <v>9.3800000000000008</v>
      </c>
      <c r="E5837" s="461" t="s">
        <v>174</v>
      </c>
    </row>
    <row r="5838" spans="1:5" ht="40.5" x14ac:dyDescent="0.25">
      <c r="A5838" s="508">
        <v>90090</v>
      </c>
      <c r="B5838" s="509" t="s">
        <v>4178</v>
      </c>
      <c r="C5838" s="508" t="s">
        <v>163</v>
      </c>
      <c r="D5838" s="508">
        <v>9.17</v>
      </c>
      <c r="E5838" s="461" t="s">
        <v>174</v>
      </c>
    </row>
    <row r="5839" spans="1:5" ht="40.5" x14ac:dyDescent="0.25">
      <c r="A5839" s="508">
        <v>90091</v>
      </c>
      <c r="B5839" s="509" t="s">
        <v>4179</v>
      </c>
      <c r="C5839" s="508" t="s">
        <v>163</v>
      </c>
      <c r="D5839" s="508">
        <v>6.07</v>
      </c>
      <c r="E5839" s="461" t="s">
        <v>174</v>
      </c>
    </row>
    <row r="5840" spans="1:5" ht="40.5" x14ac:dyDescent="0.25">
      <c r="A5840" s="508">
        <v>90092</v>
      </c>
      <c r="B5840" s="509" t="s">
        <v>4180</v>
      </c>
      <c r="C5840" s="508" t="s">
        <v>163</v>
      </c>
      <c r="D5840" s="508">
        <v>6</v>
      </c>
      <c r="E5840" s="461" t="s">
        <v>174</v>
      </c>
    </row>
    <row r="5841" spans="1:5" ht="40.5" x14ac:dyDescent="0.25">
      <c r="A5841" s="508">
        <v>90094</v>
      </c>
      <c r="B5841" s="509" t="s">
        <v>4181</v>
      </c>
      <c r="C5841" s="508" t="s">
        <v>163</v>
      </c>
      <c r="D5841" s="508">
        <v>5.68</v>
      </c>
      <c r="E5841" s="461" t="s">
        <v>174</v>
      </c>
    </row>
    <row r="5842" spans="1:5" ht="40.5" x14ac:dyDescent="0.25">
      <c r="A5842" s="508">
        <v>90095</v>
      </c>
      <c r="B5842" s="509" t="s">
        <v>4182</v>
      </c>
      <c r="C5842" s="508" t="s">
        <v>163</v>
      </c>
      <c r="D5842" s="508">
        <v>5.16</v>
      </c>
      <c r="E5842" s="461" t="s">
        <v>174</v>
      </c>
    </row>
    <row r="5843" spans="1:5" ht="40.5" x14ac:dyDescent="0.25">
      <c r="A5843" s="508">
        <v>90098</v>
      </c>
      <c r="B5843" s="509" t="s">
        <v>4183</v>
      </c>
      <c r="C5843" s="508" t="s">
        <v>163</v>
      </c>
      <c r="D5843" s="508">
        <v>5.0599999999999996</v>
      </c>
      <c r="E5843" s="461" t="s">
        <v>174</v>
      </c>
    </row>
    <row r="5844" spans="1:5" ht="40.5" x14ac:dyDescent="0.25">
      <c r="A5844" s="508">
        <v>90099</v>
      </c>
      <c r="B5844" s="509" t="s">
        <v>4184</v>
      </c>
      <c r="C5844" s="508" t="s">
        <v>163</v>
      </c>
      <c r="D5844" s="508">
        <v>15.54</v>
      </c>
      <c r="E5844" s="461" t="s">
        <v>174</v>
      </c>
    </row>
    <row r="5845" spans="1:5" ht="40.5" x14ac:dyDescent="0.25">
      <c r="A5845" s="508">
        <v>90100</v>
      </c>
      <c r="B5845" s="509" t="s">
        <v>4185</v>
      </c>
      <c r="C5845" s="508" t="s">
        <v>163</v>
      </c>
      <c r="D5845" s="508">
        <v>13.2</v>
      </c>
      <c r="E5845" s="461" t="s">
        <v>174</v>
      </c>
    </row>
    <row r="5846" spans="1:5" ht="40.5" x14ac:dyDescent="0.25">
      <c r="A5846" s="508">
        <v>90101</v>
      </c>
      <c r="B5846" s="509" t="s">
        <v>4186</v>
      </c>
      <c r="C5846" s="508" t="s">
        <v>163</v>
      </c>
      <c r="D5846" s="508">
        <v>13.03</v>
      </c>
      <c r="E5846" s="461" t="s">
        <v>174</v>
      </c>
    </row>
    <row r="5847" spans="1:5" ht="40.5" x14ac:dyDescent="0.25">
      <c r="A5847" s="508">
        <v>90102</v>
      </c>
      <c r="B5847" s="509" t="s">
        <v>4187</v>
      </c>
      <c r="C5847" s="508" t="s">
        <v>163</v>
      </c>
      <c r="D5847" s="508">
        <v>11.86</v>
      </c>
      <c r="E5847" s="461" t="s">
        <v>174</v>
      </c>
    </row>
    <row r="5848" spans="1:5" ht="40.5" x14ac:dyDescent="0.25">
      <c r="A5848" s="508">
        <v>90105</v>
      </c>
      <c r="B5848" s="509" t="s">
        <v>4188</v>
      </c>
      <c r="C5848" s="508" t="s">
        <v>163</v>
      </c>
      <c r="D5848" s="508">
        <v>8.57</v>
      </c>
      <c r="E5848" s="461" t="s">
        <v>174</v>
      </c>
    </row>
    <row r="5849" spans="1:5" ht="40.5" x14ac:dyDescent="0.25">
      <c r="A5849" s="508">
        <v>90106</v>
      </c>
      <c r="B5849" s="509" t="s">
        <v>4189</v>
      </c>
      <c r="C5849" s="508" t="s">
        <v>163</v>
      </c>
      <c r="D5849" s="508">
        <v>7.28</v>
      </c>
      <c r="E5849" s="461" t="s">
        <v>174</v>
      </c>
    </row>
    <row r="5850" spans="1:5" ht="54" x14ac:dyDescent="0.25">
      <c r="A5850" s="508">
        <v>90107</v>
      </c>
      <c r="B5850" s="509" t="s">
        <v>4190</v>
      </c>
      <c r="C5850" s="508" t="s">
        <v>163</v>
      </c>
      <c r="D5850" s="508">
        <v>7.19</v>
      </c>
      <c r="E5850" s="461" t="s">
        <v>174</v>
      </c>
    </row>
    <row r="5851" spans="1:5" ht="40.5" x14ac:dyDescent="0.25">
      <c r="A5851" s="508">
        <v>90108</v>
      </c>
      <c r="B5851" s="509" t="s">
        <v>4191</v>
      </c>
      <c r="C5851" s="508" t="s">
        <v>163</v>
      </c>
      <c r="D5851" s="508">
        <v>6.54</v>
      </c>
      <c r="E5851" s="461" t="s">
        <v>174</v>
      </c>
    </row>
    <row r="5852" spans="1:5" ht="15" x14ac:dyDescent="0.25">
      <c r="A5852" s="508">
        <v>93358</v>
      </c>
      <c r="B5852" s="509" t="s">
        <v>3530</v>
      </c>
      <c r="C5852" s="508" t="s">
        <v>163</v>
      </c>
      <c r="D5852" s="508">
        <v>92.57</v>
      </c>
      <c r="E5852" s="461" t="s">
        <v>174</v>
      </c>
    </row>
    <row r="5853" spans="1:5" ht="40.5" x14ac:dyDescent="0.25">
      <c r="A5853" s="508">
        <v>102276</v>
      </c>
      <c r="B5853" s="509" t="s">
        <v>4192</v>
      </c>
      <c r="C5853" s="508" t="s">
        <v>163</v>
      </c>
      <c r="D5853" s="508">
        <v>12.64</v>
      </c>
      <c r="E5853" s="461" t="s">
        <v>174</v>
      </c>
    </row>
    <row r="5854" spans="1:5" ht="40.5" x14ac:dyDescent="0.25">
      <c r="A5854" s="508">
        <v>102277</v>
      </c>
      <c r="B5854" s="509" t="s">
        <v>4193</v>
      </c>
      <c r="C5854" s="508" t="s">
        <v>163</v>
      </c>
      <c r="D5854" s="508">
        <v>9.98</v>
      </c>
      <c r="E5854" s="461" t="s">
        <v>174</v>
      </c>
    </row>
    <row r="5855" spans="1:5" ht="40.5" x14ac:dyDescent="0.25">
      <c r="A5855" s="508">
        <v>102278</v>
      </c>
      <c r="B5855" s="509" t="s">
        <v>4194</v>
      </c>
      <c r="C5855" s="508" t="s">
        <v>163</v>
      </c>
      <c r="D5855" s="508">
        <v>9.77</v>
      </c>
      <c r="E5855" s="461" t="s">
        <v>174</v>
      </c>
    </row>
    <row r="5856" spans="1:5" ht="40.5" x14ac:dyDescent="0.25">
      <c r="A5856" s="508">
        <v>102279</v>
      </c>
      <c r="B5856" s="509" t="s">
        <v>4195</v>
      </c>
      <c r="C5856" s="508" t="s">
        <v>163</v>
      </c>
      <c r="D5856" s="508">
        <v>6.97</v>
      </c>
      <c r="E5856" s="461" t="s">
        <v>174</v>
      </c>
    </row>
    <row r="5857" spans="1:5" ht="40.5" x14ac:dyDescent="0.25">
      <c r="A5857" s="508">
        <v>102280</v>
      </c>
      <c r="B5857" s="509" t="s">
        <v>4196</v>
      </c>
      <c r="C5857" s="508" t="s">
        <v>163</v>
      </c>
      <c r="D5857" s="508">
        <v>5.51</v>
      </c>
      <c r="E5857" s="461" t="s">
        <v>174</v>
      </c>
    </row>
    <row r="5858" spans="1:5" ht="40.5" x14ac:dyDescent="0.25">
      <c r="A5858" s="508">
        <v>102281</v>
      </c>
      <c r="B5858" s="509" t="s">
        <v>4197</v>
      </c>
      <c r="C5858" s="508" t="s">
        <v>163</v>
      </c>
      <c r="D5858" s="508">
        <v>5.39</v>
      </c>
      <c r="E5858" s="461" t="s">
        <v>174</v>
      </c>
    </row>
    <row r="5859" spans="1:5" ht="40.5" x14ac:dyDescent="0.25">
      <c r="A5859" s="508">
        <v>102282</v>
      </c>
      <c r="B5859" s="509" t="s">
        <v>4198</v>
      </c>
      <c r="C5859" s="508" t="s">
        <v>163</v>
      </c>
      <c r="D5859" s="508">
        <v>14.05</v>
      </c>
      <c r="E5859" s="461" t="s">
        <v>174</v>
      </c>
    </row>
    <row r="5860" spans="1:5" ht="40.5" x14ac:dyDescent="0.25">
      <c r="A5860" s="508">
        <v>102283</v>
      </c>
      <c r="B5860" s="509" t="s">
        <v>4199</v>
      </c>
      <c r="C5860" s="508" t="s">
        <v>163</v>
      </c>
      <c r="D5860" s="508">
        <v>12.48</v>
      </c>
      <c r="E5860" s="461" t="s">
        <v>174</v>
      </c>
    </row>
    <row r="5861" spans="1:5" ht="40.5" x14ac:dyDescent="0.25">
      <c r="A5861" s="508">
        <v>102284</v>
      </c>
      <c r="B5861" s="509" t="s">
        <v>4200</v>
      </c>
      <c r="C5861" s="508" t="s">
        <v>163</v>
      </c>
      <c r="D5861" s="508">
        <v>12.09</v>
      </c>
      <c r="E5861" s="461" t="s">
        <v>174</v>
      </c>
    </row>
    <row r="5862" spans="1:5" ht="40.5" x14ac:dyDescent="0.25">
      <c r="A5862" s="508">
        <v>102285</v>
      </c>
      <c r="B5862" s="509" t="s">
        <v>4201</v>
      </c>
      <c r="C5862" s="508" t="s">
        <v>163</v>
      </c>
      <c r="D5862" s="508">
        <v>11.42</v>
      </c>
      <c r="E5862" s="461" t="s">
        <v>174</v>
      </c>
    </row>
    <row r="5863" spans="1:5" ht="40.5" x14ac:dyDescent="0.25">
      <c r="A5863" s="508">
        <v>102286</v>
      </c>
      <c r="B5863" s="509" t="s">
        <v>4202</v>
      </c>
      <c r="C5863" s="508" t="s">
        <v>163</v>
      </c>
      <c r="D5863" s="508">
        <v>11.11</v>
      </c>
      <c r="E5863" s="461" t="s">
        <v>174</v>
      </c>
    </row>
    <row r="5864" spans="1:5" ht="40.5" x14ac:dyDescent="0.25">
      <c r="A5864" s="508">
        <v>102287</v>
      </c>
      <c r="B5864" s="509" t="s">
        <v>4203</v>
      </c>
      <c r="C5864" s="508" t="s">
        <v>163</v>
      </c>
      <c r="D5864" s="508">
        <v>10.86</v>
      </c>
      <c r="E5864" s="461" t="s">
        <v>174</v>
      </c>
    </row>
    <row r="5865" spans="1:5" ht="40.5" x14ac:dyDescent="0.25">
      <c r="A5865" s="508">
        <v>102288</v>
      </c>
      <c r="B5865" s="509" t="s">
        <v>4204</v>
      </c>
      <c r="C5865" s="508" t="s">
        <v>163</v>
      </c>
      <c r="D5865" s="508">
        <v>10.44</v>
      </c>
      <c r="E5865" s="461" t="s">
        <v>174</v>
      </c>
    </row>
    <row r="5866" spans="1:5" ht="40.5" x14ac:dyDescent="0.25">
      <c r="A5866" s="508">
        <v>102289</v>
      </c>
      <c r="B5866" s="509" t="s">
        <v>4205</v>
      </c>
      <c r="C5866" s="508" t="s">
        <v>163</v>
      </c>
      <c r="D5866" s="508">
        <v>10.19</v>
      </c>
      <c r="E5866" s="461" t="s">
        <v>174</v>
      </c>
    </row>
    <row r="5867" spans="1:5" ht="40.5" x14ac:dyDescent="0.25">
      <c r="A5867" s="508">
        <v>102290</v>
      </c>
      <c r="B5867" s="509" t="s">
        <v>4206</v>
      </c>
      <c r="C5867" s="508" t="s">
        <v>163</v>
      </c>
      <c r="D5867" s="508">
        <v>7.74</v>
      </c>
      <c r="E5867" s="461" t="s">
        <v>174</v>
      </c>
    </row>
    <row r="5868" spans="1:5" ht="40.5" x14ac:dyDescent="0.25">
      <c r="A5868" s="508">
        <v>102291</v>
      </c>
      <c r="B5868" s="509" t="s">
        <v>4207</v>
      </c>
      <c r="C5868" s="508" t="s">
        <v>163</v>
      </c>
      <c r="D5868" s="508">
        <v>6.89</v>
      </c>
      <c r="E5868" s="461" t="s">
        <v>174</v>
      </c>
    </row>
    <row r="5869" spans="1:5" ht="40.5" x14ac:dyDescent="0.25">
      <c r="A5869" s="508">
        <v>102292</v>
      </c>
      <c r="B5869" s="509" t="s">
        <v>4208</v>
      </c>
      <c r="C5869" s="508" t="s">
        <v>163</v>
      </c>
      <c r="D5869" s="508">
        <v>6.66</v>
      </c>
      <c r="E5869" s="461" t="s">
        <v>174</v>
      </c>
    </row>
    <row r="5870" spans="1:5" ht="40.5" x14ac:dyDescent="0.25">
      <c r="A5870" s="508">
        <v>102293</v>
      </c>
      <c r="B5870" s="509" t="s">
        <v>4209</v>
      </c>
      <c r="C5870" s="508" t="s">
        <v>163</v>
      </c>
      <c r="D5870" s="508">
        <v>6.32</v>
      </c>
      <c r="E5870" s="461" t="s">
        <v>174</v>
      </c>
    </row>
    <row r="5871" spans="1:5" ht="40.5" x14ac:dyDescent="0.25">
      <c r="A5871" s="508">
        <v>102294</v>
      </c>
      <c r="B5871" s="509" t="s">
        <v>4210</v>
      </c>
      <c r="C5871" s="508" t="s">
        <v>163</v>
      </c>
      <c r="D5871" s="508">
        <v>6.14</v>
      </c>
      <c r="E5871" s="461" t="s">
        <v>174</v>
      </c>
    </row>
    <row r="5872" spans="1:5" ht="40.5" x14ac:dyDescent="0.25">
      <c r="A5872" s="508">
        <v>102295</v>
      </c>
      <c r="B5872" s="509" t="s">
        <v>4211</v>
      </c>
      <c r="C5872" s="508" t="s">
        <v>163</v>
      </c>
      <c r="D5872" s="508">
        <v>5.99</v>
      </c>
      <c r="E5872" s="461" t="s">
        <v>174</v>
      </c>
    </row>
    <row r="5873" spans="1:5" ht="40.5" x14ac:dyDescent="0.25">
      <c r="A5873" s="508">
        <v>102296</v>
      </c>
      <c r="B5873" s="509" t="s">
        <v>4212</v>
      </c>
      <c r="C5873" s="508" t="s">
        <v>163</v>
      </c>
      <c r="D5873" s="508">
        <v>5.75</v>
      </c>
      <c r="E5873" s="461" t="s">
        <v>174</v>
      </c>
    </row>
    <row r="5874" spans="1:5" ht="40.5" x14ac:dyDescent="0.25">
      <c r="A5874" s="508">
        <v>102297</v>
      </c>
      <c r="B5874" s="509" t="s">
        <v>4213</v>
      </c>
      <c r="C5874" s="508" t="s">
        <v>163</v>
      </c>
      <c r="D5874" s="508">
        <v>5.61</v>
      </c>
      <c r="E5874" s="461" t="s">
        <v>174</v>
      </c>
    </row>
    <row r="5875" spans="1:5" ht="40.5" x14ac:dyDescent="0.25">
      <c r="A5875" s="508">
        <v>102298</v>
      </c>
      <c r="B5875" s="509" t="s">
        <v>4214</v>
      </c>
      <c r="C5875" s="508" t="s">
        <v>163</v>
      </c>
      <c r="D5875" s="508">
        <v>17.27</v>
      </c>
      <c r="E5875" s="461" t="s">
        <v>174</v>
      </c>
    </row>
    <row r="5876" spans="1:5" ht="40.5" x14ac:dyDescent="0.25">
      <c r="A5876" s="508">
        <v>102299</v>
      </c>
      <c r="B5876" s="509" t="s">
        <v>4215</v>
      </c>
      <c r="C5876" s="508" t="s">
        <v>163</v>
      </c>
      <c r="D5876" s="508">
        <v>14.66</v>
      </c>
      <c r="E5876" s="461" t="s">
        <v>174</v>
      </c>
    </row>
    <row r="5877" spans="1:5" ht="40.5" x14ac:dyDescent="0.25">
      <c r="A5877" s="508">
        <v>102300</v>
      </c>
      <c r="B5877" s="509" t="s">
        <v>4216</v>
      </c>
      <c r="C5877" s="508" t="s">
        <v>163</v>
      </c>
      <c r="D5877" s="508">
        <v>14.48</v>
      </c>
      <c r="E5877" s="461" t="s">
        <v>174</v>
      </c>
    </row>
    <row r="5878" spans="1:5" ht="40.5" x14ac:dyDescent="0.25">
      <c r="A5878" s="508">
        <v>102301</v>
      </c>
      <c r="B5878" s="509" t="s">
        <v>4217</v>
      </c>
      <c r="C5878" s="508" t="s">
        <v>163</v>
      </c>
      <c r="D5878" s="508">
        <v>13.16</v>
      </c>
      <c r="E5878" s="461" t="s">
        <v>174</v>
      </c>
    </row>
    <row r="5879" spans="1:5" ht="40.5" x14ac:dyDescent="0.25">
      <c r="A5879" s="508">
        <v>102302</v>
      </c>
      <c r="B5879" s="509" t="s">
        <v>4218</v>
      </c>
      <c r="C5879" s="508" t="s">
        <v>163</v>
      </c>
      <c r="D5879" s="508">
        <v>9.52</v>
      </c>
      <c r="E5879" s="461" t="s">
        <v>174</v>
      </c>
    </row>
    <row r="5880" spans="1:5" ht="40.5" x14ac:dyDescent="0.25">
      <c r="A5880" s="508">
        <v>102303</v>
      </c>
      <c r="B5880" s="509" t="s">
        <v>4219</v>
      </c>
      <c r="C5880" s="508" t="s">
        <v>163</v>
      </c>
      <c r="D5880" s="508">
        <v>8.09</v>
      </c>
      <c r="E5880" s="461" t="s">
        <v>174</v>
      </c>
    </row>
    <row r="5881" spans="1:5" ht="40.5" x14ac:dyDescent="0.25">
      <c r="A5881" s="508">
        <v>102304</v>
      </c>
      <c r="B5881" s="509" t="s">
        <v>4220</v>
      </c>
      <c r="C5881" s="508" t="s">
        <v>163</v>
      </c>
      <c r="D5881" s="508">
        <v>7.99</v>
      </c>
      <c r="E5881" s="461" t="s">
        <v>174</v>
      </c>
    </row>
    <row r="5882" spans="1:5" ht="40.5" x14ac:dyDescent="0.25">
      <c r="A5882" s="508">
        <v>102305</v>
      </c>
      <c r="B5882" s="509" t="s">
        <v>4221</v>
      </c>
      <c r="C5882" s="508" t="s">
        <v>163</v>
      </c>
      <c r="D5882" s="508">
        <v>7.27</v>
      </c>
      <c r="E5882" s="461" t="s">
        <v>174</v>
      </c>
    </row>
    <row r="5883" spans="1:5" ht="40.5" x14ac:dyDescent="0.25">
      <c r="A5883" s="508">
        <v>102306</v>
      </c>
      <c r="B5883" s="509" t="s">
        <v>4222</v>
      </c>
      <c r="C5883" s="508" t="s">
        <v>163</v>
      </c>
      <c r="D5883" s="508">
        <v>15.83</v>
      </c>
      <c r="E5883" s="461" t="s">
        <v>174</v>
      </c>
    </row>
    <row r="5884" spans="1:5" ht="40.5" x14ac:dyDescent="0.25">
      <c r="A5884" s="508">
        <v>102307</v>
      </c>
      <c r="B5884" s="509" t="s">
        <v>4223</v>
      </c>
      <c r="C5884" s="508" t="s">
        <v>163</v>
      </c>
      <c r="D5884" s="508">
        <v>14.05</v>
      </c>
      <c r="E5884" s="461" t="s">
        <v>174</v>
      </c>
    </row>
    <row r="5885" spans="1:5" ht="40.5" x14ac:dyDescent="0.25">
      <c r="A5885" s="508">
        <v>102308</v>
      </c>
      <c r="B5885" s="509" t="s">
        <v>4224</v>
      </c>
      <c r="C5885" s="508" t="s">
        <v>163</v>
      </c>
      <c r="D5885" s="508">
        <v>13.62</v>
      </c>
      <c r="E5885" s="461" t="s">
        <v>174</v>
      </c>
    </row>
    <row r="5886" spans="1:5" ht="40.5" x14ac:dyDescent="0.25">
      <c r="A5886" s="508">
        <v>102309</v>
      </c>
      <c r="B5886" s="509" t="s">
        <v>4225</v>
      </c>
      <c r="C5886" s="508" t="s">
        <v>163</v>
      </c>
      <c r="D5886" s="508">
        <v>12.88</v>
      </c>
      <c r="E5886" s="461" t="s">
        <v>174</v>
      </c>
    </row>
    <row r="5887" spans="1:5" ht="40.5" x14ac:dyDescent="0.25">
      <c r="A5887" s="508">
        <v>102310</v>
      </c>
      <c r="B5887" s="509" t="s">
        <v>4226</v>
      </c>
      <c r="C5887" s="508" t="s">
        <v>163</v>
      </c>
      <c r="D5887" s="508">
        <v>12.5</v>
      </c>
      <c r="E5887" s="461" t="s">
        <v>174</v>
      </c>
    </row>
    <row r="5888" spans="1:5" ht="40.5" x14ac:dyDescent="0.25">
      <c r="A5888" s="508">
        <v>102311</v>
      </c>
      <c r="B5888" s="509" t="s">
        <v>4227</v>
      </c>
      <c r="C5888" s="508" t="s">
        <v>163</v>
      </c>
      <c r="D5888" s="508">
        <v>12.2</v>
      </c>
      <c r="E5888" s="461" t="s">
        <v>174</v>
      </c>
    </row>
    <row r="5889" spans="1:5" ht="40.5" x14ac:dyDescent="0.25">
      <c r="A5889" s="508">
        <v>102312</v>
      </c>
      <c r="B5889" s="509" t="s">
        <v>4228</v>
      </c>
      <c r="C5889" s="508" t="s">
        <v>163</v>
      </c>
      <c r="D5889" s="508">
        <v>11.73</v>
      </c>
      <c r="E5889" s="461" t="s">
        <v>174</v>
      </c>
    </row>
    <row r="5890" spans="1:5" ht="40.5" x14ac:dyDescent="0.25">
      <c r="A5890" s="508">
        <v>102313</v>
      </c>
      <c r="B5890" s="509" t="s">
        <v>4229</v>
      </c>
      <c r="C5890" s="508" t="s">
        <v>163</v>
      </c>
      <c r="D5890" s="508">
        <v>11.47</v>
      </c>
      <c r="E5890" s="461" t="s">
        <v>174</v>
      </c>
    </row>
    <row r="5891" spans="1:5" ht="40.5" x14ac:dyDescent="0.25">
      <c r="A5891" s="508">
        <v>102314</v>
      </c>
      <c r="B5891" s="509" t="s">
        <v>4230</v>
      </c>
      <c r="C5891" s="508" t="s">
        <v>163</v>
      </c>
      <c r="D5891" s="508">
        <v>8.73</v>
      </c>
      <c r="E5891" s="461" t="s">
        <v>174</v>
      </c>
    </row>
    <row r="5892" spans="1:5" ht="40.5" x14ac:dyDescent="0.25">
      <c r="A5892" s="508">
        <v>102315</v>
      </c>
      <c r="B5892" s="509" t="s">
        <v>4231</v>
      </c>
      <c r="C5892" s="508" t="s">
        <v>163</v>
      </c>
      <c r="D5892" s="508">
        <v>7.74</v>
      </c>
      <c r="E5892" s="461" t="s">
        <v>174</v>
      </c>
    </row>
    <row r="5893" spans="1:5" ht="40.5" x14ac:dyDescent="0.25">
      <c r="A5893" s="508">
        <v>102316</v>
      </c>
      <c r="B5893" s="509" t="s">
        <v>4232</v>
      </c>
      <c r="C5893" s="508" t="s">
        <v>163</v>
      </c>
      <c r="D5893" s="508">
        <v>7.51</v>
      </c>
      <c r="E5893" s="461" t="s">
        <v>174</v>
      </c>
    </row>
    <row r="5894" spans="1:5" ht="40.5" x14ac:dyDescent="0.25">
      <c r="A5894" s="508">
        <v>102317</v>
      </c>
      <c r="B5894" s="509" t="s">
        <v>4233</v>
      </c>
      <c r="C5894" s="508" t="s">
        <v>163</v>
      </c>
      <c r="D5894" s="508">
        <v>7.09</v>
      </c>
      <c r="E5894" s="461" t="s">
        <v>174</v>
      </c>
    </row>
    <row r="5895" spans="1:5" ht="40.5" x14ac:dyDescent="0.25">
      <c r="A5895" s="508">
        <v>102318</v>
      </c>
      <c r="B5895" s="509" t="s">
        <v>4234</v>
      </c>
      <c r="C5895" s="508" t="s">
        <v>163</v>
      </c>
      <c r="D5895" s="508">
        <v>6.91</v>
      </c>
      <c r="E5895" s="461" t="s">
        <v>174</v>
      </c>
    </row>
    <row r="5896" spans="1:5" ht="40.5" x14ac:dyDescent="0.25">
      <c r="A5896" s="508">
        <v>102319</v>
      </c>
      <c r="B5896" s="509" t="s">
        <v>4235</v>
      </c>
      <c r="C5896" s="508" t="s">
        <v>163</v>
      </c>
      <c r="D5896" s="508">
        <v>6.72</v>
      </c>
      <c r="E5896" s="461" t="s">
        <v>174</v>
      </c>
    </row>
    <row r="5897" spans="1:5" ht="40.5" x14ac:dyDescent="0.25">
      <c r="A5897" s="508">
        <v>102320</v>
      </c>
      <c r="B5897" s="509" t="s">
        <v>4236</v>
      </c>
      <c r="C5897" s="508" t="s">
        <v>163</v>
      </c>
      <c r="D5897" s="508">
        <v>6.46</v>
      </c>
      <c r="E5897" s="461" t="s">
        <v>174</v>
      </c>
    </row>
    <row r="5898" spans="1:5" ht="40.5" x14ac:dyDescent="0.25">
      <c r="A5898" s="508">
        <v>102321</v>
      </c>
      <c r="B5898" s="509" t="s">
        <v>4237</v>
      </c>
      <c r="C5898" s="508" t="s">
        <v>163</v>
      </c>
      <c r="D5898" s="508">
        <v>6.33</v>
      </c>
      <c r="E5898" s="461" t="s">
        <v>174</v>
      </c>
    </row>
    <row r="5899" spans="1:5" ht="40.5" x14ac:dyDescent="0.25">
      <c r="A5899" s="508">
        <v>102322</v>
      </c>
      <c r="B5899" s="509" t="s">
        <v>4238</v>
      </c>
      <c r="C5899" s="508" t="s">
        <v>163</v>
      </c>
      <c r="D5899" s="508">
        <v>19.43</v>
      </c>
      <c r="E5899" s="461" t="s">
        <v>174</v>
      </c>
    </row>
    <row r="5900" spans="1:5" ht="40.5" x14ac:dyDescent="0.25">
      <c r="A5900" s="508">
        <v>102323</v>
      </c>
      <c r="B5900" s="509" t="s">
        <v>4239</v>
      </c>
      <c r="C5900" s="508" t="s">
        <v>163</v>
      </c>
      <c r="D5900" s="508">
        <v>16.5</v>
      </c>
      <c r="E5900" s="461" t="s">
        <v>174</v>
      </c>
    </row>
    <row r="5901" spans="1:5" ht="40.5" x14ac:dyDescent="0.25">
      <c r="A5901" s="508">
        <v>102324</v>
      </c>
      <c r="B5901" s="509" t="s">
        <v>4240</v>
      </c>
      <c r="C5901" s="508" t="s">
        <v>163</v>
      </c>
      <c r="D5901" s="508">
        <v>16.3</v>
      </c>
      <c r="E5901" s="461" t="s">
        <v>174</v>
      </c>
    </row>
    <row r="5902" spans="1:5" ht="40.5" x14ac:dyDescent="0.25">
      <c r="A5902" s="508">
        <v>102325</v>
      </c>
      <c r="B5902" s="509" t="s">
        <v>4241</v>
      </c>
      <c r="C5902" s="508" t="s">
        <v>163</v>
      </c>
      <c r="D5902" s="508">
        <v>14.83</v>
      </c>
      <c r="E5902" s="461" t="s">
        <v>174</v>
      </c>
    </row>
    <row r="5903" spans="1:5" ht="40.5" x14ac:dyDescent="0.25">
      <c r="A5903" s="508">
        <v>102326</v>
      </c>
      <c r="B5903" s="509" t="s">
        <v>4242</v>
      </c>
      <c r="C5903" s="508" t="s">
        <v>163</v>
      </c>
      <c r="D5903" s="508">
        <v>10.72</v>
      </c>
      <c r="E5903" s="461" t="s">
        <v>174</v>
      </c>
    </row>
    <row r="5904" spans="1:5" ht="40.5" x14ac:dyDescent="0.25">
      <c r="A5904" s="508">
        <v>102327</v>
      </c>
      <c r="B5904" s="509" t="s">
        <v>4243</v>
      </c>
      <c r="C5904" s="508" t="s">
        <v>163</v>
      </c>
      <c r="D5904" s="508">
        <v>9.11</v>
      </c>
      <c r="E5904" s="461" t="s">
        <v>174</v>
      </c>
    </row>
    <row r="5905" spans="1:5" ht="40.5" x14ac:dyDescent="0.25">
      <c r="A5905" s="508">
        <v>102328</v>
      </c>
      <c r="B5905" s="509" t="s">
        <v>4244</v>
      </c>
      <c r="C5905" s="508" t="s">
        <v>163</v>
      </c>
      <c r="D5905" s="508">
        <v>8.98</v>
      </c>
      <c r="E5905" s="461" t="s">
        <v>174</v>
      </c>
    </row>
    <row r="5906" spans="1:5" ht="40.5" x14ac:dyDescent="0.25">
      <c r="A5906" s="508">
        <v>102329</v>
      </c>
      <c r="B5906" s="509" t="s">
        <v>4245</v>
      </c>
      <c r="C5906" s="508" t="s">
        <v>163</v>
      </c>
      <c r="D5906" s="508">
        <v>8.19</v>
      </c>
      <c r="E5906" s="461" t="s">
        <v>174</v>
      </c>
    </row>
    <row r="5907" spans="1:5" ht="40.5" x14ac:dyDescent="0.25">
      <c r="A5907" s="508">
        <v>94304</v>
      </c>
      <c r="B5907" s="509" t="s">
        <v>7682</v>
      </c>
      <c r="C5907" s="508" t="s">
        <v>163</v>
      </c>
      <c r="D5907" s="508">
        <v>74.239999999999995</v>
      </c>
      <c r="E5907" s="461" t="s">
        <v>174</v>
      </c>
    </row>
    <row r="5908" spans="1:5" ht="40.5" x14ac:dyDescent="0.25">
      <c r="A5908" s="508">
        <v>94306</v>
      </c>
      <c r="B5908" s="509" t="s">
        <v>7683</v>
      </c>
      <c r="C5908" s="508" t="s">
        <v>163</v>
      </c>
      <c r="D5908" s="508">
        <v>67.92</v>
      </c>
      <c r="E5908" s="461" t="s">
        <v>174</v>
      </c>
    </row>
    <row r="5909" spans="1:5" ht="40.5" x14ac:dyDescent="0.25">
      <c r="A5909" s="508">
        <v>94310</v>
      </c>
      <c r="B5909" s="509" t="s">
        <v>7684</v>
      </c>
      <c r="C5909" s="508" t="s">
        <v>163</v>
      </c>
      <c r="D5909" s="508">
        <v>65.05</v>
      </c>
      <c r="E5909" s="461" t="s">
        <v>174</v>
      </c>
    </row>
    <row r="5910" spans="1:5" ht="40.5" x14ac:dyDescent="0.25">
      <c r="A5910" s="508">
        <v>94316</v>
      </c>
      <c r="B5910" s="509" t="s">
        <v>7685</v>
      </c>
      <c r="C5910" s="508" t="s">
        <v>163</v>
      </c>
      <c r="D5910" s="508">
        <v>68.989999999999995</v>
      </c>
      <c r="E5910" s="461" t="s">
        <v>174</v>
      </c>
    </row>
    <row r="5911" spans="1:5" ht="40.5" x14ac:dyDescent="0.25">
      <c r="A5911" s="508">
        <v>94318</v>
      </c>
      <c r="B5911" s="509" t="s">
        <v>7686</v>
      </c>
      <c r="C5911" s="508" t="s">
        <v>163</v>
      </c>
      <c r="D5911" s="508">
        <v>63.67</v>
      </c>
      <c r="E5911" s="461" t="s">
        <v>174</v>
      </c>
    </row>
    <row r="5912" spans="1:5" ht="15" x14ac:dyDescent="0.25">
      <c r="A5912" s="508">
        <v>94319</v>
      </c>
      <c r="B5912" s="509" t="s">
        <v>7687</v>
      </c>
      <c r="C5912" s="508" t="s">
        <v>163</v>
      </c>
      <c r="D5912" s="508">
        <v>78.62</v>
      </c>
      <c r="E5912" s="461" t="s">
        <v>174</v>
      </c>
    </row>
    <row r="5913" spans="1:5" ht="40.5" x14ac:dyDescent="0.25">
      <c r="A5913" s="508">
        <v>94327</v>
      </c>
      <c r="B5913" s="509" t="s">
        <v>7688</v>
      </c>
      <c r="C5913" s="508" t="s">
        <v>163</v>
      </c>
      <c r="D5913" s="508">
        <v>161.26</v>
      </c>
      <c r="E5913" s="461" t="s">
        <v>174</v>
      </c>
    </row>
    <row r="5914" spans="1:5" ht="40.5" x14ac:dyDescent="0.25">
      <c r="A5914" s="508">
        <v>94329</v>
      </c>
      <c r="B5914" s="509" t="s">
        <v>7689</v>
      </c>
      <c r="C5914" s="508" t="s">
        <v>163</v>
      </c>
      <c r="D5914" s="508">
        <v>154.94</v>
      </c>
      <c r="E5914" s="461" t="s">
        <v>174</v>
      </c>
    </row>
    <row r="5915" spans="1:5" ht="40.5" x14ac:dyDescent="0.25">
      <c r="A5915" s="508">
        <v>94333</v>
      </c>
      <c r="B5915" s="509" t="s">
        <v>7690</v>
      </c>
      <c r="C5915" s="508" t="s">
        <v>163</v>
      </c>
      <c r="D5915" s="508">
        <v>152.07</v>
      </c>
      <c r="E5915" s="461" t="s">
        <v>174</v>
      </c>
    </row>
    <row r="5916" spans="1:5" ht="40.5" x14ac:dyDescent="0.25">
      <c r="A5916" s="508">
        <v>94339</v>
      </c>
      <c r="B5916" s="509" t="s">
        <v>7691</v>
      </c>
      <c r="C5916" s="508" t="s">
        <v>163</v>
      </c>
      <c r="D5916" s="508">
        <v>156.01</v>
      </c>
      <c r="E5916" s="461" t="s">
        <v>174</v>
      </c>
    </row>
    <row r="5917" spans="1:5" ht="40.5" x14ac:dyDescent="0.25">
      <c r="A5917" s="508">
        <v>94341</v>
      </c>
      <c r="B5917" s="509" t="s">
        <v>7692</v>
      </c>
      <c r="C5917" s="508" t="s">
        <v>163</v>
      </c>
      <c r="D5917" s="508">
        <v>150.69</v>
      </c>
      <c r="E5917" s="461" t="s">
        <v>174</v>
      </c>
    </row>
    <row r="5918" spans="1:5" ht="15" x14ac:dyDescent="0.25">
      <c r="A5918" s="508">
        <v>94342</v>
      </c>
      <c r="B5918" s="509" t="s">
        <v>7693</v>
      </c>
      <c r="C5918" s="508" t="s">
        <v>163</v>
      </c>
      <c r="D5918" s="508">
        <v>165.64</v>
      </c>
      <c r="E5918" s="461" t="s">
        <v>174</v>
      </c>
    </row>
    <row r="5919" spans="1:5" ht="27" x14ac:dyDescent="0.25">
      <c r="A5919" s="508">
        <v>96385</v>
      </c>
      <c r="B5919" s="509" t="s">
        <v>1754</v>
      </c>
      <c r="C5919" s="508" t="s">
        <v>163</v>
      </c>
      <c r="D5919" s="508">
        <v>11.6</v>
      </c>
      <c r="E5919" s="461" t="s">
        <v>174</v>
      </c>
    </row>
    <row r="5920" spans="1:5" ht="27" x14ac:dyDescent="0.25">
      <c r="A5920" s="508">
        <v>96386</v>
      </c>
      <c r="B5920" s="509" t="s">
        <v>1755</v>
      </c>
      <c r="C5920" s="508" t="s">
        <v>163</v>
      </c>
      <c r="D5920" s="508">
        <v>8.67</v>
      </c>
      <c r="E5920" s="461" t="s">
        <v>174</v>
      </c>
    </row>
    <row r="5921" spans="1:5" ht="40.5" x14ac:dyDescent="0.25">
      <c r="A5921" s="508">
        <v>93367</v>
      </c>
      <c r="B5921" s="509" t="s">
        <v>7694</v>
      </c>
      <c r="C5921" s="508" t="s">
        <v>163</v>
      </c>
      <c r="D5921" s="508">
        <v>22.37</v>
      </c>
      <c r="E5921" s="461" t="s">
        <v>174</v>
      </c>
    </row>
    <row r="5922" spans="1:5" ht="40.5" x14ac:dyDescent="0.25">
      <c r="A5922" s="508">
        <v>93368</v>
      </c>
      <c r="B5922" s="509" t="s">
        <v>7695</v>
      </c>
      <c r="C5922" s="508" t="s">
        <v>163</v>
      </c>
      <c r="D5922" s="508">
        <v>19.579999999999998</v>
      </c>
      <c r="E5922" s="461" t="s">
        <v>174</v>
      </c>
    </row>
    <row r="5923" spans="1:5" ht="40.5" x14ac:dyDescent="0.25">
      <c r="A5923" s="508">
        <v>93369</v>
      </c>
      <c r="B5923" s="509" t="s">
        <v>7696</v>
      </c>
      <c r="C5923" s="508" t="s">
        <v>163</v>
      </c>
      <c r="D5923" s="508">
        <v>16.05</v>
      </c>
      <c r="E5923" s="461" t="s">
        <v>174</v>
      </c>
    </row>
    <row r="5924" spans="1:5" ht="40.5" x14ac:dyDescent="0.25">
      <c r="A5924" s="508">
        <v>93372</v>
      </c>
      <c r="B5924" s="509" t="s">
        <v>7697</v>
      </c>
      <c r="C5924" s="508" t="s">
        <v>163</v>
      </c>
      <c r="D5924" s="508">
        <v>15.42</v>
      </c>
      <c r="E5924" s="461" t="s">
        <v>174</v>
      </c>
    </row>
    <row r="5925" spans="1:5" ht="40.5" x14ac:dyDescent="0.25">
      <c r="A5925" s="508">
        <v>93373</v>
      </c>
      <c r="B5925" s="509" t="s">
        <v>7698</v>
      </c>
      <c r="C5925" s="508" t="s">
        <v>163</v>
      </c>
      <c r="D5925" s="508">
        <v>13.18</v>
      </c>
      <c r="E5925" s="461" t="s">
        <v>174</v>
      </c>
    </row>
    <row r="5926" spans="1:5" ht="40.5" x14ac:dyDescent="0.25">
      <c r="A5926" s="508">
        <v>93378</v>
      </c>
      <c r="B5926" s="509" t="s">
        <v>7699</v>
      </c>
      <c r="C5926" s="508" t="s">
        <v>163</v>
      </c>
      <c r="D5926" s="508">
        <v>22.27</v>
      </c>
      <c r="E5926" s="461" t="s">
        <v>174</v>
      </c>
    </row>
    <row r="5927" spans="1:5" ht="40.5" x14ac:dyDescent="0.25">
      <c r="A5927" s="508">
        <v>93379</v>
      </c>
      <c r="B5927" s="509" t="s">
        <v>7700</v>
      </c>
      <c r="C5927" s="508" t="s">
        <v>163</v>
      </c>
      <c r="D5927" s="508">
        <v>17.12</v>
      </c>
      <c r="E5927" s="461" t="s">
        <v>174</v>
      </c>
    </row>
    <row r="5928" spans="1:5" ht="40.5" x14ac:dyDescent="0.25">
      <c r="A5928" s="508">
        <v>93380</v>
      </c>
      <c r="B5928" s="509" t="s">
        <v>7701</v>
      </c>
      <c r="C5928" s="508" t="s">
        <v>163</v>
      </c>
      <c r="D5928" s="508">
        <v>14.57</v>
      </c>
      <c r="E5928" s="461" t="s">
        <v>174</v>
      </c>
    </row>
    <row r="5929" spans="1:5" ht="40.5" x14ac:dyDescent="0.25">
      <c r="A5929" s="508">
        <v>93381</v>
      </c>
      <c r="B5929" s="509" t="s">
        <v>7702</v>
      </c>
      <c r="C5929" s="508" t="s">
        <v>163</v>
      </c>
      <c r="D5929" s="508">
        <v>11.8</v>
      </c>
      <c r="E5929" s="461" t="s">
        <v>174</v>
      </c>
    </row>
    <row r="5930" spans="1:5" ht="15" x14ac:dyDescent="0.25">
      <c r="A5930" s="508">
        <v>93382</v>
      </c>
      <c r="B5930" s="509" t="s">
        <v>7703</v>
      </c>
      <c r="C5930" s="508" t="s">
        <v>163</v>
      </c>
      <c r="D5930" s="508">
        <v>26.75</v>
      </c>
      <c r="E5930" s="461" t="s">
        <v>174</v>
      </c>
    </row>
    <row r="5931" spans="1:5" ht="40.5" x14ac:dyDescent="0.25">
      <c r="A5931" s="508">
        <v>104728</v>
      </c>
      <c r="B5931" s="509" t="s">
        <v>7704</v>
      </c>
      <c r="C5931" s="508" t="s">
        <v>163</v>
      </c>
      <c r="D5931" s="508">
        <v>18.91</v>
      </c>
      <c r="E5931" s="461" t="s">
        <v>174</v>
      </c>
    </row>
    <row r="5932" spans="1:5" ht="40.5" x14ac:dyDescent="0.25">
      <c r="A5932" s="508">
        <v>104729</v>
      </c>
      <c r="B5932" s="509" t="s">
        <v>7705</v>
      </c>
      <c r="C5932" s="508" t="s">
        <v>163</v>
      </c>
      <c r="D5932" s="508">
        <v>16.11</v>
      </c>
      <c r="E5932" s="461" t="s">
        <v>174</v>
      </c>
    </row>
    <row r="5933" spans="1:5" ht="40.5" x14ac:dyDescent="0.25">
      <c r="A5933" s="508">
        <v>104730</v>
      </c>
      <c r="B5933" s="509" t="s">
        <v>7706</v>
      </c>
      <c r="C5933" s="508" t="s">
        <v>163</v>
      </c>
      <c r="D5933" s="508">
        <v>12.58</v>
      </c>
      <c r="E5933" s="461" t="s">
        <v>174</v>
      </c>
    </row>
    <row r="5934" spans="1:5" ht="40.5" x14ac:dyDescent="0.25">
      <c r="A5934" s="508">
        <v>104731</v>
      </c>
      <c r="B5934" s="509" t="s">
        <v>7707</v>
      </c>
      <c r="C5934" s="508" t="s">
        <v>163</v>
      </c>
      <c r="D5934" s="508">
        <v>11.95</v>
      </c>
      <c r="E5934" s="461" t="s">
        <v>174</v>
      </c>
    </row>
    <row r="5935" spans="1:5" ht="40.5" x14ac:dyDescent="0.25">
      <c r="A5935" s="508">
        <v>104732</v>
      </c>
      <c r="B5935" s="509" t="s">
        <v>7708</v>
      </c>
      <c r="C5935" s="508" t="s">
        <v>163</v>
      </c>
      <c r="D5935" s="508">
        <v>9.7200000000000006</v>
      </c>
      <c r="E5935" s="461" t="s">
        <v>174</v>
      </c>
    </row>
    <row r="5936" spans="1:5" ht="40.5" x14ac:dyDescent="0.25">
      <c r="A5936" s="508">
        <v>104733</v>
      </c>
      <c r="B5936" s="509" t="s">
        <v>7709</v>
      </c>
      <c r="C5936" s="508" t="s">
        <v>163</v>
      </c>
      <c r="D5936" s="508">
        <v>18.760000000000002</v>
      </c>
      <c r="E5936" s="461" t="s">
        <v>174</v>
      </c>
    </row>
    <row r="5937" spans="1:5" ht="40.5" x14ac:dyDescent="0.25">
      <c r="A5937" s="508">
        <v>104734</v>
      </c>
      <c r="B5937" s="509" t="s">
        <v>7710</v>
      </c>
      <c r="C5937" s="508" t="s">
        <v>163</v>
      </c>
      <c r="D5937" s="508">
        <v>13.63</v>
      </c>
      <c r="E5937" s="461" t="s">
        <v>174</v>
      </c>
    </row>
    <row r="5938" spans="1:5" ht="40.5" x14ac:dyDescent="0.25">
      <c r="A5938" s="508">
        <v>104735</v>
      </c>
      <c r="B5938" s="509" t="s">
        <v>7711</v>
      </c>
      <c r="C5938" s="508" t="s">
        <v>163</v>
      </c>
      <c r="D5938" s="508">
        <v>11.1</v>
      </c>
      <c r="E5938" s="461" t="s">
        <v>174</v>
      </c>
    </row>
    <row r="5939" spans="1:5" ht="40.5" x14ac:dyDescent="0.25">
      <c r="A5939" s="508">
        <v>104736</v>
      </c>
      <c r="B5939" s="509" t="s">
        <v>7712</v>
      </c>
      <c r="C5939" s="508" t="s">
        <v>163</v>
      </c>
      <c r="D5939" s="508">
        <v>8.33</v>
      </c>
      <c r="E5939" s="461" t="s">
        <v>174</v>
      </c>
    </row>
    <row r="5940" spans="1:5" ht="15" x14ac:dyDescent="0.25">
      <c r="A5940" s="508">
        <v>104737</v>
      </c>
      <c r="B5940" s="509" t="s">
        <v>7713</v>
      </c>
      <c r="C5940" s="508" t="s">
        <v>163</v>
      </c>
      <c r="D5940" s="508">
        <v>23.24</v>
      </c>
      <c r="E5940" s="461" t="s">
        <v>174</v>
      </c>
    </row>
    <row r="5941" spans="1:5" ht="15" x14ac:dyDescent="0.25">
      <c r="A5941" s="508">
        <v>104738</v>
      </c>
      <c r="B5941" s="509" t="s">
        <v>7714</v>
      </c>
      <c r="C5941" s="508" t="s">
        <v>163</v>
      </c>
      <c r="D5941" s="508">
        <v>78.34</v>
      </c>
      <c r="E5941" s="461" t="s">
        <v>174</v>
      </c>
    </row>
    <row r="5942" spans="1:5" ht="15" x14ac:dyDescent="0.25">
      <c r="A5942" s="508">
        <v>104739</v>
      </c>
      <c r="B5942" s="509" t="s">
        <v>7715</v>
      </c>
      <c r="C5942" s="508" t="s">
        <v>163</v>
      </c>
      <c r="D5942" s="508">
        <v>165.36</v>
      </c>
      <c r="E5942" s="461" t="s">
        <v>174</v>
      </c>
    </row>
    <row r="5943" spans="1:5" ht="27" x14ac:dyDescent="0.25">
      <c r="A5943" s="508">
        <v>104740</v>
      </c>
      <c r="B5943" s="509" t="s">
        <v>7716</v>
      </c>
      <c r="C5943" s="508" t="s">
        <v>163</v>
      </c>
      <c r="D5943" s="508">
        <v>26.47</v>
      </c>
      <c r="E5943" s="461" t="s">
        <v>174</v>
      </c>
    </row>
    <row r="5944" spans="1:5" ht="15" x14ac:dyDescent="0.25">
      <c r="A5944" s="508">
        <v>104741</v>
      </c>
      <c r="B5944" s="509" t="s">
        <v>7717</v>
      </c>
      <c r="C5944" s="508" t="s">
        <v>163</v>
      </c>
      <c r="D5944" s="508">
        <v>22.96</v>
      </c>
      <c r="E5944" s="461" t="s">
        <v>174</v>
      </c>
    </row>
    <row r="5945" spans="1:5" ht="15" x14ac:dyDescent="0.25">
      <c r="A5945" s="508">
        <v>104742</v>
      </c>
      <c r="B5945" s="509" t="s">
        <v>7718</v>
      </c>
      <c r="C5945" s="508" t="s">
        <v>150</v>
      </c>
      <c r="D5945" s="508">
        <v>8.14</v>
      </c>
      <c r="E5945" s="461" t="s">
        <v>174</v>
      </c>
    </row>
    <row r="5946" spans="1:5" ht="27" x14ac:dyDescent="0.25">
      <c r="A5946" s="508">
        <v>97916</v>
      </c>
      <c r="B5946" s="509" t="s">
        <v>3080</v>
      </c>
      <c r="C5946" s="508" t="s">
        <v>922</v>
      </c>
      <c r="D5946" s="508">
        <v>2.4700000000000002</v>
      </c>
      <c r="E5946" s="461" t="s">
        <v>174</v>
      </c>
    </row>
    <row r="5947" spans="1:5" ht="27" x14ac:dyDescent="0.25">
      <c r="A5947" s="508">
        <v>97917</v>
      </c>
      <c r="B5947" s="509" t="s">
        <v>3081</v>
      </c>
      <c r="C5947" s="508" t="s">
        <v>922</v>
      </c>
      <c r="D5947" s="508">
        <v>2.13</v>
      </c>
      <c r="E5947" s="461" t="s">
        <v>174</v>
      </c>
    </row>
    <row r="5948" spans="1:5" ht="27" x14ac:dyDescent="0.25">
      <c r="A5948" s="508">
        <v>97918</v>
      </c>
      <c r="B5948" s="509" t="s">
        <v>3082</v>
      </c>
      <c r="C5948" s="508" t="s">
        <v>922</v>
      </c>
      <c r="D5948" s="510">
        <v>1.96</v>
      </c>
      <c r="E5948" s="461" t="s">
        <v>174</v>
      </c>
    </row>
    <row r="5949" spans="1:5" ht="27" x14ac:dyDescent="0.25">
      <c r="A5949" s="508">
        <v>97919</v>
      </c>
      <c r="B5949" s="509" t="s">
        <v>3083</v>
      </c>
      <c r="C5949" s="508" t="s">
        <v>922</v>
      </c>
      <c r="D5949" s="508">
        <v>0.78</v>
      </c>
      <c r="E5949" s="461" t="s">
        <v>174</v>
      </c>
    </row>
    <row r="5950" spans="1:5" ht="27" x14ac:dyDescent="0.25">
      <c r="A5950" s="508">
        <v>101616</v>
      </c>
      <c r="B5950" s="509" t="s">
        <v>3084</v>
      </c>
      <c r="C5950" s="508" t="s">
        <v>150</v>
      </c>
      <c r="D5950" s="508">
        <v>6.96</v>
      </c>
      <c r="E5950" s="461" t="s">
        <v>174</v>
      </c>
    </row>
    <row r="5951" spans="1:5" ht="27" x14ac:dyDescent="0.25">
      <c r="A5951" s="508">
        <v>101617</v>
      </c>
      <c r="B5951" s="509" t="s">
        <v>3085</v>
      </c>
      <c r="C5951" s="508" t="s">
        <v>150</v>
      </c>
      <c r="D5951" s="508">
        <v>3.43</v>
      </c>
      <c r="E5951" s="461" t="s">
        <v>174</v>
      </c>
    </row>
    <row r="5952" spans="1:5" ht="27" x14ac:dyDescent="0.25">
      <c r="A5952" s="508">
        <v>101618</v>
      </c>
      <c r="B5952" s="509" t="s">
        <v>3086</v>
      </c>
      <c r="C5952" s="508" t="s">
        <v>163</v>
      </c>
      <c r="D5952" s="508">
        <v>358.04</v>
      </c>
      <c r="E5952" s="461" t="s">
        <v>174</v>
      </c>
    </row>
    <row r="5953" spans="1:5" ht="27" x14ac:dyDescent="0.25">
      <c r="A5953" s="508">
        <v>101619</v>
      </c>
      <c r="B5953" s="509" t="s">
        <v>3087</v>
      </c>
      <c r="C5953" s="508" t="s">
        <v>163</v>
      </c>
      <c r="D5953" s="508">
        <v>394.6</v>
      </c>
      <c r="E5953" s="461" t="s">
        <v>174</v>
      </c>
    </row>
    <row r="5954" spans="1:5" ht="27" x14ac:dyDescent="0.25">
      <c r="A5954" s="508">
        <v>101620</v>
      </c>
      <c r="B5954" s="509" t="s">
        <v>3088</v>
      </c>
      <c r="C5954" s="508" t="s">
        <v>163</v>
      </c>
      <c r="D5954" s="508">
        <v>330.28</v>
      </c>
      <c r="E5954" s="461" t="s">
        <v>174</v>
      </c>
    </row>
    <row r="5955" spans="1:5" ht="27" x14ac:dyDescent="0.25">
      <c r="A5955" s="508">
        <v>101621</v>
      </c>
      <c r="B5955" s="509" t="s">
        <v>3089</v>
      </c>
      <c r="C5955" s="508" t="s">
        <v>163</v>
      </c>
      <c r="D5955" s="508">
        <v>366.83</v>
      </c>
      <c r="E5955" s="461" t="s">
        <v>174</v>
      </c>
    </row>
    <row r="5956" spans="1:5" ht="27" x14ac:dyDescent="0.25">
      <c r="A5956" s="508">
        <v>101622</v>
      </c>
      <c r="B5956" s="509" t="s">
        <v>3090</v>
      </c>
      <c r="C5956" s="508" t="s">
        <v>163</v>
      </c>
      <c r="D5956" s="508">
        <v>319.44</v>
      </c>
      <c r="E5956" s="461" t="s">
        <v>174</v>
      </c>
    </row>
    <row r="5957" spans="1:5" ht="27" x14ac:dyDescent="0.25">
      <c r="A5957" s="508">
        <v>101623</v>
      </c>
      <c r="B5957" s="509" t="s">
        <v>3091</v>
      </c>
      <c r="C5957" s="508" t="s">
        <v>163</v>
      </c>
      <c r="D5957" s="508">
        <v>347</v>
      </c>
      <c r="E5957" s="461" t="s">
        <v>174</v>
      </c>
    </row>
    <row r="5958" spans="1:5" ht="27" x14ac:dyDescent="0.25">
      <c r="A5958" s="508">
        <v>101624</v>
      </c>
      <c r="B5958" s="509" t="s">
        <v>3092</v>
      </c>
      <c r="C5958" s="508" t="s">
        <v>163</v>
      </c>
      <c r="D5958" s="508">
        <v>300.12</v>
      </c>
      <c r="E5958" s="461" t="s">
        <v>174</v>
      </c>
    </row>
    <row r="5959" spans="1:5" ht="27" x14ac:dyDescent="0.25">
      <c r="A5959" s="508">
        <v>101625</v>
      </c>
      <c r="B5959" s="509" t="s">
        <v>3093</v>
      </c>
      <c r="C5959" s="508" t="s">
        <v>163</v>
      </c>
      <c r="D5959" s="508">
        <v>278.49</v>
      </c>
      <c r="E5959" s="461" t="s">
        <v>174</v>
      </c>
    </row>
    <row r="5960" spans="1:5" ht="27" x14ac:dyDescent="0.25">
      <c r="A5960" s="508">
        <v>101159</v>
      </c>
      <c r="B5960" s="509" t="s">
        <v>2086</v>
      </c>
      <c r="C5960" s="508" t="s">
        <v>150</v>
      </c>
      <c r="D5960" s="508">
        <v>152.86000000000001</v>
      </c>
      <c r="E5960" s="461" t="s">
        <v>174</v>
      </c>
    </row>
    <row r="5961" spans="1:5" ht="27" x14ac:dyDescent="0.25">
      <c r="A5961" s="508">
        <v>103322</v>
      </c>
      <c r="B5961" s="509" t="s">
        <v>4411</v>
      </c>
      <c r="C5961" s="508" t="s">
        <v>150</v>
      </c>
      <c r="D5961" s="508">
        <v>61.46</v>
      </c>
      <c r="E5961" s="461" t="s">
        <v>174</v>
      </c>
    </row>
    <row r="5962" spans="1:5" ht="27" x14ac:dyDescent="0.25">
      <c r="A5962" s="508">
        <v>103323</v>
      </c>
      <c r="B5962" s="509" t="s">
        <v>4412</v>
      </c>
      <c r="C5962" s="508" t="s">
        <v>150</v>
      </c>
      <c r="D5962" s="508">
        <v>62.82</v>
      </c>
      <c r="E5962" s="461" t="s">
        <v>174</v>
      </c>
    </row>
    <row r="5963" spans="1:5" ht="27" x14ac:dyDescent="0.25">
      <c r="A5963" s="508">
        <v>103324</v>
      </c>
      <c r="B5963" s="509" t="s">
        <v>4413</v>
      </c>
      <c r="C5963" s="508" t="s">
        <v>150</v>
      </c>
      <c r="D5963" s="508">
        <v>82.13</v>
      </c>
      <c r="E5963" s="461" t="s">
        <v>174</v>
      </c>
    </row>
    <row r="5964" spans="1:5" ht="27" x14ac:dyDescent="0.25">
      <c r="A5964" s="508">
        <v>103325</v>
      </c>
      <c r="B5964" s="509" t="s">
        <v>4414</v>
      </c>
      <c r="C5964" s="508" t="s">
        <v>150</v>
      </c>
      <c r="D5964" s="508">
        <v>83.66</v>
      </c>
      <c r="E5964" s="461" t="s">
        <v>174</v>
      </c>
    </row>
    <row r="5965" spans="1:5" ht="27" x14ac:dyDescent="0.25">
      <c r="A5965" s="508">
        <v>103326</v>
      </c>
      <c r="B5965" s="509" t="s">
        <v>4415</v>
      </c>
      <c r="C5965" s="508" t="s">
        <v>150</v>
      </c>
      <c r="D5965" s="508">
        <v>98.62</v>
      </c>
      <c r="E5965" s="461" t="s">
        <v>174</v>
      </c>
    </row>
    <row r="5966" spans="1:5" ht="27" x14ac:dyDescent="0.25">
      <c r="A5966" s="508">
        <v>103327</v>
      </c>
      <c r="B5966" s="509" t="s">
        <v>4416</v>
      </c>
      <c r="C5966" s="508" t="s">
        <v>150</v>
      </c>
      <c r="D5966" s="508">
        <v>100.42</v>
      </c>
      <c r="E5966" s="461" t="s">
        <v>174</v>
      </c>
    </row>
    <row r="5967" spans="1:5" ht="27" x14ac:dyDescent="0.25">
      <c r="A5967" s="508">
        <v>103328</v>
      </c>
      <c r="B5967" s="509" t="s">
        <v>4417</v>
      </c>
      <c r="C5967" s="508" t="s">
        <v>150</v>
      </c>
      <c r="D5967" s="508">
        <v>98.78</v>
      </c>
      <c r="E5967" s="461" t="s">
        <v>174</v>
      </c>
    </row>
    <row r="5968" spans="1:5" ht="27" x14ac:dyDescent="0.25">
      <c r="A5968" s="508">
        <v>103329</v>
      </c>
      <c r="B5968" s="509" t="s">
        <v>4418</v>
      </c>
      <c r="C5968" s="508" t="s">
        <v>150</v>
      </c>
      <c r="D5968" s="508">
        <v>99.96</v>
      </c>
      <c r="E5968" s="461" t="s">
        <v>174</v>
      </c>
    </row>
    <row r="5969" spans="1:5" ht="27" x14ac:dyDescent="0.25">
      <c r="A5969" s="508">
        <v>103330</v>
      </c>
      <c r="B5969" s="509" t="s">
        <v>4419</v>
      </c>
      <c r="C5969" s="508" t="s">
        <v>150</v>
      </c>
      <c r="D5969" s="508">
        <v>89.58</v>
      </c>
      <c r="E5969" s="461" t="s">
        <v>174</v>
      </c>
    </row>
    <row r="5970" spans="1:5" ht="27" x14ac:dyDescent="0.25">
      <c r="A5970" s="508">
        <v>103331</v>
      </c>
      <c r="B5970" s="509" t="s">
        <v>4420</v>
      </c>
      <c r="C5970" s="508" t="s">
        <v>150</v>
      </c>
      <c r="D5970" s="508">
        <v>90.86</v>
      </c>
      <c r="E5970" s="461" t="s">
        <v>174</v>
      </c>
    </row>
    <row r="5971" spans="1:5" ht="27" x14ac:dyDescent="0.25">
      <c r="A5971" s="508">
        <v>103332</v>
      </c>
      <c r="B5971" s="509" t="s">
        <v>4421</v>
      </c>
      <c r="C5971" s="508" t="s">
        <v>150</v>
      </c>
      <c r="D5971" s="508">
        <v>129.81</v>
      </c>
      <c r="E5971" s="461" t="s">
        <v>174</v>
      </c>
    </row>
    <row r="5972" spans="1:5" ht="27" x14ac:dyDescent="0.25">
      <c r="A5972" s="508">
        <v>103333</v>
      </c>
      <c r="B5972" s="509" t="s">
        <v>4422</v>
      </c>
      <c r="C5972" s="508" t="s">
        <v>150</v>
      </c>
      <c r="D5972" s="508">
        <v>131.18</v>
      </c>
      <c r="E5972" s="461" t="s">
        <v>174</v>
      </c>
    </row>
    <row r="5973" spans="1:5" ht="40.5" x14ac:dyDescent="0.25">
      <c r="A5973" s="508">
        <v>103334</v>
      </c>
      <c r="B5973" s="509" t="s">
        <v>4423</v>
      </c>
      <c r="C5973" s="508" t="s">
        <v>150</v>
      </c>
      <c r="D5973" s="508">
        <v>155.91</v>
      </c>
      <c r="E5973" s="461" t="s">
        <v>174</v>
      </c>
    </row>
    <row r="5974" spans="1:5" ht="40.5" x14ac:dyDescent="0.25">
      <c r="A5974" s="508">
        <v>103335</v>
      </c>
      <c r="B5974" s="509" t="s">
        <v>4424</v>
      </c>
      <c r="C5974" s="508" t="s">
        <v>150</v>
      </c>
      <c r="D5974" s="508">
        <v>158.29</v>
      </c>
      <c r="E5974" s="461" t="s">
        <v>174</v>
      </c>
    </row>
    <row r="5975" spans="1:5" ht="27" x14ac:dyDescent="0.25">
      <c r="A5975" s="508">
        <v>103350</v>
      </c>
      <c r="B5975" s="509" t="s">
        <v>4425</v>
      </c>
      <c r="C5975" s="508" t="s">
        <v>150</v>
      </c>
      <c r="D5975" s="508">
        <v>192.62</v>
      </c>
      <c r="E5975" s="461" t="s">
        <v>174</v>
      </c>
    </row>
    <row r="5976" spans="1:5" ht="27" x14ac:dyDescent="0.25">
      <c r="A5976" s="508">
        <v>103351</v>
      </c>
      <c r="B5976" s="509" t="s">
        <v>4426</v>
      </c>
      <c r="C5976" s="508" t="s">
        <v>150</v>
      </c>
      <c r="D5976" s="508">
        <v>194.36</v>
      </c>
      <c r="E5976" s="461" t="s">
        <v>174</v>
      </c>
    </row>
    <row r="5977" spans="1:5" ht="27" x14ac:dyDescent="0.25">
      <c r="A5977" s="508">
        <v>103356</v>
      </c>
      <c r="B5977" s="509" t="s">
        <v>4427</v>
      </c>
      <c r="C5977" s="508" t="s">
        <v>150</v>
      </c>
      <c r="D5977" s="508">
        <v>60.07</v>
      </c>
      <c r="E5977" s="461" t="s">
        <v>174</v>
      </c>
    </row>
    <row r="5978" spans="1:5" ht="27" x14ac:dyDescent="0.25">
      <c r="A5978" s="508">
        <v>103357</v>
      </c>
      <c r="B5978" s="509" t="s">
        <v>4428</v>
      </c>
      <c r="C5978" s="508" t="s">
        <v>150</v>
      </c>
      <c r="D5978" s="508">
        <v>61.08</v>
      </c>
      <c r="E5978" s="461" t="s">
        <v>174</v>
      </c>
    </row>
    <row r="5979" spans="1:5" ht="27" x14ac:dyDescent="0.25">
      <c r="A5979" s="508">
        <v>89282</v>
      </c>
      <c r="B5979" s="509" t="s">
        <v>7719</v>
      </c>
      <c r="C5979" s="508" t="s">
        <v>150</v>
      </c>
      <c r="D5979" s="508">
        <v>75.34</v>
      </c>
      <c r="E5979" s="461" t="s">
        <v>174</v>
      </c>
    </row>
    <row r="5980" spans="1:5" ht="27" x14ac:dyDescent="0.25">
      <c r="A5980" s="508">
        <v>89283</v>
      </c>
      <c r="B5980" s="509" t="s">
        <v>7720</v>
      </c>
      <c r="C5980" s="508" t="s">
        <v>150</v>
      </c>
      <c r="D5980" s="508">
        <v>76.91</v>
      </c>
      <c r="E5980" s="461" t="s">
        <v>174</v>
      </c>
    </row>
    <row r="5981" spans="1:5" ht="27" x14ac:dyDescent="0.25">
      <c r="A5981" s="508">
        <v>89290</v>
      </c>
      <c r="B5981" s="509" t="s">
        <v>7721</v>
      </c>
      <c r="C5981" s="508" t="s">
        <v>150</v>
      </c>
      <c r="D5981" s="508">
        <v>85.96</v>
      </c>
      <c r="E5981" s="461" t="s">
        <v>174</v>
      </c>
    </row>
    <row r="5982" spans="1:5" ht="27" x14ac:dyDescent="0.25">
      <c r="A5982" s="508">
        <v>89291</v>
      </c>
      <c r="B5982" s="509" t="s">
        <v>7722</v>
      </c>
      <c r="C5982" s="508" t="s">
        <v>150</v>
      </c>
      <c r="D5982" s="508">
        <v>87.7</v>
      </c>
      <c r="E5982" s="461" t="s">
        <v>174</v>
      </c>
    </row>
    <row r="5983" spans="1:5" ht="27" x14ac:dyDescent="0.25">
      <c r="A5983" s="508">
        <v>89298</v>
      </c>
      <c r="B5983" s="509" t="s">
        <v>7723</v>
      </c>
      <c r="C5983" s="508" t="s">
        <v>150</v>
      </c>
      <c r="D5983" s="508">
        <v>88.13</v>
      </c>
      <c r="E5983" s="461" t="s">
        <v>174</v>
      </c>
    </row>
    <row r="5984" spans="1:5" ht="27" x14ac:dyDescent="0.25">
      <c r="A5984" s="508">
        <v>89299</v>
      </c>
      <c r="B5984" s="509" t="s">
        <v>7724</v>
      </c>
      <c r="C5984" s="508" t="s">
        <v>150</v>
      </c>
      <c r="D5984" s="508">
        <v>90.23</v>
      </c>
      <c r="E5984" s="461" t="s">
        <v>174</v>
      </c>
    </row>
    <row r="5985" spans="1:5" ht="27" x14ac:dyDescent="0.25">
      <c r="A5985" s="508">
        <v>89306</v>
      </c>
      <c r="B5985" s="509" t="s">
        <v>7725</v>
      </c>
      <c r="C5985" s="508" t="s">
        <v>150</v>
      </c>
      <c r="D5985" s="508">
        <v>104.02</v>
      </c>
      <c r="E5985" s="461" t="s">
        <v>174</v>
      </c>
    </row>
    <row r="5986" spans="1:5" ht="27" x14ac:dyDescent="0.25">
      <c r="A5986" s="508">
        <v>89307</v>
      </c>
      <c r="B5986" s="509" t="s">
        <v>7726</v>
      </c>
      <c r="C5986" s="508" t="s">
        <v>150</v>
      </c>
      <c r="D5986" s="508">
        <v>106.37</v>
      </c>
      <c r="E5986" s="461" t="s">
        <v>174</v>
      </c>
    </row>
    <row r="5987" spans="1:5" ht="15" x14ac:dyDescent="0.25">
      <c r="A5987" s="508">
        <v>101157</v>
      </c>
      <c r="B5987" s="509" t="s">
        <v>4246</v>
      </c>
      <c r="C5987" s="508" t="s">
        <v>150</v>
      </c>
      <c r="D5987" s="508">
        <v>59.19</v>
      </c>
      <c r="E5987" s="461" t="s">
        <v>174</v>
      </c>
    </row>
    <row r="5988" spans="1:5" ht="15" x14ac:dyDescent="0.25">
      <c r="A5988" s="508">
        <v>101158</v>
      </c>
      <c r="B5988" s="509" t="s">
        <v>4247</v>
      </c>
      <c r="C5988" s="508" t="s">
        <v>150</v>
      </c>
      <c r="D5988" s="508">
        <v>76.73</v>
      </c>
      <c r="E5988" s="461" t="s">
        <v>174</v>
      </c>
    </row>
    <row r="5989" spans="1:5" ht="27" x14ac:dyDescent="0.25">
      <c r="A5989" s="508">
        <v>101162</v>
      </c>
      <c r="B5989" s="509" t="s">
        <v>2087</v>
      </c>
      <c r="C5989" s="508" t="s">
        <v>150</v>
      </c>
      <c r="D5989" s="508">
        <v>166.09</v>
      </c>
      <c r="E5989" s="461" t="s">
        <v>174</v>
      </c>
    </row>
    <row r="5990" spans="1:5" ht="27" x14ac:dyDescent="0.25">
      <c r="A5990" s="508">
        <v>103316</v>
      </c>
      <c r="B5990" s="509" t="s">
        <v>4429</v>
      </c>
      <c r="C5990" s="508" t="s">
        <v>150</v>
      </c>
      <c r="D5990" s="508">
        <v>82.66</v>
      </c>
      <c r="E5990" s="461" t="s">
        <v>174</v>
      </c>
    </row>
    <row r="5991" spans="1:5" ht="27" x14ac:dyDescent="0.25">
      <c r="A5991" s="508">
        <v>103317</v>
      </c>
      <c r="B5991" s="509" t="s">
        <v>4430</v>
      </c>
      <c r="C5991" s="508" t="s">
        <v>150</v>
      </c>
      <c r="D5991" s="508">
        <v>83.79</v>
      </c>
      <c r="E5991" s="461" t="s">
        <v>174</v>
      </c>
    </row>
    <row r="5992" spans="1:5" ht="27" x14ac:dyDescent="0.25">
      <c r="A5992" s="508">
        <v>103318</v>
      </c>
      <c r="B5992" s="509" t="s">
        <v>4431</v>
      </c>
      <c r="C5992" s="508" t="s">
        <v>150</v>
      </c>
      <c r="D5992" s="508">
        <v>107.08</v>
      </c>
      <c r="E5992" s="461" t="s">
        <v>174</v>
      </c>
    </row>
    <row r="5993" spans="1:5" ht="27" x14ac:dyDescent="0.25">
      <c r="A5993" s="508">
        <v>103319</v>
      </c>
      <c r="B5993" s="509" t="s">
        <v>4432</v>
      </c>
      <c r="C5993" s="508" t="s">
        <v>150</v>
      </c>
      <c r="D5993" s="508">
        <v>108.4</v>
      </c>
      <c r="E5993" s="461" t="s">
        <v>174</v>
      </c>
    </row>
    <row r="5994" spans="1:5" ht="27" x14ac:dyDescent="0.25">
      <c r="A5994" s="508">
        <v>103320</v>
      </c>
      <c r="B5994" s="509" t="s">
        <v>4433</v>
      </c>
      <c r="C5994" s="508" t="s">
        <v>150</v>
      </c>
      <c r="D5994" s="508">
        <v>128.5</v>
      </c>
      <c r="E5994" s="461" t="s">
        <v>174</v>
      </c>
    </row>
    <row r="5995" spans="1:5" ht="27" x14ac:dyDescent="0.25">
      <c r="A5995" s="508">
        <v>103321</v>
      </c>
      <c r="B5995" s="509" t="s">
        <v>4434</v>
      </c>
      <c r="C5995" s="508" t="s">
        <v>150</v>
      </c>
      <c r="D5995" s="508">
        <v>130.16999999999999</v>
      </c>
      <c r="E5995" s="461" t="s">
        <v>174</v>
      </c>
    </row>
    <row r="5996" spans="1:5" ht="27" x14ac:dyDescent="0.25">
      <c r="A5996" s="508">
        <v>103336</v>
      </c>
      <c r="B5996" s="509" t="s">
        <v>4435</v>
      </c>
      <c r="C5996" s="508" t="s">
        <v>150</v>
      </c>
      <c r="D5996" s="508">
        <v>92.89</v>
      </c>
      <c r="E5996" s="461" t="s">
        <v>174</v>
      </c>
    </row>
    <row r="5997" spans="1:5" ht="27" x14ac:dyDescent="0.25">
      <c r="A5997" s="508">
        <v>103337</v>
      </c>
      <c r="B5997" s="509" t="s">
        <v>4436</v>
      </c>
      <c r="C5997" s="508" t="s">
        <v>150</v>
      </c>
      <c r="D5997" s="508">
        <v>94.02</v>
      </c>
      <c r="E5997" s="461" t="s">
        <v>174</v>
      </c>
    </row>
    <row r="5998" spans="1:5" ht="27" x14ac:dyDescent="0.25">
      <c r="A5998" s="508">
        <v>103338</v>
      </c>
      <c r="B5998" s="509" t="s">
        <v>4437</v>
      </c>
      <c r="C5998" s="508" t="s">
        <v>150</v>
      </c>
      <c r="D5998" s="508">
        <v>121.96</v>
      </c>
      <c r="E5998" s="461" t="s">
        <v>174</v>
      </c>
    </row>
    <row r="5999" spans="1:5" ht="27" x14ac:dyDescent="0.25">
      <c r="A5999" s="508">
        <v>103339</v>
      </c>
      <c r="B5999" s="509" t="s">
        <v>4438</v>
      </c>
      <c r="C5999" s="508" t="s">
        <v>150</v>
      </c>
      <c r="D5999" s="508">
        <v>123.28</v>
      </c>
      <c r="E5999" s="461" t="s">
        <v>174</v>
      </c>
    </row>
    <row r="6000" spans="1:5" ht="27" x14ac:dyDescent="0.25">
      <c r="A6000" s="508">
        <v>103340</v>
      </c>
      <c r="B6000" s="509" t="s">
        <v>4439</v>
      </c>
      <c r="C6000" s="508" t="s">
        <v>150</v>
      </c>
      <c r="D6000" s="508">
        <v>147.38999999999999</v>
      </c>
      <c r="E6000" s="461" t="s">
        <v>174</v>
      </c>
    </row>
    <row r="6001" spans="1:6" ht="27" x14ac:dyDescent="0.25">
      <c r="A6001" s="508">
        <v>103341</v>
      </c>
      <c r="B6001" s="509" t="s">
        <v>4440</v>
      </c>
      <c r="C6001" s="508" t="s">
        <v>150</v>
      </c>
      <c r="D6001" s="508">
        <v>149.06</v>
      </c>
      <c r="E6001" s="461" t="s">
        <v>174</v>
      </c>
    </row>
    <row r="6002" spans="1:6" ht="27" x14ac:dyDescent="0.25">
      <c r="A6002" s="508">
        <v>103342</v>
      </c>
      <c r="B6002" s="509" t="s">
        <v>4441</v>
      </c>
      <c r="C6002" s="508" t="s">
        <v>150</v>
      </c>
      <c r="D6002" s="508">
        <v>124.9</v>
      </c>
      <c r="E6002" s="461" t="s">
        <v>174</v>
      </c>
    </row>
    <row r="6003" spans="1:6" ht="27" x14ac:dyDescent="0.25">
      <c r="A6003" s="508">
        <v>103343</v>
      </c>
      <c r="B6003" s="509" t="s">
        <v>4442</v>
      </c>
      <c r="C6003" s="508" t="s">
        <v>150</v>
      </c>
      <c r="D6003" s="508">
        <v>126.37</v>
      </c>
      <c r="E6003" s="461" t="s">
        <v>174</v>
      </c>
    </row>
    <row r="6004" spans="1:6" ht="27" x14ac:dyDescent="0.25">
      <c r="A6004" s="508">
        <v>89453</v>
      </c>
      <c r="B6004" s="509" t="s">
        <v>7727</v>
      </c>
      <c r="C6004" s="508" t="s">
        <v>150</v>
      </c>
      <c r="D6004" s="508">
        <v>94.5</v>
      </c>
      <c r="E6004" s="461" t="s">
        <v>174</v>
      </c>
    </row>
    <row r="6005" spans="1:6" ht="27" x14ac:dyDescent="0.25">
      <c r="A6005" s="508">
        <v>89455</v>
      </c>
      <c r="B6005" s="509" t="s">
        <v>7728</v>
      </c>
      <c r="C6005" s="508" t="s">
        <v>150</v>
      </c>
      <c r="D6005" s="508">
        <v>113.86</v>
      </c>
      <c r="E6005" s="461" t="s">
        <v>174</v>
      </c>
    </row>
    <row r="6006" spans="1:6" ht="27" x14ac:dyDescent="0.25">
      <c r="A6006" s="508">
        <v>89462</v>
      </c>
      <c r="B6006" s="509" t="s">
        <v>7729</v>
      </c>
      <c r="C6006" s="508" t="s">
        <v>150</v>
      </c>
      <c r="D6006" s="508">
        <v>124.32</v>
      </c>
      <c r="E6006" s="461" t="s">
        <v>174</v>
      </c>
    </row>
    <row r="6007" spans="1:6" ht="27" x14ac:dyDescent="0.25">
      <c r="A6007" s="508">
        <v>89464</v>
      </c>
      <c r="B6007" s="509" t="s">
        <v>7730</v>
      </c>
      <c r="C6007" s="508" t="s">
        <v>150</v>
      </c>
      <c r="D6007" s="508">
        <v>145.44</v>
      </c>
      <c r="E6007" s="461" t="s">
        <v>174</v>
      </c>
      <c r="F6007" s="139"/>
    </row>
    <row r="6008" spans="1:6" ht="27" x14ac:dyDescent="0.25">
      <c r="A6008" s="508">
        <v>89470</v>
      </c>
      <c r="B6008" s="509" t="s">
        <v>7731</v>
      </c>
      <c r="C6008" s="508" t="s">
        <v>150</v>
      </c>
      <c r="D6008" s="508">
        <v>107.63</v>
      </c>
      <c r="E6008" s="461" t="s">
        <v>174</v>
      </c>
    </row>
    <row r="6009" spans="1:6" ht="27" x14ac:dyDescent="0.25">
      <c r="A6009" s="508">
        <v>89472</v>
      </c>
      <c r="B6009" s="509" t="s">
        <v>7732</v>
      </c>
      <c r="C6009" s="508" t="s">
        <v>150</v>
      </c>
      <c r="D6009" s="508">
        <v>127.84</v>
      </c>
      <c r="E6009" s="461" t="s">
        <v>174</v>
      </c>
    </row>
    <row r="6010" spans="1:6" ht="27" x14ac:dyDescent="0.25">
      <c r="A6010" s="508">
        <v>89478</v>
      </c>
      <c r="B6010" s="509" t="s">
        <v>7733</v>
      </c>
      <c r="C6010" s="508" t="s">
        <v>150</v>
      </c>
      <c r="D6010" s="508">
        <v>145.58000000000001</v>
      </c>
      <c r="E6010" s="461" t="s">
        <v>174</v>
      </c>
    </row>
    <row r="6011" spans="1:6" ht="27" x14ac:dyDescent="0.25">
      <c r="A6011" s="508">
        <v>89480</v>
      </c>
      <c r="B6011" s="509" t="s">
        <v>7734</v>
      </c>
      <c r="C6011" s="508" t="s">
        <v>150</v>
      </c>
      <c r="D6011" s="508">
        <v>167.51</v>
      </c>
      <c r="E6011" s="461" t="s">
        <v>174</v>
      </c>
    </row>
    <row r="6012" spans="1:6" ht="27" x14ac:dyDescent="0.25">
      <c r="A6012" s="508">
        <v>101161</v>
      </c>
      <c r="B6012" s="509" t="s">
        <v>2088</v>
      </c>
      <c r="C6012" s="508" t="s">
        <v>150</v>
      </c>
      <c r="D6012" s="508">
        <v>243.75</v>
      </c>
      <c r="E6012" s="461" t="s">
        <v>174</v>
      </c>
    </row>
    <row r="6013" spans="1:6" ht="27" x14ac:dyDescent="0.25">
      <c r="A6013" s="508">
        <v>101163</v>
      </c>
      <c r="B6013" s="509" t="s">
        <v>2089</v>
      </c>
      <c r="C6013" s="508" t="s">
        <v>150</v>
      </c>
      <c r="D6013" s="508">
        <v>861.15</v>
      </c>
      <c r="E6013" s="461" t="s">
        <v>174</v>
      </c>
    </row>
    <row r="6014" spans="1:6" ht="27" x14ac:dyDescent="0.25">
      <c r="A6014" s="508">
        <v>101164</v>
      </c>
      <c r="B6014" s="509" t="s">
        <v>2090</v>
      </c>
      <c r="C6014" s="508" t="s">
        <v>150</v>
      </c>
      <c r="D6014" s="508">
        <v>874.27</v>
      </c>
      <c r="E6014" s="461" t="s">
        <v>174</v>
      </c>
    </row>
    <row r="6015" spans="1:6" ht="27" x14ac:dyDescent="0.25">
      <c r="A6015" s="508">
        <v>96358</v>
      </c>
      <c r="B6015" s="509" t="s">
        <v>7735</v>
      </c>
      <c r="C6015" s="508" t="s">
        <v>150</v>
      </c>
      <c r="D6015" s="508">
        <v>83.83</v>
      </c>
      <c r="E6015" s="461" t="s">
        <v>174</v>
      </c>
    </row>
    <row r="6016" spans="1:6" ht="40.5" x14ac:dyDescent="0.25">
      <c r="A6016" s="508">
        <v>96359</v>
      </c>
      <c r="B6016" s="509" t="s">
        <v>7736</v>
      </c>
      <c r="C6016" s="508" t="s">
        <v>150</v>
      </c>
      <c r="D6016" s="508">
        <v>94.25</v>
      </c>
      <c r="E6016" s="461" t="s">
        <v>174</v>
      </c>
    </row>
    <row r="6017" spans="1:5" ht="27" x14ac:dyDescent="0.25">
      <c r="A6017" s="508">
        <v>96360</v>
      </c>
      <c r="B6017" s="509" t="s">
        <v>7737</v>
      </c>
      <c r="C6017" s="508" t="s">
        <v>150</v>
      </c>
      <c r="D6017" s="508">
        <v>109.43</v>
      </c>
      <c r="E6017" s="461" t="s">
        <v>174</v>
      </c>
    </row>
    <row r="6018" spans="1:5" ht="40.5" x14ac:dyDescent="0.25">
      <c r="A6018" s="508">
        <v>96361</v>
      </c>
      <c r="B6018" s="509" t="s">
        <v>7738</v>
      </c>
      <c r="C6018" s="508" t="s">
        <v>150</v>
      </c>
      <c r="D6018" s="508">
        <v>129.1</v>
      </c>
      <c r="E6018" s="461" t="s">
        <v>174</v>
      </c>
    </row>
    <row r="6019" spans="1:5" ht="27" x14ac:dyDescent="0.25">
      <c r="A6019" s="508">
        <v>96362</v>
      </c>
      <c r="B6019" s="509" t="s">
        <v>7739</v>
      </c>
      <c r="C6019" s="508" t="s">
        <v>150</v>
      </c>
      <c r="D6019" s="508">
        <v>108.23</v>
      </c>
      <c r="E6019" s="461" t="s">
        <v>174</v>
      </c>
    </row>
    <row r="6020" spans="1:5" ht="40.5" x14ac:dyDescent="0.25">
      <c r="A6020" s="508">
        <v>96363</v>
      </c>
      <c r="B6020" s="509" t="s">
        <v>7740</v>
      </c>
      <c r="C6020" s="508" t="s">
        <v>150</v>
      </c>
      <c r="D6020" s="508">
        <v>119.25</v>
      </c>
      <c r="E6020" s="461" t="s">
        <v>174</v>
      </c>
    </row>
    <row r="6021" spans="1:5" ht="27" x14ac:dyDescent="0.25">
      <c r="A6021" s="508">
        <v>96364</v>
      </c>
      <c r="B6021" s="509" t="s">
        <v>7741</v>
      </c>
      <c r="C6021" s="508" t="s">
        <v>150</v>
      </c>
      <c r="D6021" s="508">
        <v>133.83000000000001</v>
      </c>
      <c r="E6021" s="461" t="s">
        <v>174</v>
      </c>
    </row>
    <row r="6022" spans="1:5" ht="40.5" x14ac:dyDescent="0.25">
      <c r="A6022" s="508">
        <v>96365</v>
      </c>
      <c r="B6022" s="509" t="s">
        <v>7742</v>
      </c>
      <c r="C6022" s="508" t="s">
        <v>150</v>
      </c>
      <c r="D6022" s="508">
        <v>154.12</v>
      </c>
      <c r="E6022" s="461" t="s">
        <v>174</v>
      </c>
    </row>
    <row r="6023" spans="1:5" ht="27" x14ac:dyDescent="0.25">
      <c r="A6023" s="508">
        <v>96366</v>
      </c>
      <c r="B6023" s="509" t="s">
        <v>7743</v>
      </c>
      <c r="C6023" s="508" t="s">
        <v>150</v>
      </c>
      <c r="D6023" s="508">
        <v>132.62</v>
      </c>
      <c r="E6023" s="461" t="s">
        <v>174</v>
      </c>
    </row>
    <row r="6024" spans="1:5" ht="40.5" x14ac:dyDescent="0.25">
      <c r="A6024" s="508">
        <v>96367</v>
      </c>
      <c r="B6024" s="509" t="s">
        <v>7744</v>
      </c>
      <c r="C6024" s="508" t="s">
        <v>150</v>
      </c>
      <c r="D6024" s="508">
        <v>144.22999999999999</v>
      </c>
      <c r="E6024" s="461" t="s">
        <v>174</v>
      </c>
    </row>
    <row r="6025" spans="1:5" ht="27" x14ac:dyDescent="0.25">
      <c r="A6025" s="508">
        <v>96368</v>
      </c>
      <c r="B6025" s="509" t="s">
        <v>7745</v>
      </c>
      <c r="C6025" s="508" t="s">
        <v>150</v>
      </c>
      <c r="D6025" s="508">
        <v>158.25</v>
      </c>
      <c r="E6025" s="461" t="s">
        <v>174</v>
      </c>
    </row>
    <row r="6026" spans="1:5" ht="40.5" x14ac:dyDescent="0.25">
      <c r="A6026" s="508">
        <v>96369</v>
      </c>
      <c r="B6026" s="509" t="s">
        <v>7746</v>
      </c>
      <c r="C6026" s="508" t="s">
        <v>150</v>
      </c>
      <c r="D6026" s="508">
        <v>179.11</v>
      </c>
      <c r="E6026" s="461" t="s">
        <v>174</v>
      </c>
    </row>
    <row r="6027" spans="1:5" ht="27" x14ac:dyDescent="0.25">
      <c r="A6027" s="508">
        <v>96370</v>
      </c>
      <c r="B6027" s="509" t="s">
        <v>7747</v>
      </c>
      <c r="C6027" s="508" t="s">
        <v>150</v>
      </c>
      <c r="D6027" s="508">
        <v>55.96</v>
      </c>
      <c r="E6027" s="461" t="s">
        <v>174</v>
      </c>
    </row>
    <row r="6028" spans="1:5" ht="40.5" x14ac:dyDescent="0.25">
      <c r="A6028" s="508">
        <v>96371</v>
      </c>
      <c r="B6028" s="509" t="s">
        <v>7748</v>
      </c>
      <c r="C6028" s="508" t="s">
        <v>150</v>
      </c>
      <c r="D6028" s="508">
        <v>65.760000000000005</v>
      </c>
      <c r="E6028" s="461" t="s">
        <v>174</v>
      </c>
    </row>
    <row r="6029" spans="1:5" ht="15" x14ac:dyDescent="0.25">
      <c r="A6029" s="508">
        <v>96373</v>
      </c>
      <c r="B6029" s="509" t="s">
        <v>7749</v>
      </c>
      <c r="C6029" s="508" t="s">
        <v>5</v>
      </c>
      <c r="D6029" s="508">
        <v>10.76</v>
      </c>
      <c r="E6029" s="461" t="s">
        <v>174</v>
      </c>
    </row>
    <row r="6030" spans="1:5" ht="15" x14ac:dyDescent="0.25">
      <c r="A6030" s="508">
        <v>96374</v>
      </c>
      <c r="B6030" s="509" t="s">
        <v>7750</v>
      </c>
      <c r="C6030" s="508" t="s">
        <v>5</v>
      </c>
      <c r="D6030" s="508">
        <v>31.98</v>
      </c>
      <c r="E6030" s="461" t="s">
        <v>174</v>
      </c>
    </row>
    <row r="6031" spans="1:5" ht="15" x14ac:dyDescent="0.25">
      <c r="A6031" s="508">
        <v>102235</v>
      </c>
      <c r="B6031" s="509" t="s">
        <v>7751</v>
      </c>
      <c r="C6031" s="508" t="s">
        <v>150</v>
      </c>
      <c r="D6031" s="508">
        <v>389.26</v>
      </c>
      <c r="E6031" s="461" t="s">
        <v>174</v>
      </c>
    </row>
    <row r="6032" spans="1:5" ht="27" x14ac:dyDescent="0.25">
      <c r="A6032" s="508">
        <v>102253</v>
      </c>
      <c r="B6032" s="509" t="s">
        <v>3094</v>
      </c>
      <c r="C6032" s="508" t="s">
        <v>150</v>
      </c>
      <c r="D6032" s="508">
        <v>728.25</v>
      </c>
      <c r="E6032" s="461" t="s">
        <v>174</v>
      </c>
    </row>
    <row r="6033" spans="1:5" ht="27" x14ac:dyDescent="0.25">
      <c r="A6033" s="508">
        <v>102254</v>
      </c>
      <c r="B6033" s="509" t="s">
        <v>3095</v>
      </c>
      <c r="C6033" s="508" t="s">
        <v>150</v>
      </c>
      <c r="D6033" s="510">
        <v>685.67</v>
      </c>
      <c r="E6033" s="461" t="s">
        <v>174</v>
      </c>
    </row>
    <row r="6034" spans="1:5" ht="27" x14ac:dyDescent="0.25">
      <c r="A6034" s="508">
        <v>102255</v>
      </c>
      <c r="B6034" s="509" t="s">
        <v>3096</v>
      </c>
      <c r="C6034" s="508" t="s">
        <v>150</v>
      </c>
      <c r="D6034" s="510">
        <v>762.46</v>
      </c>
      <c r="E6034" s="461" t="s">
        <v>174</v>
      </c>
    </row>
    <row r="6035" spans="1:5" ht="27" x14ac:dyDescent="0.25">
      <c r="A6035" s="508">
        <v>102256</v>
      </c>
      <c r="B6035" s="509" t="s">
        <v>3097</v>
      </c>
      <c r="C6035" s="508" t="s">
        <v>150</v>
      </c>
      <c r="D6035" s="508">
        <v>721.91</v>
      </c>
      <c r="E6035" s="461" t="s">
        <v>174</v>
      </c>
    </row>
    <row r="6036" spans="1:5" ht="27" x14ac:dyDescent="0.25">
      <c r="A6036" s="508">
        <v>102257</v>
      </c>
      <c r="B6036" s="509" t="s">
        <v>3098</v>
      </c>
      <c r="C6036" s="508" t="s">
        <v>150</v>
      </c>
      <c r="D6036" s="508">
        <v>353.89</v>
      </c>
      <c r="E6036" s="461" t="s">
        <v>174</v>
      </c>
    </row>
    <row r="6037" spans="1:5" ht="27" x14ac:dyDescent="0.25">
      <c r="A6037" s="508">
        <v>102258</v>
      </c>
      <c r="B6037" s="509" t="s">
        <v>3099</v>
      </c>
      <c r="C6037" s="508" t="s">
        <v>150</v>
      </c>
      <c r="D6037" s="508">
        <v>397.97</v>
      </c>
      <c r="E6037" s="461" t="s">
        <v>174</v>
      </c>
    </row>
    <row r="6038" spans="1:5" ht="40.5" x14ac:dyDescent="0.25">
      <c r="A6038" s="508">
        <v>104718</v>
      </c>
      <c r="B6038" s="509" t="s">
        <v>7752</v>
      </c>
      <c r="C6038" s="508" t="s">
        <v>150</v>
      </c>
      <c r="D6038" s="508">
        <v>113.04</v>
      </c>
      <c r="E6038" s="461" t="s">
        <v>174</v>
      </c>
    </row>
    <row r="6039" spans="1:5" ht="40.5" x14ac:dyDescent="0.25">
      <c r="A6039" s="508">
        <v>104719</v>
      </c>
      <c r="B6039" s="509" t="s">
        <v>7753</v>
      </c>
      <c r="C6039" s="508" t="s">
        <v>150</v>
      </c>
      <c r="D6039" s="508">
        <v>163.66</v>
      </c>
      <c r="E6039" s="461" t="s">
        <v>174</v>
      </c>
    </row>
    <row r="6040" spans="1:5" ht="40.5" x14ac:dyDescent="0.25">
      <c r="A6040" s="508">
        <v>104720</v>
      </c>
      <c r="B6040" s="509" t="s">
        <v>7754</v>
      </c>
      <c r="C6040" s="508" t="s">
        <v>150</v>
      </c>
      <c r="D6040" s="508">
        <v>139.22999999999999</v>
      </c>
      <c r="E6040" s="461" t="s">
        <v>174</v>
      </c>
    </row>
    <row r="6041" spans="1:5" ht="40.5" x14ac:dyDescent="0.25">
      <c r="A6041" s="508">
        <v>104721</v>
      </c>
      <c r="B6041" s="509" t="s">
        <v>7755</v>
      </c>
      <c r="C6041" s="508" t="s">
        <v>150</v>
      </c>
      <c r="D6041" s="508">
        <v>189.85</v>
      </c>
      <c r="E6041" s="461" t="s">
        <v>174</v>
      </c>
    </row>
    <row r="6042" spans="1:5" ht="40.5" x14ac:dyDescent="0.25">
      <c r="A6042" s="508">
        <v>104722</v>
      </c>
      <c r="B6042" s="509" t="s">
        <v>7756</v>
      </c>
      <c r="C6042" s="508" t="s">
        <v>150</v>
      </c>
      <c r="D6042" s="508">
        <v>165.41</v>
      </c>
      <c r="E6042" s="461" t="s">
        <v>174</v>
      </c>
    </row>
    <row r="6043" spans="1:5" ht="40.5" x14ac:dyDescent="0.25">
      <c r="A6043" s="508">
        <v>104723</v>
      </c>
      <c r="B6043" s="509" t="s">
        <v>7757</v>
      </c>
      <c r="C6043" s="508" t="s">
        <v>150</v>
      </c>
      <c r="D6043" s="508">
        <v>216.04</v>
      </c>
      <c r="E6043" s="461" t="s">
        <v>174</v>
      </c>
    </row>
    <row r="6044" spans="1:5" ht="40.5" x14ac:dyDescent="0.25">
      <c r="A6044" s="508">
        <v>104724</v>
      </c>
      <c r="B6044" s="509" t="s">
        <v>7758</v>
      </c>
      <c r="C6044" s="508" t="s">
        <v>150</v>
      </c>
      <c r="D6044" s="508">
        <v>83.35</v>
      </c>
      <c r="E6044" s="461" t="s">
        <v>174</v>
      </c>
    </row>
    <row r="6045" spans="1:5" ht="27" x14ac:dyDescent="0.25">
      <c r="A6045" s="508">
        <v>101154</v>
      </c>
      <c r="B6045" s="509" t="s">
        <v>2091</v>
      </c>
      <c r="C6045" s="508" t="s">
        <v>150</v>
      </c>
      <c r="D6045" s="508">
        <v>132.82</v>
      </c>
      <c r="E6045" s="461" t="s">
        <v>174</v>
      </c>
    </row>
    <row r="6046" spans="1:5" ht="27" x14ac:dyDescent="0.25">
      <c r="A6046" s="508">
        <v>101155</v>
      </c>
      <c r="B6046" s="509" t="s">
        <v>2092</v>
      </c>
      <c r="C6046" s="508" t="s">
        <v>150</v>
      </c>
      <c r="D6046" s="508">
        <v>185.19</v>
      </c>
      <c r="E6046" s="461" t="s">
        <v>174</v>
      </c>
    </row>
    <row r="6047" spans="1:5" ht="27" x14ac:dyDescent="0.25">
      <c r="A6047" s="508">
        <v>101156</v>
      </c>
      <c r="B6047" s="509" t="s">
        <v>2093</v>
      </c>
      <c r="C6047" s="508" t="s">
        <v>150</v>
      </c>
      <c r="D6047" s="508">
        <v>270.27999999999997</v>
      </c>
      <c r="E6047" s="461" t="s">
        <v>174</v>
      </c>
    </row>
    <row r="6048" spans="1:5" ht="40.5" x14ac:dyDescent="0.25">
      <c r="A6048" s="508">
        <v>101814</v>
      </c>
      <c r="B6048" s="509" t="s">
        <v>3598</v>
      </c>
      <c r="C6048" s="508" t="s">
        <v>150</v>
      </c>
      <c r="D6048" s="508">
        <v>63.43</v>
      </c>
      <c r="E6048" s="461" t="s">
        <v>174</v>
      </c>
    </row>
    <row r="6049" spans="1:5" ht="40.5" x14ac:dyDescent="0.25">
      <c r="A6049" s="508">
        <v>101816</v>
      </c>
      <c r="B6049" s="509" t="s">
        <v>3599</v>
      </c>
      <c r="C6049" s="508" t="s">
        <v>150</v>
      </c>
      <c r="D6049" s="508">
        <v>87.87</v>
      </c>
      <c r="E6049" s="461" t="s">
        <v>174</v>
      </c>
    </row>
    <row r="6050" spans="1:5" ht="40.5" x14ac:dyDescent="0.25">
      <c r="A6050" s="508">
        <v>101817</v>
      </c>
      <c r="B6050" s="509" t="s">
        <v>3600</v>
      </c>
      <c r="C6050" s="508" t="s">
        <v>150</v>
      </c>
      <c r="D6050" s="508">
        <v>66.61</v>
      </c>
      <c r="E6050" s="461" t="s">
        <v>174</v>
      </c>
    </row>
    <row r="6051" spans="1:5" ht="40.5" x14ac:dyDescent="0.25">
      <c r="A6051" s="508">
        <v>101819</v>
      </c>
      <c r="B6051" s="509" t="s">
        <v>3601</v>
      </c>
      <c r="C6051" s="508" t="s">
        <v>150</v>
      </c>
      <c r="D6051" s="508">
        <v>80.52</v>
      </c>
      <c r="E6051" s="461" t="s">
        <v>174</v>
      </c>
    </row>
    <row r="6052" spans="1:5" ht="40.5" x14ac:dyDescent="0.25">
      <c r="A6052" s="508">
        <v>101820</v>
      </c>
      <c r="B6052" s="509" t="s">
        <v>3602</v>
      </c>
      <c r="C6052" s="508" t="s">
        <v>150</v>
      </c>
      <c r="D6052" s="508">
        <v>52.63</v>
      </c>
      <c r="E6052" s="461" t="s">
        <v>174</v>
      </c>
    </row>
    <row r="6053" spans="1:5" ht="27" x14ac:dyDescent="0.25">
      <c r="A6053" s="508">
        <v>101822</v>
      </c>
      <c r="B6053" s="509" t="s">
        <v>3603</v>
      </c>
      <c r="C6053" s="508" t="s">
        <v>163</v>
      </c>
      <c r="D6053" s="508">
        <v>127.83</v>
      </c>
      <c r="E6053" s="461" t="s">
        <v>174</v>
      </c>
    </row>
    <row r="6054" spans="1:5" ht="27" x14ac:dyDescent="0.25">
      <c r="A6054" s="508">
        <v>101823</v>
      </c>
      <c r="B6054" s="509" t="s">
        <v>3604</v>
      </c>
      <c r="C6054" s="508" t="s">
        <v>163</v>
      </c>
      <c r="D6054" s="508">
        <v>158.66</v>
      </c>
      <c r="E6054" s="461" t="s">
        <v>174</v>
      </c>
    </row>
    <row r="6055" spans="1:5" ht="27" x14ac:dyDescent="0.25">
      <c r="A6055" s="508">
        <v>101824</v>
      </c>
      <c r="B6055" s="509" t="s">
        <v>3605</v>
      </c>
      <c r="C6055" s="508" t="s">
        <v>163</v>
      </c>
      <c r="D6055" s="508">
        <v>187.36</v>
      </c>
      <c r="E6055" s="461" t="s">
        <v>174</v>
      </c>
    </row>
    <row r="6056" spans="1:5" ht="27" x14ac:dyDescent="0.25">
      <c r="A6056" s="508">
        <v>101825</v>
      </c>
      <c r="B6056" s="509" t="s">
        <v>3606</v>
      </c>
      <c r="C6056" s="508" t="s">
        <v>163</v>
      </c>
      <c r="D6056" s="508">
        <v>215.29</v>
      </c>
      <c r="E6056" s="461" t="s">
        <v>174</v>
      </c>
    </row>
    <row r="6057" spans="1:5" ht="27" x14ac:dyDescent="0.25">
      <c r="A6057" s="508">
        <v>101826</v>
      </c>
      <c r="B6057" s="509" t="s">
        <v>3607</v>
      </c>
      <c r="C6057" s="508" t="s">
        <v>163</v>
      </c>
      <c r="D6057" s="508">
        <v>242.85</v>
      </c>
      <c r="E6057" s="461" t="s">
        <v>174</v>
      </c>
    </row>
    <row r="6058" spans="1:5" ht="27" x14ac:dyDescent="0.25">
      <c r="A6058" s="508">
        <v>101827</v>
      </c>
      <c r="B6058" s="509" t="s">
        <v>3608</v>
      </c>
      <c r="C6058" s="508" t="s">
        <v>163</v>
      </c>
      <c r="D6058" s="508">
        <v>274.23</v>
      </c>
      <c r="E6058" s="461" t="s">
        <v>174</v>
      </c>
    </row>
    <row r="6059" spans="1:5" ht="27" x14ac:dyDescent="0.25">
      <c r="A6059" s="508">
        <v>101828</v>
      </c>
      <c r="B6059" s="509" t="s">
        <v>3609</v>
      </c>
      <c r="C6059" s="508" t="s">
        <v>163</v>
      </c>
      <c r="D6059" s="508">
        <v>249.84</v>
      </c>
      <c r="E6059" s="461" t="s">
        <v>174</v>
      </c>
    </row>
    <row r="6060" spans="1:5" ht="27" x14ac:dyDescent="0.25">
      <c r="A6060" s="508">
        <v>101829</v>
      </c>
      <c r="B6060" s="509" t="s">
        <v>4443</v>
      </c>
      <c r="C6060" s="508" t="s">
        <v>163</v>
      </c>
      <c r="D6060" s="508">
        <v>327.91</v>
      </c>
      <c r="E6060" s="461" t="s">
        <v>174</v>
      </c>
    </row>
    <row r="6061" spans="1:5" ht="27" x14ac:dyDescent="0.25">
      <c r="A6061" s="508">
        <v>101830</v>
      </c>
      <c r="B6061" s="509" t="s">
        <v>4444</v>
      </c>
      <c r="C6061" s="508" t="s">
        <v>163</v>
      </c>
      <c r="D6061" s="508">
        <v>352.91</v>
      </c>
      <c r="E6061" s="461" t="s">
        <v>174</v>
      </c>
    </row>
    <row r="6062" spans="1:5" ht="27" x14ac:dyDescent="0.25">
      <c r="A6062" s="508">
        <v>101831</v>
      </c>
      <c r="B6062" s="509" t="s">
        <v>4445</v>
      </c>
      <c r="C6062" s="508" t="s">
        <v>163</v>
      </c>
      <c r="D6062" s="508">
        <v>377.54</v>
      </c>
      <c r="E6062" s="461" t="s">
        <v>174</v>
      </c>
    </row>
    <row r="6063" spans="1:5" ht="27" x14ac:dyDescent="0.25">
      <c r="A6063" s="508">
        <v>101832</v>
      </c>
      <c r="B6063" s="509" t="s">
        <v>3610</v>
      </c>
      <c r="C6063" s="508" t="s">
        <v>163</v>
      </c>
      <c r="D6063" s="508">
        <v>304.49</v>
      </c>
      <c r="E6063" s="461" t="s">
        <v>174</v>
      </c>
    </row>
    <row r="6064" spans="1:5" ht="27" x14ac:dyDescent="0.25">
      <c r="A6064" s="508">
        <v>101833</v>
      </c>
      <c r="B6064" s="509" t="s">
        <v>3611</v>
      </c>
      <c r="C6064" s="508" t="s">
        <v>163</v>
      </c>
      <c r="D6064" s="508">
        <v>329.97</v>
      </c>
      <c r="E6064" s="461" t="s">
        <v>174</v>
      </c>
    </row>
    <row r="6065" spans="1:5" ht="27" x14ac:dyDescent="0.25">
      <c r="A6065" s="508">
        <v>101834</v>
      </c>
      <c r="B6065" s="509" t="s">
        <v>3612</v>
      </c>
      <c r="C6065" s="508" t="s">
        <v>163</v>
      </c>
      <c r="D6065" s="508">
        <v>355.1</v>
      </c>
      <c r="E6065" s="461" t="s">
        <v>174</v>
      </c>
    </row>
    <row r="6066" spans="1:5" ht="27" x14ac:dyDescent="0.25">
      <c r="A6066" s="508">
        <v>101835</v>
      </c>
      <c r="B6066" s="509" t="s">
        <v>3613</v>
      </c>
      <c r="C6066" s="508" t="s">
        <v>163</v>
      </c>
      <c r="D6066" s="508">
        <v>404.44</v>
      </c>
      <c r="E6066" s="461" t="s">
        <v>174</v>
      </c>
    </row>
    <row r="6067" spans="1:5" ht="27" x14ac:dyDescent="0.25">
      <c r="A6067" s="508">
        <v>101836</v>
      </c>
      <c r="B6067" s="509" t="s">
        <v>3614</v>
      </c>
      <c r="C6067" s="508" t="s">
        <v>163</v>
      </c>
      <c r="D6067" s="508">
        <v>26.19</v>
      </c>
      <c r="E6067" s="461" t="s">
        <v>174</v>
      </c>
    </row>
    <row r="6068" spans="1:5" ht="27" x14ac:dyDescent="0.25">
      <c r="A6068" s="508">
        <v>101837</v>
      </c>
      <c r="B6068" s="509" t="s">
        <v>3615</v>
      </c>
      <c r="C6068" s="508" t="s">
        <v>163</v>
      </c>
      <c r="D6068" s="508">
        <v>57.02</v>
      </c>
      <c r="E6068" s="461" t="s">
        <v>174</v>
      </c>
    </row>
    <row r="6069" spans="1:5" ht="27" x14ac:dyDescent="0.25">
      <c r="A6069" s="508">
        <v>101838</v>
      </c>
      <c r="B6069" s="509" t="s">
        <v>3616</v>
      </c>
      <c r="C6069" s="508" t="s">
        <v>163</v>
      </c>
      <c r="D6069" s="508">
        <v>85.72</v>
      </c>
      <c r="E6069" s="461" t="s">
        <v>174</v>
      </c>
    </row>
    <row r="6070" spans="1:5" ht="27" x14ac:dyDescent="0.25">
      <c r="A6070" s="508">
        <v>101839</v>
      </c>
      <c r="B6070" s="509" t="s">
        <v>3617</v>
      </c>
      <c r="C6070" s="508" t="s">
        <v>163</v>
      </c>
      <c r="D6070" s="508">
        <v>113.65</v>
      </c>
      <c r="E6070" s="461" t="s">
        <v>174</v>
      </c>
    </row>
    <row r="6071" spans="1:5" ht="27" x14ac:dyDescent="0.25">
      <c r="A6071" s="508">
        <v>101840</v>
      </c>
      <c r="B6071" s="509" t="s">
        <v>3618</v>
      </c>
      <c r="C6071" s="508" t="s">
        <v>163</v>
      </c>
      <c r="D6071" s="508">
        <v>187.49</v>
      </c>
      <c r="E6071" s="461" t="s">
        <v>174</v>
      </c>
    </row>
    <row r="6072" spans="1:5" ht="27" x14ac:dyDescent="0.25">
      <c r="A6072" s="508">
        <v>101841</v>
      </c>
      <c r="B6072" s="509" t="s">
        <v>3619</v>
      </c>
      <c r="C6072" s="508" t="s">
        <v>163</v>
      </c>
      <c r="D6072" s="508">
        <v>172.59</v>
      </c>
      <c r="E6072" s="461" t="s">
        <v>174</v>
      </c>
    </row>
    <row r="6073" spans="1:5" ht="27" x14ac:dyDescent="0.25">
      <c r="A6073" s="508">
        <v>101842</v>
      </c>
      <c r="B6073" s="509" t="s">
        <v>3620</v>
      </c>
      <c r="C6073" s="508" t="s">
        <v>163</v>
      </c>
      <c r="D6073" s="508">
        <v>148.19999999999999</v>
      </c>
      <c r="E6073" s="461" t="s">
        <v>174</v>
      </c>
    </row>
    <row r="6074" spans="1:5" ht="27" x14ac:dyDescent="0.25">
      <c r="A6074" s="508">
        <v>101843</v>
      </c>
      <c r="B6074" s="509" t="s">
        <v>4446</v>
      </c>
      <c r="C6074" s="508" t="s">
        <v>163</v>
      </c>
      <c r="D6074" s="508">
        <v>226.27</v>
      </c>
      <c r="E6074" s="461" t="s">
        <v>174</v>
      </c>
    </row>
    <row r="6075" spans="1:5" ht="27" x14ac:dyDescent="0.25">
      <c r="A6075" s="508">
        <v>101844</v>
      </c>
      <c r="B6075" s="509" t="s">
        <v>4447</v>
      </c>
      <c r="C6075" s="508" t="s">
        <v>163</v>
      </c>
      <c r="D6075" s="508">
        <v>251.27</v>
      </c>
      <c r="E6075" s="461" t="s">
        <v>174</v>
      </c>
    </row>
    <row r="6076" spans="1:5" ht="27" x14ac:dyDescent="0.25">
      <c r="A6076" s="508">
        <v>101845</v>
      </c>
      <c r="B6076" s="509" t="s">
        <v>4448</v>
      </c>
      <c r="C6076" s="508" t="s">
        <v>163</v>
      </c>
      <c r="D6076" s="508">
        <v>275.89999999999998</v>
      </c>
      <c r="E6076" s="461" t="s">
        <v>174</v>
      </c>
    </row>
    <row r="6077" spans="1:5" ht="27" x14ac:dyDescent="0.25">
      <c r="A6077" s="508">
        <v>101846</v>
      </c>
      <c r="B6077" s="509" t="s">
        <v>3621</v>
      </c>
      <c r="C6077" s="508" t="s">
        <v>163</v>
      </c>
      <c r="D6077" s="508">
        <v>202.85</v>
      </c>
      <c r="E6077" s="461" t="s">
        <v>174</v>
      </c>
    </row>
    <row r="6078" spans="1:5" ht="27" x14ac:dyDescent="0.25">
      <c r="A6078" s="508">
        <v>101847</v>
      </c>
      <c r="B6078" s="509" t="s">
        <v>3622</v>
      </c>
      <c r="C6078" s="508" t="s">
        <v>163</v>
      </c>
      <c r="D6078" s="508">
        <v>228.33</v>
      </c>
      <c r="E6078" s="461" t="s">
        <v>174</v>
      </c>
    </row>
    <row r="6079" spans="1:5" ht="27" x14ac:dyDescent="0.25">
      <c r="A6079" s="508">
        <v>101848</v>
      </c>
      <c r="B6079" s="509" t="s">
        <v>3623</v>
      </c>
      <c r="C6079" s="508" t="s">
        <v>163</v>
      </c>
      <c r="D6079" s="508">
        <v>253.46</v>
      </c>
      <c r="E6079" s="461" t="s">
        <v>174</v>
      </c>
    </row>
    <row r="6080" spans="1:5" ht="27" x14ac:dyDescent="0.25">
      <c r="A6080" s="508">
        <v>101849</v>
      </c>
      <c r="B6080" s="509" t="s">
        <v>3624</v>
      </c>
      <c r="C6080" s="508" t="s">
        <v>163</v>
      </c>
      <c r="D6080" s="508">
        <v>302.8</v>
      </c>
      <c r="E6080" s="461" t="s">
        <v>174</v>
      </c>
    </row>
    <row r="6081" spans="1:5" ht="27" x14ac:dyDescent="0.25">
      <c r="A6081" s="508">
        <v>101850</v>
      </c>
      <c r="B6081" s="509" t="s">
        <v>3625</v>
      </c>
      <c r="C6081" s="508" t="s">
        <v>150</v>
      </c>
      <c r="D6081" s="508">
        <v>76.569999999999993</v>
      </c>
      <c r="E6081" s="461" t="s">
        <v>174</v>
      </c>
    </row>
    <row r="6082" spans="1:5" ht="27" x14ac:dyDescent="0.25">
      <c r="A6082" s="508">
        <v>101852</v>
      </c>
      <c r="B6082" s="509" t="s">
        <v>3626</v>
      </c>
      <c r="C6082" s="508" t="s">
        <v>150</v>
      </c>
      <c r="D6082" s="508">
        <v>90.93</v>
      </c>
      <c r="E6082" s="461" t="s">
        <v>174</v>
      </c>
    </row>
    <row r="6083" spans="1:5" ht="40.5" x14ac:dyDescent="0.25">
      <c r="A6083" s="508">
        <v>101853</v>
      </c>
      <c r="B6083" s="509" t="s">
        <v>3627</v>
      </c>
      <c r="C6083" s="508" t="s">
        <v>150</v>
      </c>
      <c r="D6083" s="508">
        <v>71.33</v>
      </c>
      <c r="E6083" s="461" t="s">
        <v>174</v>
      </c>
    </row>
    <row r="6084" spans="1:5" ht="40.5" x14ac:dyDescent="0.25">
      <c r="A6084" s="508">
        <v>101855</v>
      </c>
      <c r="B6084" s="509" t="s">
        <v>3628</v>
      </c>
      <c r="C6084" s="508" t="s">
        <v>150</v>
      </c>
      <c r="D6084" s="508">
        <v>96.11</v>
      </c>
      <c r="E6084" s="461" t="s">
        <v>174</v>
      </c>
    </row>
    <row r="6085" spans="1:5" ht="27" x14ac:dyDescent="0.25">
      <c r="A6085" s="508">
        <v>101856</v>
      </c>
      <c r="B6085" s="509" t="s">
        <v>3629</v>
      </c>
      <c r="C6085" s="508" t="s">
        <v>150</v>
      </c>
      <c r="D6085" s="508">
        <v>35.979999999999997</v>
      </c>
      <c r="E6085" s="461" t="s">
        <v>174</v>
      </c>
    </row>
    <row r="6086" spans="1:5" ht="40.5" x14ac:dyDescent="0.25">
      <c r="A6086" s="508">
        <v>101857</v>
      </c>
      <c r="B6086" s="509" t="s">
        <v>3630</v>
      </c>
      <c r="C6086" s="508" t="s">
        <v>150</v>
      </c>
      <c r="D6086" s="508">
        <v>43.27</v>
      </c>
      <c r="E6086" s="461" t="s">
        <v>174</v>
      </c>
    </row>
    <row r="6087" spans="1:5" ht="40.5" x14ac:dyDescent="0.25">
      <c r="A6087" s="508">
        <v>101858</v>
      </c>
      <c r="B6087" s="509" t="s">
        <v>3631</v>
      </c>
      <c r="C6087" s="508" t="s">
        <v>150</v>
      </c>
      <c r="D6087" s="508">
        <v>36.61</v>
      </c>
      <c r="E6087" s="461" t="s">
        <v>174</v>
      </c>
    </row>
    <row r="6088" spans="1:5" ht="40.5" x14ac:dyDescent="0.25">
      <c r="A6088" s="508">
        <v>101859</v>
      </c>
      <c r="B6088" s="509" t="s">
        <v>3632</v>
      </c>
      <c r="C6088" s="508" t="s">
        <v>150</v>
      </c>
      <c r="D6088" s="508">
        <v>39.74</v>
      </c>
      <c r="E6088" s="461" t="s">
        <v>174</v>
      </c>
    </row>
    <row r="6089" spans="1:5" ht="40.5" x14ac:dyDescent="0.25">
      <c r="A6089" s="508">
        <v>101860</v>
      </c>
      <c r="B6089" s="509" t="s">
        <v>3633</v>
      </c>
      <c r="C6089" s="508" t="s">
        <v>150</v>
      </c>
      <c r="D6089" s="508">
        <v>44.67</v>
      </c>
      <c r="E6089" s="461" t="s">
        <v>174</v>
      </c>
    </row>
    <row r="6090" spans="1:5" ht="40.5" x14ac:dyDescent="0.25">
      <c r="A6090" s="508">
        <v>101861</v>
      </c>
      <c r="B6090" s="509" t="s">
        <v>3634</v>
      </c>
      <c r="C6090" s="508" t="s">
        <v>150</v>
      </c>
      <c r="D6090" s="508">
        <v>42.21</v>
      </c>
      <c r="E6090" s="461" t="s">
        <v>174</v>
      </c>
    </row>
    <row r="6091" spans="1:5" ht="40.5" x14ac:dyDescent="0.25">
      <c r="A6091" s="508">
        <v>101862</v>
      </c>
      <c r="B6091" s="509" t="s">
        <v>3635</v>
      </c>
      <c r="C6091" s="508" t="s">
        <v>150</v>
      </c>
      <c r="D6091" s="508">
        <v>45.4</v>
      </c>
      <c r="E6091" s="461" t="s">
        <v>174</v>
      </c>
    </row>
    <row r="6092" spans="1:5" ht="40.5" x14ac:dyDescent="0.25">
      <c r="A6092" s="508">
        <v>101863</v>
      </c>
      <c r="B6092" s="509" t="s">
        <v>3636</v>
      </c>
      <c r="C6092" s="508" t="s">
        <v>150</v>
      </c>
      <c r="D6092" s="508">
        <v>37.03</v>
      </c>
      <c r="E6092" s="461" t="s">
        <v>174</v>
      </c>
    </row>
    <row r="6093" spans="1:5" ht="40.5" x14ac:dyDescent="0.25">
      <c r="A6093" s="508">
        <v>101864</v>
      </c>
      <c r="B6093" s="509" t="s">
        <v>3637</v>
      </c>
      <c r="C6093" s="508" t="s">
        <v>150</v>
      </c>
      <c r="D6093" s="508">
        <v>41.97</v>
      </c>
      <c r="E6093" s="461" t="s">
        <v>174</v>
      </c>
    </row>
    <row r="6094" spans="1:5" ht="40.5" x14ac:dyDescent="0.25">
      <c r="A6094" s="508">
        <v>101865</v>
      </c>
      <c r="B6094" s="509" t="s">
        <v>3638</v>
      </c>
      <c r="C6094" s="508" t="s">
        <v>150</v>
      </c>
      <c r="D6094" s="508">
        <v>46.89</v>
      </c>
      <c r="E6094" s="461" t="s">
        <v>174</v>
      </c>
    </row>
    <row r="6095" spans="1:5" ht="40.5" x14ac:dyDescent="0.25">
      <c r="A6095" s="508">
        <v>101866</v>
      </c>
      <c r="B6095" s="509" t="s">
        <v>3639</v>
      </c>
      <c r="C6095" s="508" t="s">
        <v>150</v>
      </c>
      <c r="D6095" s="508">
        <v>42.46</v>
      </c>
      <c r="E6095" s="461" t="s">
        <v>174</v>
      </c>
    </row>
    <row r="6096" spans="1:5" ht="40.5" x14ac:dyDescent="0.25">
      <c r="A6096" s="508">
        <v>101867</v>
      </c>
      <c r="B6096" s="509" t="s">
        <v>3640</v>
      </c>
      <c r="C6096" s="508" t="s">
        <v>150</v>
      </c>
      <c r="D6096" s="508">
        <v>47.38</v>
      </c>
      <c r="E6096" s="461" t="s">
        <v>174</v>
      </c>
    </row>
    <row r="6097" spans="1:5" ht="40.5" x14ac:dyDescent="0.25">
      <c r="A6097" s="508">
        <v>101868</v>
      </c>
      <c r="B6097" s="509" t="s">
        <v>3641</v>
      </c>
      <c r="C6097" s="508" t="s">
        <v>150</v>
      </c>
      <c r="D6097" s="508">
        <v>39.01</v>
      </c>
      <c r="E6097" s="461" t="s">
        <v>174</v>
      </c>
    </row>
    <row r="6098" spans="1:5" ht="40.5" x14ac:dyDescent="0.25">
      <c r="A6098" s="508">
        <v>101869</v>
      </c>
      <c r="B6098" s="509" t="s">
        <v>3642</v>
      </c>
      <c r="C6098" s="508" t="s">
        <v>150</v>
      </c>
      <c r="D6098" s="508">
        <v>43.94</v>
      </c>
      <c r="E6098" s="461" t="s">
        <v>174</v>
      </c>
    </row>
    <row r="6099" spans="1:5" ht="40.5" x14ac:dyDescent="0.25">
      <c r="A6099" s="508">
        <v>101870</v>
      </c>
      <c r="B6099" s="509" t="s">
        <v>3643</v>
      </c>
      <c r="C6099" s="508" t="s">
        <v>150</v>
      </c>
      <c r="D6099" s="508">
        <v>48.86</v>
      </c>
      <c r="E6099" s="461" t="s">
        <v>174</v>
      </c>
    </row>
    <row r="6100" spans="1:5" ht="27" x14ac:dyDescent="0.25">
      <c r="A6100" s="508">
        <v>102098</v>
      </c>
      <c r="B6100" s="509" t="s">
        <v>3644</v>
      </c>
      <c r="C6100" s="508" t="s">
        <v>163</v>
      </c>
      <c r="D6100" s="508">
        <v>2257.13</v>
      </c>
      <c r="E6100" s="461" t="s">
        <v>174</v>
      </c>
    </row>
    <row r="6101" spans="1:5" ht="40.5" x14ac:dyDescent="0.25">
      <c r="A6101" s="508">
        <v>102988</v>
      </c>
      <c r="B6101" s="509" t="s">
        <v>4142</v>
      </c>
      <c r="C6101" s="508" t="s">
        <v>150</v>
      </c>
      <c r="D6101" s="508">
        <v>67.7</v>
      </c>
      <c r="E6101" s="461" t="s">
        <v>174</v>
      </c>
    </row>
    <row r="6102" spans="1:5" ht="27" x14ac:dyDescent="0.25">
      <c r="A6102" s="508">
        <v>100576</v>
      </c>
      <c r="B6102" s="509" t="s">
        <v>1756</v>
      </c>
      <c r="C6102" s="508" t="s">
        <v>150</v>
      </c>
      <c r="D6102" s="508">
        <v>2.54</v>
      </c>
      <c r="E6102" s="461" t="s">
        <v>174</v>
      </c>
    </row>
    <row r="6103" spans="1:5" ht="15" x14ac:dyDescent="0.25">
      <c r="A6103" s="508">
        <v>100577</v>
      </c>
      <c r="B6103" s="509" t="s">
        <v>1757</v>
      </c>
      <c r="C6103" s="508" t="s">
        <v>150</v>
      </c>
      <c r="D6103" s="508">
        <v>1.23</v>
      </c>
      <c r="E6103" s="461" t="s">
        <v>174</v>
      </c>
    </row>
    <row r="6104" spans="1:5" ht="40.5" x14ac:dyDescent="0.25">
      <c r="A6104" s="508">
        <v>96388</v>
      </c>
      <c r="B6104" s="509" t="s">
        <v>1758</v>
      </c>
      <c r="C6104" s="508" t="s">
        <v>163</v>
      </c>
      <c r="D6104" s="508">
        <v>12.22</v>
      </c>
      <c r="E6104" s="461" t="s">
        <v>174</v>
      </c>
    </row>
    <row r="6105" spans="1:5" ht="40.5" x14ac:dyDescent="0.25">
      <c r="A6105" s="508">
        <v>96389</v>
      </c>
      <c r="B6105" s="509" t="s">
        <v>2094</v>
      </c>
      <c r="C6105" s="508" t="s">
        <v>163</v>
      </c>
      <c r="D6105" s="508">
        <v>47.88</v>
      </c>
      <c r="E6105" s="461" t="s">
        <v>174</v>
      </c>
    </row>
    <row r="6106" spans="1:5" ht="40.5" x14ac:dyDescent="0.25">
      <c r="A6106" s="508">
        <v>96390</v>
      </c>
      <c r="B6106" s="509" t="s">
        <v>2095</v>
      </c>
      <c r="C6106" s="508" t="s">
        <v>163</v>
      </c>
      <c r="D6106" s="508">
        <v>74.91</v>
      </c>
      <c r="E6106" s="461" t="s">
        <v>174</v>
      </c>
    </row>
    <row r="6107" spans="1:5" ht="40.5" x14ac:dyDescent="0.25">
      <c r="A6107" s="508">
        <v>96391</v>
      </c>
      <c r="B6107" s="509" t="s">
        <v>1759</v>
      </c>
      <c r="C6107" s="508" t="s">
        <v>163</v>
      </c>
      <c r="D6107" s="508">
        <v>103.6</v>
      </c>
      <c r="E6107" s="461" t="s">
        <v>174</v>
      </c>
    </row>
    <row r="6108" spans="1:5" ht="40.5" x14ac:dyDescent="0.25">
      <c r="A6108" s="508">
        <v>96392</v>
      </c>
      <c r="B6108" s="509" t="s">
        <v>1760</v>
      </c>
      <c r="C6108" s="508" t="s">
        <v>163</v>
      </c>
      <c r="D6108" s="508">
        <v>131.16</v>
      </c>
      <c r="E6108" s="461" t="s">
        <v>174</v>
      </c>
    </row>
    <row r="6109" spans="1:5" ht="27" x14ac:dyDescent="0.25">
      <c r="A6109" s="508">
        <v>96396</v>
      </c>
      <c r="B6109" s="509" t="s">
        <v>1761</v>
      </c>
      <c r="C6109" s="508" t="s">
        <v>163</v>
      </c>
      <c r="D6109" s="508">
        <v>290.24</v>
      </c>
      <c r="E6109" s="461" t="s">
        <v>174</v>
      </c>
    </row>
    <row r="6110" spans="1:5" ht="27" x14ac:dyDescent="0.25">
      <c r="A6110" s="508">
        <v>96397</v>
      </c>
      <c r="B6110" s="509" t="s">
        <v>1762</v>
      </c>
      <c r="C6110" s="508" t="s">
        <v>163</v>
      </c>
      <c r="D6110" s="508">
        <v>342.69</v>
      </c>
      <c r="E6110" s="461" t="s">
        <v>174</v>
      </c>
    </row>
    <row r="6111" spans="1:5" ht="27" x14ac:dyDescent="0.25">
      <c r="A6111" s="508">
        <v>96398</v>
      </c>
      <c r="B6111" s="509" t="s">
        <v>1763</v>
      </c>
      <c r="C6111" s="508" t="s">
        <v>163</v>
      </c>
      <c r="D6111" s="508">
        <v>414.82</v>
      </c>
      <c r="E6111" s="461" t="s">
        <v>174</v>
      </c>
    </row>
    <row r="6112" spans="1:5" ht="27" x14ac:dyDescent="0.25">
      <c r="A6112" s="508">
        <v>96399</v>
      </c>
      <c r="B6112" s="509" t="s">
        <v>2096</v>
      </c>
      <c r="C6112" s="508" t="s">
        <v>163</v>
      </c>
      <c r="D6112" s="508">
        <v>198.22</v>
      </c>
      <c r="E6112" s="461" t="s">
        <v>174</v>
      </c>
    </row>
    <row r="6113" spans="1:5" ht="27" x14ac:dyDescent="0.25">
      <c r="A6113" s="508">
        <v>96400</v>
      </c>
      <c r="B6113" s="509" t="s">
        <v>1764</v>
      </c>
      <c r="C6113" s="508" t="s">
        <v>163</v>
      </c>
      <c r="D6113" s="508">
        <v>256.17</v>
      </c>
      <c r="E6113" s="461" t="s">
        <v>174</v>
      </c>
    </row>
    <row r="6114" spans="1:5" ht="40.5" x14ac:dyDescent="0.25">
      <c r="A6114" s="508">
        <v>100564</v>
      </c>
      <c r="B6114" s="509" t="s">
        <v>1765</v>
      </c>
      <c r="C6114" s="508" t="s">
        <v>163</v>
      </c>
      <c r="D6114" s="508">
        <v>169.7</v>
      </c>
      <c r="E6114" s="461" t="s">
        <v>174</v>
      </c>
    </row>
    <row r="6115" spans="1:5" ht="40.5" x14ac:dyDescent="0.25">
      <c r="A6115" s="508">
        <v>100565</v>
      </c>
      <c r="B6115" s="509" t="s">
        <v>1766</v>
      </c>
      <c r="C6115" s="508" t="s">
        <v>163</v>
      </c>
      <c r="D6115" s="508">
        <v>145.38999999999999</v>
      </c>
      <c r="E6115" s="461" t="s">
        <v>174</v>
      </c>
    </row>
    <row r="6116" spans="1:5" ht="40.5" x14ac:dyDescent="0.25">
      <c r="A6116" s="508">
        <v>100566</v>
      </c>
      <c r="B6116" s="509" t="s">
        <v>1767</v>
      </c>
      <c r="C6116" s="508" t="s">
        <v>163</v>
      </c>
      <c r="D6116" s="508">
        <v>223.37</v>
      </c>
      <c r="E6116" s="461" t="s">
        <v>174</v>
      </c>
    </row>
    <row r="6117" spans="1:5" ht="40.5" x14ac:dyDescent="0.25">
      <c r="A6117" s="508">
        <v>100567</v>
      </c>
      <c r="B6117" s="509" t="s">
        <v>1768</v>
      </c>
      <c r="C6117" s="508" t="s">
        <v>163</v>
      </c>
      <c r="D6117" s="508">
        <v>248.46</v>
      </c>
      <c r="E6117" s="461" t="s">
        <v>174</v>
      </c>
    </row>
    <row r="6118" spans="1:5" ht="40.5" x14ac:dyDescent="0.25">
      <c r="A6118" s="508">
        <v>100568</v>
      </c>
      <c r="B6118" s="509" t="s">
        <v>1769</v>
      </c>
      <c r="C6118" s="508" t="s">
        <v>163</v>
      </c>
      <c r="D6118" s="508">
        <v>273.01</v>
      </c>
      <c r="E6118" s="461" t="s">
        <v>174</v>
      </c>
    </row>
    <row r="6119" spans="1:5" ht="40.5" x14ac:dyDescent="0.25">
      <c r="A6119" s="508">
        <v>100569</v>
      </c>
      <c r="B6119" s="509" t="s">
        <v>1770</v>
      </c>
      <c r="C6119" s="508" t="s">
        <v>163</v>
      </c>
      <c r="D6119" s="508">
        <v>199.95</v>
      </c>
      <c r="E6119" s="461" t="s">
        <v>174</v>
      </c>
    </row>
    <row r="6120" spans="1:5" ht="40.5" x14ac:dyDescent="0.25">
      <c r="A6120" s="508">
        <v>100570</v>
      </c>
      <c r="B6120" s="509" t="s">
        <v>1771</v>
      </c>
      <c r="C6120" s="508" t="s">
        <v>163</v>
      </c>
      <c r="D6120" s="508">
        <v>227.65</v>
      </c>
      <c r="E6120" s="461" t="s">
        <v>174</v>
      </c>
    </row>
    <row r="6121" spans="1:5" ht="40.5" x14ac:dyDescent="0.25">
      <c r="A6121" s="508">
        <v>100571</v>
      </c>
      <c r="B6121" s="509" t="s">
        <v>1772</v>
      </c>
      <c r="C6121" s="508" t="s">
        <v>163</v>
      </c>
      <c r="D6121" s="508">
        <v>250.65</v>
      </c>
      <c r="E6121" s="461" t="s">
        <v>174</v>
      </c>
    </row>
    <row r="6122" spans="1:5" ht="40.5" x14ac:dyDescent="0.25">
      <c r="A6122" s="508">
        <v>100572</v>
      </c>
      <c r="B6122" s="509" t="s">
        <v>1773</v>
      </c>
      <c r="C6122" s="508" t="s">
        <v>163</v>
      </c>
      <c r="D6122" s="508">
        <v>174.66</v>
      </c>
      <c r="E6122" s="461" t="s">
        <v>174</v>
      </c>
    </row>
    <row r="6123" spans="1:5" ht="40.5" x14ac:dyDescent="0.25">
      <c r="A6123" s="508">
        <v>100573</v>
      </c>
      <c r="B6123" s="509" t="s">
        <v>1774</v>
      </c>
      <c r="C6123" s="508" t="s">
        <v>163</v>
      </c>
      <c r="D6123" s="508">
        <v>150.35</v>
      </c>
      <c r="E6123" s="461" t="s">
        <v>174</v>
      </c>
    </row>
    <row r="6124" spans="1:5" ht="15" x14ac:dyDescent="0.25">
      <c r="A6124" s="508">
        <v>100574</v>
      </c>
      <c r="B6124" s="509" t="s">
        <v>1775</v>
      </c>
      <c r="C6124" s="508" t="s">
        <v>163</v>
      </c>
      <c r="D6124" s="508">
        <v>1.45</v>
      </c>
      <c r="E6124" s="461" t="s">
        <v>174</v>
      </c>
    </row>
    <row r="6125" spans="1:5" ht="15" x14ac:dyDescent="0.25">
      <c r="A6125" s="508">
        <v>100575</v>
      </c>
      <c r="B6125" s="509" t="s">
        <v>1776</v>
      </c>
      <c r="C6125" s="508" t="s">
        <v>150</v>
      </c>
      <c r="D6125" s="508">
        <v>0.14000000000000001</v>
      </c>
      <c r="E6125" s="461" t="s">
        <v>174</v>
      </c>
    </row>
    <row r="6126" spans="1:5" ht="40.5" x14ac:dyDescent="0.25">
      <c r="A6126" s="508">
        <v>101767</v>
      </c>
      <c r="B6126" s="509" t="s">
        <v>3100</v>
      </c>
      <c r="C6126" s="508" t="s">
        <v>163</v>
      </c>
      <c r="D6126" s="508">
        <v>28.27</v>
      </c>
      <c r="E6126" s="461" t="s">
        <v>174</v>
      </c>
    </row>
    <row r="6127" spans="1:5" ht="40.5" x14ac:dyDescent="0.25">
      <c r="A6127" s="508">
        <v>101768</v>
      </c>
      <c r="B6127" s="509" t="s">
        <v>7759</v>
      </c>
      <c r="C6127" s="508" t="s">
        <v>163</v>
      </c>
      <c r="D6127" s="508">
        <v>24.1</v>
      </c>
      <c r="E6127" s="461" t="s">
        <v>174</v>
      </c>
    </row>
    <row r="6128" spans="1:5" ht="27" x14ac:dyDescent="0.25">
      <c r="A6128" s="508">
        <v>92391</v>
      </c>
      <c r="B6128" s="509" t="s">
        <v>7760</v>
      </c>
      <c r="C6128" s="508" t="s">
        <v>150</v>
      </c>
      <c r="D6128" s="508">
        <v>83.13</v>
      </c>
      <c r="E6128" s="461" t="s">
        <v>174</v>
      </c>
    </row>
    <row r="6129" spans="1:5" ht="27" x14ac:dyDescent="0.25">
      <c r="A6129" s="508">
        <v>92392</v>
      </c>
      <c r="B6129" s="509" t="s">
        <v>7761</v>
      </c>
      <c r="C6129" s="508" t="s">
        <v>150</v>
      </c>
      <c r="D6129" s="508">
        <v>166.84</v>
      </c>
      <c r="E6129" s="461" t="s">
        <v>174</v>
      </c>
    </row>
    <row r="6130" spans="1:5" ht="27" x14ac:dyDescent="0.25">
      <c r="A6130" s="508">
        <v>92393</v>
      </c>
      <c r="B6130" s="509" t="s">
        <v>7762</v>
      </c>
      <c r="C6130" s="508" t="s">
        <v>150</v>
      </c>
      <c r="D6130" s="508">
        <v>82.2</v>
      </c>
      <c r="E6130" s="461" t="s">
        <v>174</v>
      </c>
    </row>
    <row r="6131" spans="1:5" ht="27" x14ac:dyDescent="0.25">
      <c r="A6131" s="508">
        <v>92394</v>
      </c>
      <c r="B6131" s="509" t="s">
        <v>7763</v>
      </c>
      <c r="C6131" s="508" t="s">
        <v>150</v>
      </c>
      <c r="D6131" s="508">
        <v>101</v>
      </c>
      <c r="E6131" s="461" t="s">
        <v>174</v>
      </c>
    </row>
    <row r="6132" spans="1:5" ht="27" x14ac:dyDescent="0.25">
      <c r="A6132" s="508">
        <v>92395</v>
      </c>
      <c r="B6132" s="509" t="s">
        <v>7764</v>
      </c>
      <c r="C6132" s="508" t="s">
        <v>150</v>
      </c>
      <c r="D6132" s="508">
        <v>120.19</v>
      </c>
      <c r="E6132" s="461" t="s">
        <v>174</v>
      </c>
    </row>
    <row r="6133" spans="1:5" ht="27" x14ac:dyDescent="0.25">
      <c r="A6133" s="508">
        <v>92396</v>
      </c>
      <c r="B6133" s="509" t="s">
        <v>7765</v>
      </c>
      <c r="C6133" s="508" t="s">
        <v>150</v>
      </c>
      <c r="D6133" s="508">
        <v>97.57</v>
      </c>
      <c r="E6133" s="461" t="s">
        <v>174</v>
      </c>
    </row>
    <row r="6134" spans="1:5" ht="27" x14ac:dyDescent="0.25">
      <c r="A6134" s="508">
        <v>92397</v>
      </c>
      <c r="B6134" s="509" t="s">
        <v>7766</v>
      </c>
      <c r="C6134" s="508" t="s">
        <v>150</v>
      </c>
      <c r="D6134" s="508">
        <v>86.44</v>
      </c>
      <c r="E6134" s="461" t="s">
        <v>174</v>
      </c>
    </row>
    <row r="6135" spans="1:5" ht="27" x14ac:dyDescent="0.25">
      <c r="A6135" s="508">
        <v>92398</v>
      </c>
      <c r="B6135" s="509" t="s">
        <v>7767</v>
      </c>
      <c r="C6135" s="508" t="s">
        <v>150</v>
      </c>
      <c r="D6135" s="508">
        <v>106.25</v>
      </c>
      <c r="E6135" s="461" t="s">
        <v>174</v>
      </c>
    </row>
    <row r="6136" spans="1:5" ht="27" x14ac:dyDescent="0.25">
      <c r="A6136" s="508">
        <v>92400</v>
      </c>
      <c r="B6136" s="509" t="s">
        <v>7768</v>
      </c>
      <c r="C6136" s="508" t="s">
        <v>150</v>
      </c>
      <c r="D6136" s="508">
        <v>123.72</v>
      </c>
      <c r="E6136" s="461" t="s">
        <v>174</v>
      </c>
    </row>
    <row r="6137" spans="1:5" ht="27" x14ac:dyDescent="0.25">
      <c r="A6137" s="508">
        <v>92402</v>
      </c>
      <c r="B6137" s="509" t="s">
        <v>7769</v>
      </c>
      <c r="C6137" s="508" t="s">
        <v>150</v>
      </c>
      <c r="D6137" s="508">
        <v>95.26</v>
      </c>
      <c r="E6137" s="461" t="s">
        <v>174</v>
      </c>
    </row>
    <row r="6138" spans="1:5" ht="27" x14ac:dyDescent="0.25">
      <c r="A6138" s="508">
        <v>92403</v>
      </c>
      <c r="B6138" s="509" t="s">
        <v>7770</v>
      </c>
      <c r="C6138" s="508" t="s">
        <v>150</v>
      </c>
      <c r="D6138" s="508">
        <v>83.77</v>
      </c>
      <c r="E6138" s="461" t="s">
        <v>174</v>
      </c>
    </row>
    <row r="6139" spans="1:5" ht="27" x14ac:dyDescent="0.25">
      <c r="A6139" s="508">
        <v>92404</v>
      </c>
      <c r="B6139" s="509" t="s">
        <v>7771</v>
      </c>
      <c r="C6139" s="508" t="s">
        <v>150</v>
      </c>
      <c r="D6139" s="508">
        <v>103.57</v>
      </c>
      <c r="E6139" s="461" t="s">
        <v>174</v>
      </c>
    </row>
    <row r="6140" spans="1:5" ht="27" x14ac:dyDescent="0.25">
      <c r="A6140" s="508">
        <v>92406</v>
      </c>
      <c r="B6140" s="509" t="s">
        <v>7772</v>
      </c>
      <c r="C6140" s="508" t="s">
        <v>150</v>
      </c>
      <c r="D6140" s="508">
        <v>123.11</v>
      </c>
      <c r="E6140" s="461" t="s">
        <v>174</v>
      </c>
    </row>
    <row r="6141" spans="1:5" ht="27" x14ac:dyDescent="0.25">
      <c r="A6141" s="508">
        <v>93679</v>
      </c>
      <c r="B6141" s="509" t="s">
        <v>7773</v>
      </c>
      <c r="C6141" s="508" t="s">
        <v>150</v>
      </c>
      <c r="D6141" s="508">
        <v>107.76</v>
      </c>
      <c r="E6141" s="461" t="s">
        <v>174</v>
      </c>
    </row>
    <row r="6142" spans="1:5" ht="27" x14ac:dyDescent="0.25">
      <c r="A6142" s="508">
        <v>93680</v>
      </c>
      <c r="B6142" s="509" t="s">
        <v>7774</v>
      </c>
      <c r="C6142" s="508" t="s">
        <v>150</v>
      </c>
      <c r="D6142" s="508">
        <v>96.37</v>
      </c>
      <c r="E6142" s="461" t="s">
        <v>174</v>
      </c>
    </row>
    <row r="6143" spans="1:5" ht="27" x14ac:dyDescent="0.25">
      <c r="A6143" s="508">
        <v>93681</v>
      </c>
      <c r="B6143" s="509" t="s">
        <v>7775</v>
      </c>
      <c r="C6143" s="508" t="s">
        <v>150</v>
      </c>
      <c r="D6143" s="508">
        <v>114.2</v>
      </c>
      <c r="E6143" s="461" t="s">
        <v>174</v>
      </c>
    </row>
    <row r="6144" spans="1:5" ht="27" x14ac:dyDescent="0.25">
      <c r="A6144" s="508">
        <v>97104</v>
      </c>
      <c r="B6144" s="509" t="s">
        <v>7776</v>
      </c>
      <c r="C6144" s="508" t="s">
        <v>150</v>
      </c>
      <c r="D6144" s="508">
        <v>127.38</v>
      </c>
      <c r="E6144" s="461" t="s">
        <v>174</v>
      </c>
    </row>
    <row r="6145" spans="1:5" ht="27" x14ac:dyDescent="0.25">
      <c r="A6145" s="508">
        <v>97105</v>
      </c>
      <c r="B6145" s="509" t="s">
        <v>7777</v>
      </c>
      <c r="C6145" s="508" t="s">
        <v>150</v>
      </c>
      <c r="D6145" s="508">
        <v>143.79</v>
      </c>
      <c r="E6145" s="461" t="s">
        <v>174</v>
      </c>
    </row>
    <row r="6146" spans="1:5" ht="27" x14ac:dyDescent="0.25">
      <c r="A6146" s="508">
        <v>97106</v>
      </c>
      <c r="B6146" s="509" t="s">
        <v>7778</v>
      </c>
      <c r="C6146" s="508" t="s">
        <v>150</v>
      </c>
      <c r="D6146" s="508">
        <v>159.29</v>
      </c>
      <c r="E6146" s="461" t="s">
        <v>174</v>
      </c>
    </row>
    <row r="6147" spans="1:5" ht="27" x14ac:dyDescent="0.25">
      <c r="A6147" s="508">
        <v>97107</v>
      </c>
      <c r="B6147" s="509" t="s">
        <v>7779</v>
      </c>
      <c r="C6147" s="508" t="s">
        <v>150</v>
      </c>
      <c r="D6147" s="508">
        <v>181.39</v>
      </c>
      <c r="E6147" s="461" t="s">
        <v>174</v>
      </c>
    </row>
    <row r="6148" spans="1:5" ht="27" x14ac:dyDescent="0.25">
      <c r="A6148" s="508">
        <v>97108</v>
      </c>
      <c r="B6148" s="509" t="s">
        <v>7780</v>
      </c>
      <c r="C6148" s="508" t="s">
        <v>150</v>
      </c>
      <c r="D6148" s="508">
        <v>206.62</v>
      </c>
      <c r="E6148" s="461" t="s">
        <v>174</v>
      </c>
    </row>
    <row r="6149" spans="1:5" ht="27" x14ac:dyDescent="0.25">
      <c r="A6149" s="508">
        <v>97109</v>
      </c>
      <c r="B6149" s="509" t="s">
        <v>7781</v>
      </c>
      <c r="C6149" s="508" t="s">
        <v>150</v>
      </c>
      <c r="D6149" s="508">
        <v>228.18</v>
      </c>
      <c r="E6149" s="461" t="s">
        <v>174</v>
      </c>
    </row>
    <row r="6150" spans="1:5" ht="27" x14ac:dyDescent="0.25">
      <c r="A6150" s="508">
        <v>97111</v>
      </c>
      <c r="B6150" s="509" t="s">
        <v>7782</v>
      </c>
      <c r="C6150" s="508" t="s">
        <v>150</v>
      </c>
      <c r="D6150" s="508">
        <v>228.75</v>
      </c>
      <c r="E6150" s="461" t="s">
        <v>174</v>
      </c>
    </row>
    <row r="6151" spans="1:5" ht="27" x14ac:dyDescent="0.25">
      <c r="A6151" s="508">
        <v>97112</v>
      </c>
      <c r="B6151" s="509" t="s">
        <v>7783</v>
      </c>
      <c r="C6151" s="508" t="s">
        <v>150</v>
      </c>
      <c r="D6151" s="508">
        <v>203.92</v>
      </c>
      <c r="E6151" s="461" t="s">
        <v>174</v>
      </c>
    </row>
    <row r="6152" spans="1:5" ht="15" x14ac:dyDescent="0.25">
      <c r="A6152" s="508">
        <v>97113</v>
      </c>
      <c r="B6152" s="509" t="s">
        <v>7784</v>
      </c>
      <c r="C6152" s="508" t="s">
        <v>150</v>
      </c>
      <c r="D6152" s="508">
        <v>2.6</v>
      </c>
      <c r="E6152" s="461" t="s">
        <v>174</v>
      </c>
    </row>
    <row r="6153" spans="1:5" ht="15" x14ac:dyDescent="0.25">
      <c r="A6153" s="508">
        <v>97114</v>
      </c>
      <c r="B6153" s="509" t="s">
        <v>7785</v>
      </c>
      <c r="C6153" s="508" t="s">
        <v>5</v>
      </c>
      <c r="D6153" s="508">
        <v>0.42</v>
      </c>
      <c r="E6153" s="461" t="s">
        <v>174</v>
      </c>
    </row>
    <row r="6154" spans="1:5" ht="27" x14ac:dyDescent="0.25">
      <c r="A6154" s="508">
        <v>97115</v>
      </c>
      <c r="B6154" s="509" t="s">
        <v>7786</v>
      </c>
      <c r="C6154" s="508" t="s">
        <v>106</v>
      </c>
      <c r="D6154" s="508">
        <v>58.38</v>
      </c>
      <c r="E6154" s="461" t="s">
        <v>174</v>
      </c>
    </row>
    <row r="6155" spans="1:5" ht="27" x14ac:dyDescent="0.25">
      <c r="A6155" s="508">
        <v>97116</v>
      </c>
      <c r="B6155" s="509" t="s">
        <v>7787</v>
      </c>
      <c r="C6155" s="508" t="s">
        <v>106</v>
      </c>
      <c r="D6155" s="508">
        <v>23.01</v>
      </c>
      <c r="E6155" s="461" t="s">
        <v>174</v>
      </c>
    </row>
    <row r="6156" spans="1:5" ht="27" x14ac:dyDescent="0.25">
      <c r="A6156" s="508">
        <v>97117</v>
      </c>
      <c r="B6156" s="509" t="s">
        <v>7788</v>
      </c>
      <c r="C6156" s="508" t="s">
        <v>106</v>
      </c>
      <c r="D6156" s="508">
        <v>19.940000000000001</v>
      </c>
      <c r="E6156" s="461" t="s">
        <v>174</v>
      </c>
    </row>
    <row r="6157" spans="1:5" ht="27" x14ac:dyDescent="0.25">
      <c r="A6157" s="508">
        <v>97118</v>
      </c>
      <c r="B6157" s="509" t="s">
        <v>7789</v>
      </c>
      <c r="C6157" s="508" t="s">
        <v>106</v>
      </c>
      <c r="D6157" s="508">
        <v>16.43</v>
      </c>
      <c r="E6157" s="461" t="s">
        <v>174</v>
      </c>
    </row>
    <row r="6158" spans="1:5" ht="27" x14ac:dyDescent="0.25">
      <c r="A6158" s="508">
        <v>97119</v>
      </c>
      <c r="B6158" s="509" t="s">
        <v>7790</v>
      </c>
      <c r="C6158" s="508" t="s">
        <v>106</v>
      </c>
      <c r="D6158" s="508">
        <v>14.73</v>
      </c>
      <c r="E6158" s="461" t="s">
        <v>174</v>
      </c>
    </row>
    <row r="6159" spans="1:5" ht="27" x14ac:dyDescent="0.25">
      <c r="A6159" s="508">
        <v>97120</v>
      </c>
      <c r="B6159" s="509" t="s">
        <v>7791</v>
      </c>
      <c r="C6159" s="508" t="s">
        <v>106</v>
      </c>
      <c r="D6159" s="508">
        <v>9.65</v>
      </c>
      <c r="E6159" s="461" t="s">
        <v>174</v>
      </c>
    </row>
    <row r="6160" spans="1:5" ht="15" x14ac:dyDescent="0.25">
      <c r="A6160" s="508">
        <v>101167</v>
      </c>
      <c r="B6160" s="509" t="s">
        <v>2097</v>
      </c>
      <c r="C6160" s="508" t="s">
        <v>150</v>
      </c>
      <c r="D6160" s="508">
        <v>338.12</v>
      </c>
      <c r="E6160" s="461" t="s">
        <v>174</v>
      </c>
    </row>
    <row r="6161" spans="1:5" ht="27" x14ac:dyDescent="0.25">
      <c r="A6161" s="508">
        <v>101169</v>
      </c>
      <c r="B6161" s="509" t="s">
        <v>2098</v>
      </c>
      <c r="C6161" s="508" t="s">
        <v>150</v>
      </c>
      <c r="D6161" s="508">
        <v>352.51</v>
      </c>
      <c r="E6161" s="461" t="s">
        <v>174</v>
      </c>
    </row>
    <row r="6162" spans="1:5" ht="15" x14ac:dyDescent="0.25">
      <c r="A6162" s="508">
        <v>101170</v>
      </c>
      <c r="B6162" s="509" t="s">
        <v>2099</v>
      </c>
      <c r="C6162" s="508" t="s">
        <v>150</v>
      </c>
      <c r="D6162" s="508">
        <v>72.900000000000006</v>
      </c>
      <c r="E6162" s="461" t="s">
        <v>174</v>
      </c>
    </row>
    <row r="6163" spans="1:5" ht="27" x14ac:dyDescent="0.25">
      <c r="A6163" s="508">
        <v>101172</v>
      </c>
      <c r="B6163" s="509" t="s">
        <v>2100</v>
      </c>
      <c r="C6163" s="508" t="s">
        <v>150</v>
      </c>
      <c r="D6163" s="508">
        <v>97.83</v>
      </c>
      <c r="E6163" s="461" t="s">
        <v>174</v>
      </c>
    </row>
    <row r="6164" spans="1:5" ht="27" x14ac:dyDescent="0.25">
      <c r="A6164" s="508">
        <v>103904</v>
      </c>
      <c r="B6164" s="509" t="s">
        <v>7792</v>
      </c>
      <c r="C6164" s="508" t="s">
        <v>150</v>
      </c>
      <c r="D6164" s="508">
        <v>123.94</v>
      </c>
      <c r="E6164" s="461" t="s">
        <v>174</v>
      </c>
    </row>
    <row r="6165" spans="1:5" ht="27" x14ac:dyDescent="0.25">
      <c r="A6165" s="508">
        <v>103905</v>
      </c>
      <c r="B6165" s="509" t="s">
        <v>7793</v>
      </c>
      <c r="C6165" s="508" t="s">
        <v>150</v>
      </c>
      <c r="D6165" s="508">
        <v>130.74</v>
      </c>
      <c r="E6165" s="461" t="s">
        <v>174</v>
      </c>
    </row>
    <row r="6166" spans="1:5" ht="27" x14ac:dyDescent="0.25">
      <c r="A6166" s="508">
        <v>103906</v>
      </c>
      <c r="B6166" s="509" t="s">
        <v>7794</v>
      </c>
      <c r="C6166" s="508" t="s">
        <v>150</v>
      </c>
      <c r="D6166" s="508">
        <v>159.41999999999999</v>
      </c>
      <c r="E6166" s="461" t="s">
        <v>174</v>
      </c>
    </row>
    <row r="6167" spans="1:5" ht="27" x14ac:dyDescent="0.25">
      <c r="A6167" s="508">
        <v>103907</v>
      </c>
      <c r="B6167" s="509" t="s">
        <v>7795</v>
      </c>
      <c r="C6167" s="508" t="s">
        <v>150</v>
      </c>
      <c r="D6167" s="508">
        <v>137.30000000000001</v>
      </c>
      <c r="E6167" s="461" t="s">
        <v>174</v>
      </c>
    </row>
    <row r="6168" spans="1:5" ht="27" x14ac:dyDescent="0.25">
      <c r="A6168" s="508">
        <v>103908</v>
      </c>
      <c r="B6168" s="509" t="s">
        <v>7796</v>
      </c>
      <c r="C6168" s="508" t="s">
        <v>150</v>
      </c>
      <c r="D6168" s="508">
        <v>154.69999999999999</v>
      </c>
      <c r="E6168" s="461" t="s">
        <v>174</v>
      </c>
    </row>
    <row r="6169" spans="1:5" ht="27" x14ac:dyDescent="0.25">
      <c r="A6169" s="508">
        <v>103909</v>
      </c>
      <c r="B6169" s="509" t="s">
        <v>7797</v>
      </c>
      <c r="C6169" s="508" t="s">
        <v>150</v>
      </c>
      <c r="D6169" s="508">
        <v>176.22</v>
      </c>
      <c r="E6169" s="461" t="s">
        <v>174</v>
      </c>
    </row>
    <row r="6170" spans="1:5" ht="27" x14ac:dyDescent="0.25">
      <c r="A6170" s="508">
        <v>103911</v>
      </c>
      <c r="B6170" s="509" t="s">
        <v>7798</v>
      </c>
      <c r="C6170" s="508" t="s">
        <v>150</v>
      </c>
      <c r="D6170" s="508">
        <v>200.88</v>
      </c>
      <c r="E6170" s="461" t="s">
        <v>174</v>
      </c>
    </row>
    <row r="6171" spans="1:5" ht="27" x14ac:dyDescent="0.25">
      <c r="A6171" s="508">
        <v>103912</v>
      </c>
      <c r="B6171" s="509" t="s">
        <v>7799</v>
      </c>
      <c r="C6171" s="508" t="s">
        <v>150</v>
      </c>
      <c r="D6171" s="508">
        <v>221.86</v>
      </c>
      <c r="E6171" s="461" t="s">
        <v>174</v>
      </c>
    </row>
    <row r="6172" spans="1:5" ht="27" x14ac:dyDescent="0.25">
      <c r="A6172" s="508">
        <v>103913</v>
      </c>
      <c r="B6172" s="509" t="s">
        <v>7800</v>
      </c>
      <c r="C6172" s="508" t="s">
        <v>150</v>
      </c>
      <c r="D6172" s="508">
        <v>114.56</v>
      </c>
      <c r="E6172" s="461" t="s">
        <v>174</v>
      </c>
    </row>
    <row r="6173" spans="1:5" ht="27" x14ac:dyDescent="0.25">
      <c r="A6173" s="508">
        <v>103914</v>
      </c>
      <c r="B6173" s="509" t="s">
        <v>7801</v>
      </c>
      <c r="C6173" s="508" t="s">
        <v>150</v>
      </c>
      <c r="D6173" s="508">
        <v>133.52000000000001</v>
      </c>
      <c r="E6173" s="461" t="s">
        <v>174</v>
      </c>
    </row>
    <row r="6174" spans="1:5" ht="27" x14ac:dyDescent="0.25">
      <c r="A6174" s="508">
        <v>103915</v>
      </c>
      <c r="B6174" s="509" t="s">
        <v>7802</v>
      </c>
      <c r="C6174" s="508" t="s">
        <v>150</v>
      </c>
      <c r="D6174" s="508">
        <v>145.08000000000001</v>
      </c>
      <c r="E6174" s="461" t="s">
        <v>174</v>
      </c>
    </row>
    <row r="6175" spans="1:5" ht="27" x14ac:dyDescent="0.25">
      <c r="A6175" s="508">
        <v>103916</v>
      </c>
      <c r="B6175" s="509" t="s">
        <v>7803</v>
      </c>
      <c r="C6175" s="508" t="s">
        <v>150</v>
      </c>
      <c r="D6175" s="508">
        <v>166.86</v>
      </c>
      <c r="E6175" s="461" t="s">
        <v>174</v>
      </c>
    </row>
    <row r="6176" spans="1:5" ht="27" x14ac:dyDescent="0.25">
      <c r="A6176" s="508">
        <v>103917</v>
      </c>
      <c r="B6176" s="509" t="s">
        <v>7804</v>
      </c>
      <c r="C6176" s="508" t="s">
        <v>150</v>
      </c>
      <c r="D6176" s="508">
        <v>190.57</v>
      </c>
      <c r="E6176" s="461" t="s">
        <v>174</v>
      </c>
    </row>
    <row r="6177" spans="1:5" ht="27" x14ac:dyDescent="0.25">
      <c r="A6177" s="508">
        <v>103918</v>
      </c>
      <c r="B6177" s="509" t="s">
        <v>7805</v>
      </c>
      <c r="C6177" s="508" t="s">
        <v>150</v>
      </c>
      <c r="D6177" s="508">
        <v>201.85</v>
      </c>
      <c r="E6177" s="461" t="s">
        <v>174</v>
      </c>
    </row>
    <row r="6178" spans="1:5" ht="27" x14ac:dyDescent="0.25">
      <c r="A6178" s="508">
        <v>104432</v>
      </c>
      <c r="B6178" s="509" t="s">
        <v>7806</v>
      </c>
      <c r="C6178" s="508" t="s">
        <v>150</v>
      </c>
      <c r="D6178" s="508">
        <v>102.42</v>
      </c>
      <c r="E6178" s="461" t="s">
        <v>174</v>
      </c>
    </row>
    <row r="6179" spans="1:5" ht="27" x14ac:dyDescent="0.25">
      <c r="A6179" s="508">
        <v>104433</v>
      </c>
      <c r="B6179" s="509" t="s">
        <v>7807</v>
      </c>
      <c r="C6179" s="508" t="s">
        <v>150</v>
      </c>
      <c r="D6179" s="508">
        <v>89.97</v>
      </c>
      <c r="E6179" s="461" t="s">
        <v>174</v>
      </c>
    </row>
    <row r="6180" spans="1:5" ht="27" x14ac:dyDescent="0.25">
      <c r="A6180" s="508">
        <v>103689</v>
      </c>
      <c r="B6180" s="509" t="s">
        <v>7808</v>
      </c>
      <c r="C6180" s="508" t="s">
        <v>150</v>
      </c>
      <c r="D6180" s="508">
        <v>313.2</v>
      </c>
      <c r="E6180" s="461" t="s">
        <v>174</v>
      </c>
    </row>
    <row r="6181" spans="1:5" ht="27" x14ac:dyDescent="0.25">
      <c r="A6181" s="508">
        <v>103694</v>
      </c>
      <c r="B6181" s="509" t="s">
        <v>7809</v>
      </c>
      <c r="C6181" s="508" t="s">
        <v>107</v>
      </c>
      <c r="D6181" s="508">
        <v>116.24</v>
      </c>
      <c r="E6181" s="461" t="s">
        <v>174</v>
      </c>
    </row>
    <row r="6182" spans="1:5" ht="27" x14ac:dyDescent="0.25">
      <c r="A6182" s="508">
        <v>103695</v>
      </c>
      <c r="B6182" s="509" t="s">
        <v>7810</v>
      </c>
      <c r="C6182" s="508" t="s">
        <v>107</v>
      </c>
      <c r="D6182" s="508">
        <v>104.75</v>
      </c>
      <c r="E6182" s="461" t="s">
        <v>174</v>
      </c>
    </row>
    <row r="6183" spans="1:5" ht="27" x14ac:dyDescent="0.25">
      <c r="A6183" s="508">
        <v>103696</v>
      </c>
      <c r="B6183" s="509" t="s">
        <v>7811</v>
      </c>
      <c r="C6183" s="508" t="s">
        <v>107</v>
      </c>
      <c r="D6183" s="508">
        <v>146.66</v>
      </c>
      <c r="E6183" s="461" t="s">
        <v>174</v>
      </c>
    </row>
    <row r="6184" spans="1:5" ht="27" x14ac:dyDescent="0.25">
      <c r="A6184" s="508">
        <v>103697</v>
      </c>
      <c r="B6184" s="509" t="s">
        <v>7812</v>
      </c>
      <c r="C6184" s="508" t="s">
        <v>107</v>
      </c>
      <c r="D6184" s="508">
        <v>135.16999999999999</v>
      </c>
      <c r="E6184" s="461" t="s">
        <v>174</v>
      </c>
    </row>
    <row r="6185" spans="1:5" ht="27" x14ac:dyDescent="0.25">
      <c r="A6185" s="508">
        <v>95995</v>
      </c>
      <c r="B6185" s="509" t="s">
        <v>1777</v>
      </c>
      <c r="C6185" s="508" t="s">
        <v>163</v>
      </c>
      <c r="D6185" s="508">
        <v>1783.72</v>
      </c>
      <c r="E6185" s="461" t="s">
        <v>174</v>
      </c>
    </row>
    <row r="6186" spans="1:5" ht="27" x14ac:dyDescent="0.25">
      <c r="A6186" s="508">
        <v>95996</v>
      </c>
      <c r="B6186" s="509" t="s">
        <v>1778</v>
      </c>
      <c r="C6186" s="508" t="s">
        <v>163</v>
      </c>
      <c r="D6186" s="508">
        <v>1544.82</v>
      </c>
      <c r="E6186" s="461" t="s">
        <v>174</v>
      </c>
    </row>
    <row r="6187" spans="1:5" ht="27" x14ac:dyDescent="0.25">
      <c r="A6187" s="508">
        <v>96001</v>
      </c>
      <c r="B6187" s="509" t="s">
        <v>1779</v>
      </c>
      <c r="C6187" s="508" t="s">
        <v>150</v>
      </c>
      <c r="D6187" s="508">
        <v>7.02</v>
      </c>
      <c r="E6187" s="461" t="s">
        <v>174</v>
      </c>
    </row>
    <row r="6188" spans="1:5" ht="15" x14ac:dyDescent="0.25">
      <c r="A6188" s="508">
        <v>96393</v>
      </c>
      <c r="B6188" s="509" t="s">
        <v>2101</v>
      </c>
      <c r="C6188" s="508" t="s">
        <v>163</v>
      </c>
      <c r="D6188" s="508">
        <v>276.61</v>
      </c>
      <c r="E6188" s="461" t="s">
        <v>174</v>
      </c>
    </row>
    <row r="6189" spans="1:5" ht="15" x14ac:dyDescent="0.25">
      <c r="A6189" s="508">
        <v>96394</v>
      </c>
      <c r="B6189" s="509" t="s">
        <v>2102</v>
      </c>
      <c r="C6189" s="508" t="s">
        <v>163</v>
      </c>
      <c r="D6189" s="508">
        <v>327.19</v>
      </c>
      <c r="E6189" s="461" t="s">
        <v>174</v>
      </c>
    </row>
    <row r="6190" spans="1:5" ht="15" x14ac:dyDescent="0.25">
      <c r="A6190" s="508">
        <v>96395</v>
      </c>
      <c r="B6190" s="509" t="s">
        <v>2103</v>
      </c>
      <c r="C6190" s="508" t="s">
        <v>163</v>
      </c>
      <c r="D6190" s="508">
        <v>401.19</v>
      </c>
      <c r="E6190" s="461" t="s">
        <v>174</v>
      </c>
    </row>
    <row r="6191" spans="1:5" ht="27" x14ac:dyDescent="0.25">
      <c r="A6191" s="508">
        <v>88411</v>
      </c>
      <c r="B6191" s="509" t="s">
        <v>7813</v>
      </c>
      <c r="C6191" s="508" t="s">
        <v>150</v>
      </c>
      <c r="D6191" s="508">
        <v>5.35</v>
      </c>
      <c r="E6191" s="461" t="s">
        <v>174</v>
      </c>
    </row>
    <row r="6192" spans="1:5" ht="27" x14ac:dyDescent="0.25">
      <c r="A6192" s="508">
        <v>88412</v>
      </c>
      <c r="B6192" s="509" t="s">
        <v>7814</v>
      </c>
      <c r="C6192" s="508" t="s">
        <v>150</v>
      </c>
      <c r="D6192" s="508">
        <v>4.3899999999999997</v>
      </c>
      <c r="E6192" s="461" t="s">
        <v>174</v>
      </c>
    </row>
    <row r="6193" spans="1:5" ht="27" x14ac:dyDescent="0.25">
      <c r="A6193" s="508">
        <v>88413</v>
      </c>
      <c r="B6193" s="509" t="s">
        <v>7815</v>
      </c>
      <c r="C6193" s="508" t="s">
        <v>150</v>
      </c>
      <c r="D6193" s="508">
        <v>6.55</v>
      </c>
      <c r="E6193" s="461" t="s">
        <v>174</v>
      </c>
    </row>
    <row r="6194" spans="1:5" ht="27" x14ac:dyDescent="0.25">
      <c r="A6194" s="508">
        <v>88414</v>
      </c>
      <c r="B6194" s="509" t="s">
        <v>7816</v>
      </c>
      <c r="C6194" s="508" t="s">
        <v>150</v>
      </c>
      <c r="D6194" s="508">
        <v>7.79</v>
      </c>
      <c r="E6194" s="461" t="s">
        <v>174</v>
      </c>
    </row>
    <row r="6195" spans="1:5" ht="15" x14ac:dyDescent="0.25">
      <c r="A6195" s="508">
        <v>88415</v>
      </c>
      <c r="B6195" s="509" t="s">
        <v>7817</v>
      </c>
      <c r="C6195" s="508" t="s">
        <v>150</v>
      </c>
      <c r="D6195" s="508">
        <v>5.42</v>
      </c>
      <c r="E6195" s="461" t="s">
        <v>174</v>
      </c>
    </row>
    <row r="6196" spans="1:5" ht="27" x14ac:dyDescent="0.25">
      <c r="A6196" s="508">
        <v>88416</v>
      </c>
      <c r="B6196" s="509" t="s">
        <v>7818</v>
      </c>
      <c r="C6196" s="508" t="s">
        <v>150</v>
      </c>
      <c r="D6196" s="508">
        <v>23.2</v>
      </c>
      <c r="E6196" s="461" t="s">
        <v>174</v>
      </c>
    </row>
    <row r="6197" spans="1:5" ht="27" x14ac:dyDescent="0.25">
      <c r="A6197" s="508">
        <v>88417</v>
      </c>
      <c r="B6197" s="509" t="s">
        <v>7819</v>
      </c>
      <c r="C6197" s="508" t="s">
        <v>150</v>
      </c>
      <c r="D6197" s="508">
        <v>19.690000000000001</v>
      </c>
      <c r="E6197" s="461" t="s">
        <v>174</v>
      </c>
    </row>
    <row r="6198" spans="1:5" ht="27" x14ac:dyDescent="0.25">
      <c r="A6198" s="508">
        <v>88420</v>
      </c>
      <c r="B6198" s="509" t="s">
        <v>7820</v>
      </c>
      <c r="C6198" s="508" t="s">
        <v>150</v>
      </c>
      <c r="D6198" s="508">
        <v>26.51</v>
      </c>
      <c r="E6198" s="461" t="s">
        <v>174</v>
      </c>
    </row>
    <row r="6199" spans="1:5" ht="27" x14ac:dyDescent="0.25">
      <c r="A6199" s="508">
        <v>88421</v>
      </c>
      <c r="B6199" s="509" t="s">
        <v>7821</v>
      </c>
      <c r="C6199" s="508" t="s">
        <v>150</v>
      </c>
      <c r="D6199" s="508">
        <v>31.99</v>
      </c>
      <c r="E6199" s="461" t="s">
        <v>174</v>
      </c>
    </row>
    <row r="6200" spans="1:5" ht="27" x14ac:dyDescent="0.25">
      <c r="A6200" s="508">
        <v>88423</v>
      </c>
      <c r="B6200" s="509" t="s">
        <v>7822</v>
      </c>
      <c r="C6200" s="508" t="s">
        <v>150</v>
      </c>
      <c r="D6200" s="508">
        <v>23.19</v>
      </c>
      <c r="E6200" s="461" t="s">
        <v>174</v>
      </c>
    </row>
    <row r="6201" spans="1:5" ht="27" x14ac:dyDescent="0.25">
      <c r="A6201" s="508">
        <v>88424</v>
      </c>
      <c r="B6201" s="509" t="s">
        <v>7823</v>
      </c>
      <c r="C6201" s="508" t="s">
        <v>150</v>
      </c>
      <c r="D6201" s="508">
        <v>27.06</v>
      </c>
      <c r="E6201" s="461" t="s">
        <v>174</v>
      </c>
    </row>
    <row r="6202" spans="1:5" ht="27" x14ac:dyDescent="0.25">
      <c r="A6202" s="508">
        <v>88426</v>
      </c>
      <c r="B6202" s="509" t="s">
        <v>7824</v>
      </c>
      <c r="C6202" s="508" t="s">
        <v>150</v>
      </c>
      <c r="D6202" s="508">
        <v>21.77</v>
      </c>
      <c r="E6202" s="461" t="s">
        <v>174</v>
      </c>
    </row>
    <row r="6203" spans="1:5" ht="27" x14ac:dyDescent="0.25">
      <c r="A6203" s="508">
        <v>88428</v>
      </c>
      <c r="B6203" s="509" t="s">
        <v>7825</v>
      </c>
      <c r="C6203" s="508" t="s">
        <v>150</v>
      </c>
      <c r="D6203" s="508">
        <v>33.909999999999997</v>
      </c>
      <c r="E6203" s="461" t="s">
        <v>174</v>
      </c>
    </row>
    <row r="6204" spans="1:5" ht="27" x14ac:dyDescent="0.25">
      <c r="A6204" s="508">
        <v>88429</v>
      </c>
      <c r="B6204" s="509" t="s">
        <v>7826</v>
      </c>
      <c r="C6204" s="508" t="s">
        <v>150</v>
      </c>
      <c r="D6204" s="508">
        <v>40.61</v>
      </c>
      <c r="E6204" s="461" t="s">
        <v>174</v>
      </c>
    </row>
    <row r="6205" spans="1:5" ht="27" x14ac:dyDescent="0.25">
      <c r="A6205" s="508">
        <v>88431</v>
      </c>
      <c r="B6205" s="509" t="s">
        <v>7827</v>
      </c>
      <c r="C6205" s="508" t="s">
        <v>150</v>
      </c>
      <c r="D6205" s="508">
        <v>27.53</v>
      </c>
      <c r="E6205" s="461" t="s">
        <v>174</v>
      </c>
    </row>
    <row r="6206" spans="1:5" ht="27" x14ac:dyDescent="0.25">
      <c r="A6206" s="508">
        <v>88432</v>
      </c>
      <c r="B6206" s="509" t="s">
        <v>7828</v>
      </c>
      <c r="C6206" s="508" t="s">
        <v>150</v>
      </c>
      <c r="D6206" s="508">
        <v>34.53</v>
      </c>
      <c r="E6206" s="461" t="s">
        <v>174</v>
      </c>
    </row>
    <row r="6207" spans="1:5" ht="15" x14ac:dyDescent="0.25">
      <c r="A6207" s="508">
        <v>88484</v>
      </c>
      <c r="B6207" s="509" t="s">
        <v>7829</v>
      </c>
      <c r="C6207" s="508" t="s">
        <v>150</v>
      </c>
      <c r="D6207" s="508">
        <v>5.64</v>
      </c>
      <c r="E6207" s="461" t="s">
        <v>174</v>
      </c>
    </row>
    <row r="6208" spans="1:5" ht="15" x14ac:dyDescent="0.25">
      <c r="A6208" s="508">
        <v>88485</v>
      </c>
      <c r="B6208" s="509" t="s">
        <v>7830</v>
      </c>
      <c r="C6208" s="508" t="s">
        <v>150</v>
      </c>
      <c r="D6208" s="508">
        <v>4.57</v>
      </c>
      <c r="E6208" s="461" t="s">
        <v>174</v>
      </c>
    </row>
    <row r="6209" spans="1:5" ht="15" x14ac:dyDescent="0.25">
      <c r="A6209" s="508">
        <v>88488</v>
      </c>
      <c r="B6209" s="509" t="s">
        <v>7831</v>
      </c>
      <c r="C6209" s="508" t="s">
        <v>150</v>
      </c>
      <c r="D6209" s="508">
        <v>16.64</v>
      </c>
      <c r="E6209" s="461" t="s">
        <v>174</v>
      </c>
    </row>
    <row r="6210" spans="1:5" ht="15" x14ac:dyDescent="0.25">
      <c r="A6210" s="508">
        <v>88489</v>
      </c>
      <c r="B6210" s="509" t="s">
        <v>7832</v>
      </c>
      <c r="C6210" s="508" t="s">
        <v>150</v>
      </c>
      <c r="D6210" s="508">
        <v>14.06</v>
      </c>
      <c r="E6210" s="461" t="s">
        <v>174</v>
      </c>
    </row>
    <row r="6211" spans="1:5" ht="27" x14ac:dyDescent="0.25">
      <c r="A6211" s="508">
        <v>88494</v>
      </c>
      <c r="B6211" s="509" t="s">
        <v>7833</v>
      </c>
      <c r="C6211" s="508" t="s">
        <v>150</v>
      </c>
      <c r="D6211" s="508">
        <v>23.49</v>
      </c>
      <c r="E6211" s="461" t="s">
        <v>174</v>
      </c>
    </row>
    <row r="6212" spans="1:5" ht="27" x14ac:dyDescent="0.25">
      <c r="A6212" s="508">
        <v>88495</v>
      </c>
      <c r="B6212" s="509" t="s">
        <v>7834</v>
      </c>
      <c r="C6212" s="508" t="s">
        <v>150</v>
      </c>
      <c r="D6212" s="508">
        <v>13.01</v>
      </c>
      <c r="E6212" s="461" t="s">
        <v>174</v>
      </c>
    </row>
    <row r="6213" spans="1:5" ht="27" x14ac:dyDescent="0.25">
      <c r="A6213" s="508">
        <v>88496</v>
      </c>
      <c r="B6213" s="509" t="s">
        <v>7835</v>
      </c>
      <c r="C6213" s="508" t="s">
        <v>150</v>
      </c>
      <c r="D6213" s="508">
        <v>35.65</v>
      </c>
      <c r="E6213" s="461" t="s">
        <v>174</v>
      </c>
    </row>
    <row r="6214" spans="1:5" ht="27" x14ac:dyDescent="0.25">
      <c r="A6214" s="508">
        <v>88497</v>
      </c>
      <c r="B6214" s="509" t="s">
        <v>7836</v>
      </c>
      <c r="C6214" s="508" t="s">
        <v>150</v>
      </c>
      <c r="D6214" s="508">
        <v>20.27</v>
      </c>
      <c r="E6214" s="461" t="s">
        <v>174</v>
      </c>
    </row>
    <row r="6215" spans="1:5" ht="15" x14ac:dyDescent="0.25">
      <c r="A6215" s="508">
        <v>95305</v>
      </c>
      <c r="B6215" s="509" t="s">
        <v>7837</v>
      </c>
      <c r="C6215" s="508" t="s">
        <v>150</v>
      </c>
      <c r="D6215" s="508">
        <v>14.86</v>
      </c>
      <c r="E6215" s="461" t="s">
        <v>174</v>
      </c>
    </row>
    <row r="6216" spans="1:5" ht="15" x14ac:dyDescent="0.25">
      <c r="A6216" s="508">
        <v>95306</v>
      </c>
      <c r="B6216" s="509" t="s">
        <v>7838</v>
      </c>
      <c r="C6216" s="508" t="s">
        <v>150</v>
      </c>
      <c r="D6216" s="508">
        <v>17.29</v>
      </c>
      <c r="E6216" s="461" t="s">
        <v>174</v>
      </c>
    </row>
    <row r="6217" spans="1:5" ht="27" x14ac:dyDescent="0.25">
      <c r="A6217" s="508">
        <v>95622</v>
      </c>
      <c r="B6217" s="509" t="s">
        <v>7839</v>
      </c>
      <c r="C6217" s="508" t="s">
        <v>150</v>
      </c>
      <c r="D6217" s="508">
        <v>16.239999999999998</v>
      </c>
      <c r="E6217" s="461" t="s">
        <v>174</v>
      </c>
    </row>
    <row r="6218" spans="1:5" ht="27" x14ac:dyDescent="0.25">
      <c r="A6218" s="508">
        <v>95623</v>
      </c>
      <c r="B6218" s="509" t="s">
        <v>7840</v>
      </c>
      <c r="C6218" s="508" t="s">
        <v>150</v>
      </c>
      <c r="D6218" s="508">
        <v>11.41</v>
      </c>
      <c r="E6218" s="461" t="s">
        <v>174</v>
      </c>
    </row>
    <row r="6219" spans="1:5" ht="27" x14ac:dyDescent="0.25">
      <c r="A6219" s="508">
        <v>95624</v>
      </c>
      <c r="B6219" s="509" t="s">
        <v>7841</v>
      </c>
      <c r="C6219" s="508" t="s">
        <v>150</v>
      </c>
      <c r="D6219" s="508">
        <v>24.44</v>
      </c>
      <c r="E6219" s="461" t="s">
        <v>174</v>
      </c>
    </row>
    <row r="6220" spans="1:5" ht="27" x14ac:dyDescent="0.25">
      <c r="A6220" s="508">
        <v>95625</v>
      </c>
      <c r="B6220" s="509" t="s">
        <v>7842</v>
      </c>
      <c r="C6220" s="508" t="s">
        <v>150</v>
      </c>
      <c r="D6220" s="508">
        <v>28.9</v>
      </c>
      <c r="E6220" s="461" t="s">
        <v>174</v>
      </c>
    </row>
    <row r="6221" spans="1:5" ht="27" x14ac:dyDescent="0.25">
      <c r="A6221" s="508">
        <v>95626</v>
      </c>
      <c r="B6221" s="509" t="s">
        <v>7843</v>
      </c>
      <c r="C6221" s="508" t="s">
        <v>150</v>
      </c>
      <c r="D6221" s="508">
        <v>17.170000000000002</v>
      </c>
      <c r="E6221" s="461" t="s">
        <v>174</v>
      </c>
    </row>
    <row r="6222" spans="1:5" ht="27" x14ac:dyDescent="0.25">
      <c r="A6222" s="508">
        <v>96126</v>
      </c>
      <c r="B6222" s="509" t="s">
        <v>7844</v>
      </c>
      <c r="C6222" s="508" t="s">
        <v>150</v>
      </c>
      <c r="D6222" s="508">
        <v>19.88</v>
      </c>
      <c r="E6222" s="461" t="s">
        <v>174</v>
      </c>
    </row>
    <row r="6223" spans="1:5" ht="27" x14ac:dyDescent="0.25">
      <c r="A6223" s="508">
        <v>96127</v>
      </c>
      <c r="B6223" s="509" t="s">
        <v>7845</v>
      </c>
      <c r="C6223" s="508" t="s">
        <v>150</v>
      </c>
      <c r="D6223" s="508">
        <v>12.92</v>
      </c>
      <c r="E6223" s="461" t="s">
        <v>174</v>
      </c>
    </row>
    <row r="6224" spans="1:5" ht="27" x14ac:dyDescent="0.25">
      <c r="A6224" s="508">
        <v>96128</v>
      </c>
      <c r="B6224" s="509" t="s">
        <v>7846</v>
      </c>
      <c r="C6224" s="508" t="s">
        <v>150</v>
      </c>
      <c r="D6224" s="508">
        <v>32.56</v>
      </c>
      <c r="E6224" s="461" t="s">
        <v>174</v>
      </c>
    </row>
    <row r="6225" spans="1:5" ht="27" x14ac:dyDescent="0.25">
      <c r="A6225" s="508">
        <v>96129</v>
      </c>
      <c r="B6225" s="509" t="s">
        <v>7847</v>
      </c>
      <c r="C6225" s="508" t="s">
        <v>150</v>
      </c>
      <c r="D6225" s="508">
        <v>38.28</v>
      </c>
      <c r="E6225" s="461" t="s">
        <v>174</v>
      </c>
    </row>
    <row r="6226" spans="1:5" ht="27" x14ac:dyDescent="0.25">
      <c r="A6226" s="508">
        <v>96130</v>
      </c>
      <c r="B6226" s="509" t="s">
        <v>7848</v>
      </c>
      <c r="C6226" s="508" t="s">
        <v>150</v>
      </c>
      <c r="D6226" s="508">
        <v>21.45</v>
      </c>
      <c r="E6226" s="461" t="s">
        <v>174</v>
      </c>
    </row>
    <row r="6227" spans="1:5" ht="27" x14ac:dyDescent="0.25">
      <c r="A6227" s="508">
        <v>96131</v>
      </c>
      <c r="B6227" s="509" t="s">
        <v>7849</v>
      </c>
      <c r="C6227" s="508" t="s">
        <v>150</v>
      </c>
      <c r="D6227" s="508">
        <v>31.4</v>
      </c>
      <c r="E6227" s="461" t="s">
        <v>174</v>
      </c>
    </row>
    <row r="6228" spans="1:5" ht="27" x14ac:dyDescent="0.25">
      <c r="A6228" s="508">
        <v>96132</v>
      </c>
      <c r="B6228" s="509" t="s">
        <v>7850</v>
      </c>
      <c r="C6228" s="508" t="s">
        <v>150</v>
      </c>
      <c r="D6228" s="508">
        <v>21.02</v>
      </c>
      <c r="E6228" s="461" t="s">
        <v>174</v>
      </c>
    </row>
    <row r="6229" spans="1:5" ht="27" x14ac:dyDescent="0.25">
      <c r="A6229" s="508">
        <v>96133</v>
      </c>
      <c r="B6229" s="509" t="s">
        <v>7851</v>
      </c>
      <c r="C6229" s="508" t="s">
        <v>150</v>
      </c>
      <c r="D6229" s="508">
        <v>49.85</v>
      </c>
      <c r="E6229" s="461" t="s">
        <v>174</v>
      </c>
    </row>
    <row r="6230" spans="1:5" ht="27" x14ac:dyDescent="0.25">
      <c r="A6230" s="508">
        <v>96134</v>
      </c>
      <c r="B6230" s="509" t="s">
        <v>7852</v>
      </c>
      <c r="C6230" s="508" t="s">
        <v>150</v>
      </c>
      <c r="D6230" s="508">
        <v>58.74</v>
      </c>
      <c r="E6230" s="461" t="s">
        <v>174</v>
      </c>
    </row>
    <row r="6231" spans="1:5" ht="27" x14ac:dyDescent="0.25">
      <c r="A6231" s="508">
        <v>96135</v>
      </c>
      <c r="B6231" s="509" t="s">
        <v>7853</v>
      </c>
      <c r="C6231" s="508" t="s">
        <v>150</v>
      </c>
      <c r="D6231" s="508">
        <v>33.619999999999997</v>
      </c>
      <c r="E6231" s="461" t="s">
        <v>174</v>
      </c>
    </row>
    <row r="6232" spans="1:5" ht="15" x14ac:dyDescent="0.25">
      <c r="A6232" s="508">
        <v>104639</v>
      </c>
      <c r="B6232" s="509" t="s">
        <v>7854</v>
      </c>
      <c r="C6232" s="508" t="s">
        <v>150</v>
      </c>
      <c r="D6232" s="508">
        <v>12.81</v>
      </c>
      <c r="E6232" s="461" t="s">
        <v>174</v>
      </c>
    </row>
    <row r="6233" spans="1:5" ht="15" x14ac:dyDescent="0.25">
      <c r="A6233" s="508">
        <v>104640</v>
      </c>
      <c r="B6233" s="509" t="s">
        <v>7855</v>
      </c>
      <c r="C6233" s="508" t="s">
        <v>150</v>
      </c>
      <c r="D6233" s="508">
        <v>14.23</v>
      </c>
      <c r="E6233" s="461" t="s">
        <v>174</v>
      </c>
    </row>
    <row r="6234" spans="1:5" ht="27" x14ac:dyDescent="0.25">
      <c r="A6234" s="508">
        <v>104641</v>
      </c>
      <c r="B6234" s="509" t="s">
        <v>7856</v>
      </c>
      <c r="C6234" s="508" t="s">
        <v>150</v>
      </c>
      <c r="D6234" s="508">
        <v>10.23</v>
      </c>
      <c r="E6234" s="461" t="s">
        <v>174</v>
      </c>
    </row>
    <row r="6235" spans="1:5" ht="15" x14ac:dyDescent="0.25">
      <c r="A6235" s="508">
        <v>104642</v>
      </c>
      <c r="B6235" s="509" t="s">
        <v>7857</v>
      </c>
      <c r="C6235" s="508" t="s">
        <v>150</v>
      </c>
      <c r="D6235" s="508">
        <v>11.65</v>
      </c>
      <c r="E6235" s="461" t="s">
        <v>174</v>
      </c>
    </row>
    <row r="6236" spans="1:5" ht="15" x14ac:dyDescent="0.25">
      <c r="A6236" s="508">
        <v>102193</v>
      </c>
      <c r="B6236" s="509" t="s">
        <v>3101</v>
      </c>
      <c r="C6236" s="508" t="s">
        <v>150</v>
      </c>
      <c r="D6236" s="508">
        <v>2.3199999999999998</v>
      </c>
      <c r="E6236" s="461" t="s">
        <v>174</v>
      </c>
    </row>
    <row r="6237" spans="1:5" ht="15" x14ac:dyDescent="0.25">
      <c r="A6237" s="508">
        <v>102194</v>
      </c>
      <c r="B6237" s="509" t="s">
        <v>3102</v>
      </c>
      <c r="C6237" s="508" t="s">
        <v>150</v>
      </c>
      <c r="D6237" s="508">
        <v>9.19</v>
      </c>
      <c r="E6237" s="461" t="s">
        <v>174</v>
      </c>
    </row>
    <row r="6238" spans="1:5" ht="15" x14ac:dyDescent="0.25">
      <c r="A6238" s="508">
        <v>102197</v>
      </c>
      <c r="B6238" s="509" t="s">
        <v>3103</v>
      </c>
      <c r="C6238" s="508" t="s">
        <v>150</v>
      </c>
      <c r="D6238" s="508">
        <v>30.6</v>
      </c>
      <c r="E6238" s="461" t="s">
        <v>174</v>
      </c>
    </row>
    <row r="6239" spans="1:5" ht="27" x14ac:dyDescent="0.25">
      <c r="A6239" s="508">
        <v>102200</v>
      </c>
      <c r="B6239" s="509" t="s">
        <v>3104</v>
      </c>
      <c r="C6239" s="508" t="s">
        <v>150</v>
      </c>
      <c r="D6239" s="508">
        <v>23.84</v>
      </c>
      <c r="E6239" s="461" t="s">
        <v>174</v>
      </c>
    </row>
    <row r="6240" spans="1:5" ht="27" x14ac:dyDescent="0.25">
      <c r="A6240" s="508">
        <v>102201</v>
      </c>
      <c r="B6240" s="509" t="s">
        <v>4449</v>
      </c>
      <c r="C6240" s="508" t="s">
        <v>150</v>
      </c>
      <c r="D6240" s="508">
        <v>21.74</v>
      </c>
      <c r="E6240" s="461" t="s">
        <v>174</v>
      </c>
    </row>
    <row r="6241" spans="1:5" ht="27" x14ac:dyDescent="0.25">
      <c r="A6241" s="508">
        <v>102202</v>
      </c>
      <c r="B6241" s="509" t="s">
        <v>3105</v>
      </c>
      <c r="C6241" s="508" t="s">
        <v>150</v>
      </c>
      <c r="D6241" s="508">
        <v>58.9</v>
      </c>
      <c r="E6241" s="461" t="s">
        <v>174</v>
      </c>
    </row>
    <row r="6242" spans="1:5" ht="27" x14ac:dyDescent="0.25">
      <c r="A6242" s="508">
        <v>102203</v>
      </c>
      <c r="B6242" s="509" t="s">
        <v>3106</v>
      </c>
      <c r="C6242" s="508" t="s">
        <v>150</v>
      </c>
      <c r="D6242" s="508">
        <v>10.78</v>
      </c>
      <c r="E6242" s="461" t="s">
        <v>174</v>
      </c>
    </row>
    <row r="6243" spans="1:5" ht="15" x14ac:dyDescent="0.25">
      <c r="A6243" s="508">
        <v>102204</v>
      </c>
      <c r="B6243" s="509" t="s">
        <v>3107</v>
      </c>
      <c r="C6243" s="508" t="s">
        <v>150</v>
      </c>
      <c r="D6243" s="508">
        <v>11.07</v>
      </c>
      <c r="E6243" s="461" t="s">
        <v>174</v>
      </c>
    </row>
    <row r="6244" spans="1:5" ht="27" x14ac:dyDescent="0.25">
      <c r="A6244" s="508">
        <v>102205</v>
      </c>
      <c r="B6244" s="509" t="s">
        <v>3108</v>
      </c>
      <c r="C6244" s="508" t="s">
        <v>150</v>
      </c>
      <c r="D6244" s="508">
        <v>10.17</v>
      </c>
      <c r="E6244" s="461" t="s">
        <v>174</v>
      </c>
    </row>
    <row r="6245" spans="1:5" ht="15" x14ac:dyDescent="0.25">
      <c r="A6245" s="508">
        <v>102207</v>
      </c>
      <c r="B6245" s="509" t="s">
        <v>3109</v>
      </c>
      <c r="C6245" s="508" t="s">
        <v>150</v>
      </c>
      <c r="D6245" s="508">
        <v>9.49</v>
      </c>
      <c r="E6245" s="461" t="s">
        <v>174</v>
      </c>
    </row>
    <row r="6246" spans="1:5" ht="27" x14ac:dyDescent="0.25">
      <c r="A6246" s="508">
        <v>102208</v>
      </c>
      <c r="B6246" s="509" t="s">
        <v>3110</v>
      </c>
      <c r="C6246" s="508" t="s">
        <v>150</v>
      </c>
      <c r="D6246" s="508">
        <v>9.08</v>
      </c>
      <c r="E6246" s="461" t="s">
        <v>174</v>
      </c>
    </row>
    <row r="6247" spans="1:5" ht="27" x14ac:dyDescent="0.25">
      <c r="A6247" s="508">
        <v>102209</v>
      </c>
      <c r="B6247" s="509" t="s">
        <v>3111</v>
      </c>
      <c r="C6247" s="508" t="s">
        <v>150</v>
      </c>
      <c r="D6247" s="508">
        <v>9.35</v>
      </c>
      <c r="E6247" s="461" t="s">
        <v>174</v>
      </c>
    </row>
    <row r="6248" spans="1:5" ht="27" x14ac:dyDescent="0.25">
      <c r="A6248" s="508">
        <v>102210</v>
      </c>
      <c r="B6248" s="509" t="s">
        <v>3112</v>
      </c>
      <c r="C6248" s="508" t="s">
        <v>150</v>
      </c>
      <c r="D6248" s="508">
        <v>8.93</v>
      </c>
      <c r="E6248" s="461" t="s">
        <v>174</v>
      </c>
    </row>
    <row r="6249" spans="1:5" ht="27" x14ac:dyDescent="0.25">
      <c r="A6249" s="508">
        <v>102213</v>
      </c>
      <c r="B6249" s="509" t="s">
        <v>3113</v>
      </c>
      <c r="C6249" s="508" t="s">
        <v>150</v>
      </c>
      <c r="D6249" s="508">
        <v>21.59</v>
      </c>
      <c r="E6249" s="461" t="s">
        <v>174</v>
      </c>
    </row>
    <row r="6250" spans="1:5" ht="15" x14ac:dyDescent="0.25">
      <c r="A6250" s="508">
        <v>102214</v>
      </c>
      <c r="B6250" s="509" t="s">
        <v>3114</v>
      </c>
      <c r="C6250" s="508" t="s">
        <v>150</v>
      </c>
      <c r="D6250" s="508">
        <v>22.16</v>
      </c>
      <c r="E6250" s="461" t="s">
        <v>174</v>
      </c>
    </row>
    <row r="6251" spans="1:5" ht="27" x14ac:dyDescent="0.25">
      <c r="A6251" s="508">
        <v>102215</v>
      </c>
      <c r="B6251" s="509" t="s">
        <v>3115</v>
      </c>
      <c r="C6251" s="508" t="s">
        <v>150</v>
      </c>
      <c r="D6251" s="508">
        <v>20.350000000000001</v>
      </c>
      <c r="E6251" s="461" t="s">
        <v>174</v>
      </c>
    </row>
    <row r="6252" spans="1:5" ht="15" x14ac:dyDescent="0.25">
      <c r="A6252" s="508">
        <v>102217</v>
      </c>
      <c r="B6252" s="509" t="s">
        <v>3116</v>
      </c>
      <c r="C6252" s="508" t="s">
        <v>150</v>
      </c>
      <c r="D6252" s="508">
        <v>19.010000000000002</v>
      </c>
      <c r="E6252" s="461" t="s">
        <v>174</v>
      </c>
    </row>
    <row r="6253" spans="1:5" ht="27" x14ac:dyDescent="0.25">
      <c r="A6253" s="508">
        <v>102218</v>
      </c>
      <c r="B6253" s="509" t="s">
        <v>3117</v>
      </c>
      <c r="C6253" s="508" t="s">
        <v>150</v>
      </c>
      <c r="D6253" s="508">
        <v>18.170000000000002</v>
      </c>
      <c r="E6253" s="461" t="s">
        <v>174</v>
      </c>
    </row>
    <row r="6254" spans="1:5" ht="27" x14ac:dyDescent="0.25">
      <c r="A6254" s="508">
        <v>102219</v>
      </c>
      <c r="B6254" s="509" t="s">
        <v>3118</v>
      </c>
      <c r="C6254" s="508" t="s">
        <v>150</v>
      </c>
      <c r="D6254" s="508">
        <v>18.73</v>
      </c>
      <c r="E6254" s="461" t="s">
        <v>174</v>
      </c>
    </row>
    <row r="6255" spans="1:5" ht="27" x14ac:dyDescent="0.25">
      <c r="A6255" s="508">
        <v>102220</v>
      </c>
      <c r="B6255" s="509" t="s">
        <v>3119</v>
      </c>
      <c r="C6255" s="508" t="s">
        <v>150</v>
      </c>
      <c r="D6255" s="508">
        <v>17.89</v>
      </c>
      <c r="E6255" s="461" t="s">
        <v>174</v>
      </c>
    </row>
    <row r="6256" spans="1:5" ht="27" x14ac:dyDescent="0.25">
      <c r="A6256" s="508">
        <v>102223</v>
      </c>
      <c r="B6256" s="509" t="s">
        <v>3120</v>
      </c>
      <c r="C6256" s="508" t="s">
        <v>150</v>
      </c>
      <c r="D6256" s="508">
        <v>32.39</v>
      </c>
      <c r="E6256" s="461" t="s">
        <v>174</v>
      </c>
    </row>
    <row r="6257" spans="1:5" ht="15" x14ac:dyDescent="0.25">
      <c r="A6257" s="508">
        <v>102224</v>
      </c>
      <c r="B6257" s="509" t="s">
        <v>3121</v>
      </c>
      <c r="C6257" s="508" t="s">
        <v>150</v>
      </c>
      <c r="D6257" s="508">
        <v>33.24</v>
      </c>
      <c r="E6257" s="461" t="s">
        <v>174</v>
      </c>
    </row>
    <row r="6258" spans="1:5" ht="27" x14ac:dyDescent="0.25">
      <c r="A6258" s="508">
        <v>102225</v>
      </c>
      <c r="B6258" s="509" t="s">
        <v>3122</v>
      </c>
      <c r="C6258" s="508" t="s">
        <v>150</v>
      </c>
      <c r="D6258" s="508">
        <v>30.52</v>
      </c>
      <c r="E6258" s="461" t="s">
        <v>174</v>
      </c>
    </row>
    <row r="6259" spans="1:5" ht="15" x14ac:dyDescent="0.25">
      <c r="A6259" s="508">
        <v>102227</v>
      </c>
      <c r="B6259" s="509" t="s">
        <v>3123</v>
      </c>
      <c r="C6259" s="508" t="s">
        <v>150</v>
      </c>
      <c r="D6259" s="508">
        <v>28.53</v>
      </c>
      <c r="E6259" s="461" t="s">
        <v>174</v>
      </c>
    </row>
    <row r="6260" spans="1:5" ht="27" x14ac:dyDescent="0.25">
      <c r="A6260" s="508">
        <v>102228</v>
      </c>
      <c r="B6260" s="509" t="s">
        <v>3124</v>
      </c>
      <c r="C6260" s="508" t="s">
        <v>150</v>
      </c>
      <c r="D6260" s="508">
        <v>27.28</v>
      </c>
      <c r="E6260" s="461" t="s">
        <v>174</v>
      </c>
    </row>
    <row r="6261" spans="1:5" ht="27" x14ac:dyDescent="0.25">
      <c r="A6261" s="508">
        <v>102229</v>
      </c>
      <c r="B6261" s="509" t="s">
        <v>3125</v>
      </c>
      <c r="C6261" s="508" t="s">
        <v>150</v>
      </c>
      <c r="D6261" s="508">
        <v>28.11</v>
      </c>
      <c r="E6261" s="461" t="s">
        <v>174</v>
      </c>
    </row>
    <row r="6262" spans="1:5" ht="27" x14ac:dyDescent="0.25">
      <c r="A6262" s="508">
        <v>102230</v>
      </c>
      <c r="B6262" s="509" t="s">
        <v>3126</v>
      </c>
      <c r="C6262" s="508" t="s">
        <v>150</v>
      </c>
      <c r="D6262" s="508">
        <v>26.83</v>
      </c>
      <c r="E6262" s="461" t="s">
        <v>174</v>
      </c>
    </row>
    <row r="6263" spans="1:5" ht="15" x14ac:dyDescent="0.25">
      <c r="A6263" s="508">
        <v>102233</v>
      </c>
      <c r="B6263" s="509" t="s">
        <v>3127</v>
      </c>
      <c r="C6263" s="508" t="s">
        <v>150</v>
      </c>
      <c r="D6263" s="508">
        <v>12.58</v>
      </c>
      <c r="E6263" s="461" t="s">
        <v>174</v>
      </c>
    </row>
    <row r="6264" spans="1:5" ht="15" x14ac:dyDescent="0.25">
      <c r="A6264" s="508">
        <v>102234</v>
      </c>
      <c r="B6264" s="509" t="s">
        <v>3128</v>
      </c>
      <c r="C6264" s="508" t="s">
        <v>150</v>
      </c>
      <c r="D6264" s="508">
        <v>25.17</v>
      </c>
      <c r="E6264" s="461" t="s">
        <v>174</v>
      </c>
    </row>
    <row r="6265" spans="1:5" ht="15" x14ac:dyDescent="0.25">
      <c r="A6265" s="508">
        <v>100716</v>
      </c>
      <c r="B6265" s="509" t="s">
        <v>2104</v>
      </c>
      <c r="C6265" s="508" t="s">
        <v>150</v>
      </c>
      <c r="D6265" s="508">
        <v>26.63</v>
      </c>
      <c r="E6265" s="461" t="s">
        <v>174</v>
      </c>
    </row>
    <row r="6266" spans="1:5" ht="15" x14ac:dyDescent="0.25">
      <c r="A6266" s="508">
        <v>100717</v>
      </c>
      <c r="B6266" s="509" t="s">
        <v>2105</v>
      </c>
      <c r="C6266" s="508" t="s">
        <v>150</v>
      </c>
      <c r="D6266" s="508">
        <v>10.98</v>
      </c>
      <c r="E6266" s="461" t="s">
        <v>174</v>
      </c>
    </row>
    <row r="6267" spans="1:5" ht="15" x14ac:dyDescent="0.25">
      <c r="A6267" s="508">
        <v>100718</v>
      </c>
      <c r="B6267" s="509" t="s">
        <v>2106</v>
      </c>
      <c r="C6267" s="508" t="s">
        <v>5</v>
      </c>
      <c r="D6267" s="508">
        <v>1.52</v>
      </c>
      <c r="E6267" s="461" t="s">
        <v>174</v>
      </c>
    </row>
    <row r="6268" spans="1:5" ht="27" x14ac:dyDescent="0.25">
      <c r="A6268" s="508">
        <v>100719</v>
      </c>
      <c r="B6268" s="509" t="s">
        <v>7858</v>
      </c>
      <c r="C6268" s="508" t="s">
        <v>150</v>
      </c>
      <c r="D6268" s="508">
        <v>11.77</v>
      </c>
      <c r="E6268" s="461" t="s">
        <v>174</v>
      </c>
    </row>
    <row r="6269" spans="1:5" ht="27" x14ac:dyDescent="0.25">
      <c r="A6269" s="508">
        <v>100720</v>
      </c>
      <c r="B6269" s="509" t="s">
        <v>2107</v>
      </c>
      <c r="C6269" s="508" t="s">
        <v>150</v>
      </c>
      <c r="D6269" s="508">
        <v>12</v>
      </c>
      <c r="E6269" s="461" t="s">
        <v>174</v>
      </c>
    </row>
    <row r="6270" spans="1:5" ht="27" x14ac:dyDescent="0.25">
      <c r="A6270" s="508">
        <v>100721</v>
      </c>
      <c r="B6270" s="509" t="s">
        <v>7859</v>
      </c>
      <c r="C6270" s="508" t="s">
        <v>150</v>
      </c>
      <c r="D6270" s="508">
        <v>27.68</v>
      </c>
      <c r="E6270" s="461" t="s">
        <v>174</v>
      </c>
    </row>
    <row r="6271" spans="1:5" ht="27" x14ac:dyDescent="0.25">
      <c r="A6271" s="508">
        <v>100722</v>
      </c>
      <c r="B6271" s="509" t="s">
        <v>2108</v>
      </c>
      <c r="C6271" s="508" t="s">
        <v>150</v>
      </c>
      <c r="D6271" s="508">
        <v>27.26</v>
      </c>
      <c r="E6271" s="461" t="s">
        <v>174</v>
      </c>
    </row>
    <row r="6272" spans="1:5" ht="27" x14ac:dyDescent="0.25">
      <c r="A6272" s="508">
        <v>100723</v>
      </c>
      <c r="B6272" s="509" t="s">
        <v>7860</v>
      </c>
      <c r="C6272" s="508" t="s">
        <v>150</v>
      </c>
      <c r="D6272" s="508">
        <v>12.63</v>
      </c>
      <c r="E6272" s="461" t="s">
        <v>174</v>
      </c>
    </row>
    <row r="6273" spans="1:5" ht="40.5" x14ac:dyDescent="0.25">
      <c r="A6273" s="508">
        <v>100724</v>
      </c>
      <c r="B6273" s="509" t="s">
        <v>2109</v>
      </c>
      <c r="C6273" s="508" t="s">
        <v>150</v>
      </c>
      <c r="D6273" s="508">
        <v>15.52</v>
      </c>
      <c r="E6273" s="461" t="s">
        <v>174</v>
      </c>
    </row>
    <row r="6274" spans="1:5" ht="40.5" x14ac:dyDescent="0.25">
      <c r="A6274" s="508">
        <v>100725</v>
      </c>
      <c r="B6274" s="509" t="s">
        <v>7861</v>
      </c>
      <c r="C6274" s="508" t="s">
        <v>150</v>
      </c>
      <c r="D6274" s="508">
        <v>27.96</v>
      </c>
      <c r="E6274" s="461" t="s">
        <v>174</v>
      </c>
    </row>
    <row r="6275" spans="1:5" ht="40.5" x14ac:dyDescent="0.25">
      <c r="A6275" s="508">
        <v>100726</v>
      </c>
      <c r="B6275" s="509" t="s">
        <v>2110</v>
      </c>
      <c r="C6275" s="508" t="s">
        <v>150</v>
      </c>
      <c r="D6275" s="508">
        <v>30.66</v>
      </c>
      <c r="E6275" s="461" t="s">
        <v>174</v>
      </c>
    </row>
    <row r="6276" spans="1:5" ht="27" x14ac:dyDescent="0.25">
      <c r="A6276" s="508">
        <v>100727</v>
      </c>
      <c r="B6276" s="509" t="s">
        <v>7862</v>
      </c>
      <c r="C6276" s="508" t="s">
        <v>150</v>
      </c>
      <c r="D6276" s="508">
        <v>29.07</v>
      </c>
      <c r="E6276" s="461" t="s">
        <v>174</v>
      </c>
    </row>
    <row r="6277" spans="1:5" ht="27" x14ac:dyDescent="0.25">
      <c r="A6277" s="508">
        <v>100728</v>
      </c>
      <c r="B6277" s="509" t="s">
        <v>2111</v>
      </c>
      <c r="C6277" s="508" t="s">
        <v>150</v>
      </c>
      <c r="D6277" s="508">
        <v>26.32</v>
      </c>
      <c r="E6277" s="461" t="s">
        <v>174</v>
      </c>
    </row>
    <row r="6278" spans="1:5" ht="27" x14ac:dyDescent="0.25">
      <c r="A6278" s="508">
        <v>100729</v>
      </c>
      <c r="B6278" s="509" t="s">
        <v>7863</v>
      </c>
      <c r="C6278" s="508" t="s">
        <v>150</v>
      </c>
      <c r="D6278" s="508">
        <v>21.81</v>
      </c>
      <c r="E6278" s="461" t="s">
        <v>174</v>
      </c>
    </row>
    <row r="6279" spans="1:5" ht="27" x14ac:dyDescent="0.25">
      <c r="A6279" s="508">
        <v>100730</v>
      </c>
      <c r="B6279" s="509" t="s">
        <v>2112</v>
      </c>
      <c r="C6279" s="508" t="s">
        <v>150</v>
      </c>
      <c r="D6279" s="508">
        <v>25.79</v>
      </c>
      <c r="E6279" s="461" t="s">
        <v>174</v>
      </c>
    </row>
    <row r="6280" spans="1:5" ht="27" x14ac:dyDescent="0.25">
      <c r="A6280" s="508">
        <v>100733</v>
      </c>
      <c r="B6280" s="509" t="s">
        <v>7864</v>
      </c>
      <c r="C6280" s="508" t="s">
        <v>150</v>
      </c>
      <c r="D6280" s="508">
        <v>14.13</v>
      </c>
      <c r="E6280" s="461" t="s">
        <v>174</v>
      </c>
    </row>
    <row r="6281" spans="1:5" ht="27" x14ac:dyDescent="0.25">
      <c r="A6281" s="508">
        <v>100734</v>
      </c>
      <c r="B6281" s="509" t="s">
        <v>2113</v>
      </c>
      <c r="C6281" s="508" t="s">
        <v>150</v>
      </c>
      <c r="D6281" s="508">
        <v>17.98</v>
      </c>
      <c r="E6281" s="461" t="s">
        <v>174</v>
      </c>
    </row>
    <row r="6282" spans="1:5" ht="27" x14ac:dyDescent="0.25">
      <c r="A6282" s="508">
        <v>100735</v>
      </c>
      <c r="B6282" s="509" t="s">
        <v>7865</v>
      </c>
      <c r="C6282" s="508" t="s">
        <v>150</v>
      </c>
      <c r="D6282" s="508">
        <v>12.46</v>
      </c>
      <c r="E6282" s="461" t="s">
        <v>174</v>
      </c>
    </row>
    <row r="6283" spans="1:5" ht="27" x14ac:dyDescent="0.25">
      <c r="A6283" s="508">
        <v>100736</v>
      </c>
      <c r="B6283" s="509" t="s">
        <v>2114</v>
      </c>
      <c r="C6283" s="508" t="s">
        <v>150</v>
      </c>
      <c r="D6283" s="508">
        <v>16.579999999999998</v>
      </c>
      <c r="E6283" s="461" t="s">
        <v>174</v>
      </c>
    </row>
    <row r="6284" spans="1:5" ht="27" x14ac:dyDescent="0.25">
      <c r="A6284" s="508">
        <v>100739</v>
      </c>
      <c r="B6284" s="509" t="s">
        <v>7866</v>
      </c>
      <c r="C6284" s="508" t="s">
        <v>150</v>
      </c>
      <c r="D6284" s="508">
        <v>11.58</v>
      </c>
      <c r="E6284" s="461" t="s">
        <v>174</v>
      </c>
    </row>
    <row r="6285" spans="1:5" ht="27" x14ac:dyDescent="0.25">
      <c r="A6285" s="508">
        <v>100740</v>
      </c>
      <c r="B6285" s="509" t="s">
        <v>2115</v>
      </c>
      <c r="C6285" s="508" t="s">
        <v>150</v>
      </c>
      <c r="D6285" s="508">
        <v>12.61</v>
      </c>
      <c r="E6285" s="461" t="s">
        <v>174</v>
      </c>
    </row>
    <row r="6286" spans="1:5" ht="40.5" x14ac:dyDescent="0.25">
      <c r="A6286" s="508">
        <v>100741</v>
      </c>
      <c r="B6286" s="509" t="s">
        <v>7867</v>
      </c>
      <c r="C6286" s="508" t="s">
        <v>150</v>
      </c>
      <c r="D6286" s="508">
        <v>27.26</v>
      </c>
      <c r="E6286" s="461" t="s">
        <v>174</v>
      </c>
    </row>
    <row r="6287" spans="1:5" ht="40.5" x14ac:dyDescent="0.25">
      <c r="A6287" s="508">
        <v>100742</v>
      </c>
      <c r="B6287" s="509" t="s">
        <v>2116</v>
      </c>
      <c r="C6287" s="508" t="s">
        <v>150</v>
      </c>
      <c r="D6287" s="508">
        <v>27.84</v>
      </c>
      <c r="E6287" s="461" t="s">
        <v>174</v>
      </c>
    </row>
    <row r="6288" spans="1:5" ht="27" x14ac:dyDescent="0.25">
      <c r="A6288" s="508">
        <v>100743</v>
      </c>
      <c r="B6288" s="509" t="s">
        <v>7868</v>
      </c>
      <c r="C6288" s="508" t="s">
        <v>150</v>
      </c>
      <c r="D6288" s="508">
        <v>11.32</v>
      </c>
      <c r="E6288" s="461" t="s">
        <v>174</v>
      </c>
    </row>
    <row r="6289" spans="1:5" ht="27" x14ac:dyDescent="0.25">
      <c r="A6289" s="508">
        <v>100744</v>
      </c>
      <c r="B6289" s="509" t="s">
        <v>2117</v>
      </c>
      <c r="C6289" s="508" t="s">
        <v>150</v>
      </c>
      <c r="D6289" s="508">
        <v>12.44</v>
      </c>
      <c r="E6289" s="461" t="s">
        <v>174</v>
      </c>
    </row>
    <row r="6290" spans="1:5" ht="40.5" x14ac:dyDescent="0.25">
      <c r="A6290" s="508">
        <v>100745</v>
      </c>
      <c r="B6290" s="509" t="s">
        <v>7869</v>
      </c>
      <c r="C6290" s="508" t="s">
        <v>150</v>
      </c>
      <c r="D6290" s="508">
        <v>26.98</v>
      </c>
      <c r="E6290" s="461" t="s">
        <v>174</v>
      </c>
    </row>
    <row r="6291" spans="1:5" ht="40.5" x14ac:dyDescent="0.25">
      <c r="A6291" s="508">
        <v>100746</v>
      </c>
      <c r="B6291" s="509" t="s">
        <v>2118</v>
      </c>
      <c r="C6291" s="508" t="s">
        <v>150</v>
      </c>
      <c r="D6291" s="508">
        <v>27.66</v>
      </c>
      <c r="E6291" s="461" t="s">
        <v>174</v>
      </c>
    </row>
    <row r="6292" spans="1:5" ht="27" x14ac:dyDescent="0.25">
      <c r="A6292" s="508">
        <v>100747</v>
      </c>
      <c r="B6292" s="509" t="s">
        <v>7870</v>
      </c>
      <c r="C6292" s="508" t="s">
        <v>150</v>
      </c>
      <c r="D6292" s="508">
        <v>11.43</v>
      </c>
      <c r="E6292" s="461" t="s">
        <v>174</v>
      </c>
    </row>
    <row r="6293" spans="1:5" ht="27" x14ac:dyDescent="0.25">
      <c r="A6293" s="508">
        <v>100748</v>
      </c>
      <c r="B6293" s="509" t="s">
        <v>2119</v>
      </c>
      <c r="C6293" s="508" t="s">
        <v>150</v>
      </c>
      <c r="D6293" s="508">
        <v>12.51</v>
      </c>
      <c r="E6293" s="461" t="s">
        <v>174</v>
      </c>
    </row>
    <row r="6294" spans="1:5" ht="27" x14ac:dyDescent="0.25">
      <c r="A6294" s="508">
        <v>100749</v>
      </c>
      <c r="B6294" s="509" t="s">
        <v>7871</v>
      </c>
      <c r="C6294" s="508" t="s">
        <v>150</v>
      </c>
      <c r="D6294" s="508">
        <v>27.1</v>
      </c>
      <c r="E6294" s="461" t="s">
        <v>174</v>
      </c>
    </row>
    <row r="6295" spans="1:5" ht="40.5" x14ac:dyDescent="0.25">
      <c r="A6295" s="508">
        <v>100750</v>
      </c>
      <c r="B6295" s="509" t="s">
        <v>2120</v>
      </c>
      <c r="C6295" s="508" t="s">
        <v>150</v>
      </c>
      <c r="D6295" s="508">
        <v>27.74</v>
      </c>
      <c r="E6295" s="461" t="s">
        <v>174</v>
      </c>
    </row>
    <row r="6296" spans="1:5" ht="27" x14ac:dyDescent="0.25">
      <c r="A6296" s="508">
        <v>100751</v>
      </c>
      <c r="B6296" s="509" t="s">
        <v>7872</v>
      </c>
      <c r="C6296" s="508" t="s">
        <v>150</v>
      </c>
      <c r="D6296" s="508">
        <v>43.63</v>
      </c>
      <c r="E6296" s="461" t="s">
        <v>174</v>
      </c>
    </row>
    <row r="6297" spans="1:5" ht="27" x14ac:dyDescent="0.25">
      <c r="A6297" s="508">
        <v>100752</v>
      </c>
      <c r="B6297" s="509" t="s">
        <v>2121</v>
      </c>
      <c r="C6297" s="508" t="s">
        <v>150</v>
      </c>
      <c r="D6297" s="508">
        <v>51.59</v>
      </c>
      <c r="E6297" s="461" t="s">
        <v>174</v>
      </c>
    </row>
    <row r="6298" spans="1:5" ht="27" x14ac:dyDescent="0.25">
      <c r="A6298" s="508">
        <v>100753</v>
      </c>
      <c r="B6298" s="509" t="s">
        <v>7873</v>
      </c>
      <c r="C6298" s="508" t="s">
        <v>150</v>
      </c>
      <c r="D6298" s="508">
        <v>24.93</v>
      </c>
      <c r="E6298" s="461" t="s">
        <v>174</v>
      </c>
    </row>
    <row r="6299" spans="1:5" ht="27" x14ac:dyDescent="0.25">
      <c r="A6299" s="508">
        <v>100754</v>
      </c>
      <c r="B6299" s="509" t="s">
        <v>2122</v>
      </c>
      <c r="C6299" s="508" t="s">
        <v>150</v>
      </c>
      <c r="D6299" s="508">
        <v>33.18</v>
      </c>
      <c r="E6299" s="461" t="s">
        <v>174</v>
      </c>
    </row>
    <row r="6300" spans="1:5" ht="40.5" x14ac:dyDescent="0.25">
      <c r="A6300" s="508">
        <v>100757</v>
      </c>
      <c r="B6300" s="509" t="s">
        <v>7874</v>
      </c>
      <c r="C6300" s="508" t="s">
        <v>150</v>
      </c>
      <c r="D6300" s="508">
        <v>54.54</v>
      </c>
      <c r="E6300" s="461" t="s">
        <v>174</v>
      </c>
    </row>
    <row r="6301" spans="1:5" ht="40.5" x14ac:dyDescent="0.25">
      <c r="A6301" s="508">
        <v>100758</v>
      </c>
      <c r="B6301" s="509" t="s">
        <v>2123</v>
      </c>
      <c r="C6301" s="508" t="s">
        <v>150</v>
      </c>
      <c r="D6301" s="508">
        <v>55.71</v>
      </c>
      <c r="E6301" s="461" t="s">
        <v>174</v>
      </c>
    </row>
    <row r="6302" spans="1:5" ht="40.5" x14ac:dyDescent="0.25">
      <c r="A6302" s="508">
        <v>100759</v>
      </c>
      <c r="B6302" s="509" t="s">
        <v>7875</v>
      </c>
      <c r="C6302" s="508" t="s">
        <v>150</v>
      </c>
      <c r="D6302" s="508">
        <v>53.97</v>
      </c>
      <c r="E6302" s="461" t="s">
        <v>174</v>
      </c>
    </row>
    <row r="6303" spans="1:5" ht="40.5" x14ac:dyDescent="0.25">
      <c r="A6303" s="508">
        <v>100760</v>
      </c>
      <c r="B6303" s="509" t="s">
        <v>2124</v>
      </c>
      <c r="C6303" s="508" t="s">
        <v>150</v>
      </c>
      <c r="D6303" s="508">
        <v>55.36</v>
      </c>
      <c r="E6303" s="461" t="s">
        <v>174</v>
      </c>
    </row>
    <row r="6304" spans="1:5" ht="27" x14ac:dyDescent="0.25">
      <c r="A6304" s="508">
        <v>100761</v>
      </c>
      <c r="B6304" s="509" t="s">
        <v>7876</v>
      </c>
      <c r="C6304" s="508" t="s">
        <v>150</v>
      </c>
      <c r="D6304" s="508">
        <v>54.21</v>
      </c>
      <c r="E6304" s="461" t="s">
        <v>174</v>
      </c>
    </row>
    <row r="6305" spans="1:5" ht="40.5" x14ac:dyDescent="0.25">
      <c r="A6305" s="508">
        <v>100762</v>
      </c>
      <c r="B6305" s="509" t="s">
        <v>2125</v>
      </c>
      <c r="C6305" s="508" t="s">
        <v>150</v>
      </c>
      <c r="D6305" s="508">
        <v>55.5</v>
      </c>
      <c r="E6305" s="461" t="s">
        <v>174</v>
      </c>
    </row>
    <row r="6306" spans="1:5" ht="15" x14ac:dyDescent="0.25">
      <c r="A6306" s="508">
        <v>102488</v>
      </c>
      <c r="B6306" s="509" t="s">
        <v>3645</v>
      </c>
      <c r="C6306" s="508" t="s">
        <v>150</v>
      </c>
      <c r="D6306" s="508">
        <v>3.98</v>
      </c>
      <c r="E6306" s="461" t="s">
        <v>174</v>
      </c>
    </row>
    <row r="6307" spans="1:5" ht="15" x14ac:dyDescent="0.25">
      <c r="A6307" s="508">
        <v>102489</v>
      </c>
      <c r="B6307" s="509" t="s">
        <v>3646</v>
      </c>
      <c r="C6307" s="508" t="s">
        <v>150</v>
      </c>
      <c r="D6307" s="508">
        <v>30.89</v>
      </c>
      <c r="E6307" s="461" t="s">
        <v>174</v>
      </c>
    </row>
    <row r="6308" spans="1:5" ht="27" x14ac:dyDescent="0.25">
      <c r="A6308" s="508">
        <v>102491</v>
      </c>
      <c r="B6308" s="509" t="s">
        <v>3647</v>
      </c>
      <c r="C6308" s="508" t="s">
        <v>150</v>
      </c>
      <c r="D6308" s="508">
        <v>22.93</v>
      </c>
      <c r="E6308" s="461" t="s">
        <v>174</v>
      </c>
    </row>
    <row r="6309" spans="1:5" ht="27" x14ac:dyDescent="0.25">
      <c r="A6309" s="508">
        <v>102492</v>
      </c>
      <c r="B6309" s="509" t="s">
        <v>3648</v>
      </c>
      <c r="C6309" s="508" t="s">
        <v>150</v>
      </c>
      <c r="D6309" s="508">
        <v>29.08</v>
      </c>
      <c r="E6309" s="461" t="s">
        <v>174</v>
      </c>
    </row>
    <row r="6310" spans="1:5" ht="27" x14ac:dyDescent="0.25">
      <c r="A6310" s="508">
        <v>102494</v>
      </c>
      <c r="B6310" s="509" t="s">
        <v>3649</v>
      </c>
      <c r="C6310" s="508" t="s">
        <v>150</v>
      </c>
      <c r="D6310" s="508">
        <v>68.69</v>
      </c>
      <c r="E6310" s="461" t="s">
        <v>174</v>
      </c>
    </row>
    <row r="6311" spans="1:5" ht="27" x14ac:dyDescent="0.25">
      <c r="A6311" s="508">
        <v>102496</v>
      </c>
      <c r="B6311" s="509" t="s">
        <v>3650</v>
      </c>
      <c r="C6311" s="508" t="s">
        <v>5</v>
      </c>
      <c r="D6311" s="508">
        <v>14.48</v>
      </c>
      <c r="E6311" s="461" t="s">
        <v>174</v>
      </c>
    </row>
    <row r="6312" spans="1:5" ht="27" x14ac:dyDescent="0.25">
      <c r="A6312" s="508">
        <v>102497</v>
      </c>
      <c r="B6312" s="509" t="s">
        <v>3651</v>
      </c>
      <c r="C6312" s="508" t="s">
        <v>5</v>
      </c>
      <c r="D6312" s="508">
        <v>5.17</v>
      </c>
      <c r="E6312" s="461" t="s">
        <v>174</v>
      </c>
    </row>
    <row r="6313" spans="1:5" ht="15" x14ac:dyDescent="0.25">
      <c r="A6313" s="508">
        <v>102498</v>
      </c>
      <c r="B6313" s="509" t="s">
        <v>3652</v>
      </c>
      <c r="C6313" s="508" t="s">
        <v>5</v>
      </c>
      <c r="D6313" s="508">
        <v>1.83</v>
      </c>
      <c r="E6313" s="461" t="s">
        <v>174</v>
      </c>
    </row>
    <row r="6314" spans="1:5" ht="15" x14ac:dyDescent="0.25">
      <c r="A6314" s="508">
        <v>102499</v>
      </c>
      <c r="B6314" s="509" t="s">
        <v>3653</v>
      </c>
      <c r="C6314" s="508" t="s">
        <v>150</v>
      </c>
      <c r="D6314" s="508">
        <v>3.17</v>
      </c>
      <c r="E6314" s="461" t="s">
        <v>174</v>
      </c>
    </row>
    <row r="6315" spans="1:5" ht="27" x14ac:dyDescent="0.25">
      <c r="A6315" s="508">
        <v>102500</v>
      </c>
      <c r="B6315" s="509" t="s">
        <v>3654</v>
      </c>
      <c r="C6315" s="508" t="s">
        <v>5</v>
      </c>
      <c r="D6315" s="508">
        <v>4.8099999999999996</v>
      </c>
      <c r="E6315" s="461" t="s">
        <v>174</v>
      </c>
    </row>
    <row r="6316" spans="1:5" ht="27" x14ac:dyDescent="0.25">
      <c r="A6316" s="508">
        <v>102501</v>
      </c>
      <c r="B6316" s="509" t="s">
        <v>3655</v>
      </c>
      <c r="C6316" s="508" t="s">
        <v>150</v>
      </c>
      <c r="D6316" s="508">
        <v>27.75</v>
      </c>
      <c r="E6316" s="461" t="s">
        <v>174</v>
      </c>
    </row>
    <row r="6317" spans="1:5" ht="27" x14ac:dyDescent="0.25">
      <c r="A6317" s="508">
        <v>102504</v>
      </c>
      <c r="B6317" s="509" t="s">
        <v>3656</v>
      </c>
      <c r="C6317" s="508" t="s">
        <v>5</v>
      </c>
      <c r="D6317" s="508">
        <v>10.94</v>
      </c>
      <c r="E6317" s="461" t="s">
        <v>174</v>
      </c>
    </row>
    <row r="6318" spans="1:5" ht="27" x14ac:dyDescent="0.25">
      <c r="A6318" s="508">
        <v>102505</v>
      </c>
      <c r="B6318" s="509" t="s">
        <v>3657</v>
      </c>
      <c r="C6318" s="508" t="s">
        <v>5</v>
      </c>
      <c r="D6318" s="508">
        <v>11.48</v>
      </c>
      <c r="E6318" s="461" t="s">
        <v>174</v>
      </c>
    </row>
    <row r="6319" spans="1:5" ht="27" x14ac:dyDescent="0.25">
      <c r="A6319" s="508">
        <v>102506</v>
      </c>
      <c r="B6319" s="509" t="s">
        <v>3658</v>
      </c>
      <c r="C6319" s="508" t="s">
        <v>5</v>
      </c>
      <c r="D6319" s="508">
        <v>11.98</v>
      </c>
      <c r="E6319" s="461" t="s">
        <v>174</v>
      </c>
    </row>
    <row r="6320" spans="1:5" ht="27" x14ac:dyDescent="0.25">
      <c r="A6320" s="508">
        <v>102507</v>
      </c>
      <c r="B6320" s="509" t="s">
        <v>3659</v>
      </c>
      <c r="C6320" s="508" t="s">
        <v>5</v>
      </c>
      <c r="D6320" s="508">
        <v>6.89</v>
      </c>
      <c r="E6320" s="461" t="s">
        <v>174</v>
      </c>
    </row>
    <row r="6321" spans="1:5" ht="27" x14ac:dyDescent="0.25">
      <c r="A6321" s="508">
        <v>102508</v>
      </c>
      <c r="B6321" s="509" t="s">
        <v>3660</v>
      </c>
      <c r="C6321" s="508" t="s">
        <v>150</v>
      </c>
      <c r="D6321" s="508">
        <v>49.01</v>
      </c>
      <c r="E6321" s="461" t="s">
        <v>174</v>
      </c>
    </row>
    <row r="6322" spans="1:5" ht="27" x14ac:dyDescent="0.25">
      <c r="A6322" s="508">
        <v>102509</v>
      </c>
      <c r="B6322" s="509" t="s">
        <v>3661</v>
      </c>
      <c r="C6322" s="508" t="s">
        <v>150</v>
      </c>
      <c r="D6322" s="508">
        <v>27.89</v>
      </c>
      <c r="E6322" s="461" t="s">
        <v>174</v>
      </c>
    </row>
    <row r="6323" spans="1:5" ht="40.5" x14ac:dyDescent="0.25">
      <c r="A6323" s="508">
        <v>102512</v>
      </c>
      <c r="B6323" s="509" t="s">
        <v>3662</v>
      </c>
      <c r="C6323" s="508" t="s">
        <v>5</v>
      </c>
      <c r="D6323" s="508">
        <v>5.73</v>
      </c>
      <c r="E6323" s="461" t="s">
        <v>174</v>
      </c>
    </row>
    <row r="6324" spans="1:5" ht="27" x14ac:dyDescent="0.25">
      <c r="A6324" s="508">
        <v>102513</v>
      </c>
      <c r="B6324" s="509" t="s">
        <v>3663</v>
      </c>
      <c r="C6324" s="508" t="s">
        <v>150</v>
      </c>
      <c r="D6324" s="508">
        <v>52.07</v>
      </c>
      <c r="E6324" s="461" t="s">
        <v>174</v>
      </c>
    </row>
    <row r="6325" spans="1:5" ht="27" x14ac:dyDescent="0.25">
      <c r="A6325" s="508">
        <v>102520</v>
      </c>
      <c r="B6325" s="509" t="s">
        <v>3664</v>
      </c>
      <c r="C6325" s="508" t="s">
        <v>150</v>
      </c>
      <c r="D6325" s="508">
        <v>90.56</v>
      </c>
      <c r="E6325" s="461" t="s">
        <v>174</v>
      </c>
    </row>
    <row r="6326" spans="1:5" ht="27" x14ac:dyDescent="0.25">
      <c r="A6326" s="508">
        <v>101749</v>
      </c>
      <c r="B6326" s="509" t="s">
        <v>3129</v>
      </c>
      <c r="C6326" s="508" t="s">
        <v>150</v>
      </c>
      <c r="D6326" s="508">
        <v>59.8</v>
      </c>
      <c r="E6326" s="461" t="s">
        <v>174</v>
      </c>
    </row>
    <row r="6327" spans="1:5" ht="27" x14ac:dyDescent="0.25">
      <c r="A6327" s="508">
        <v>101750</v>
      </c>
      <c r="B6327" s="509" t="s">
        <v>3130</v>
      </c>
      <c r="C6327" s="508" t="s">
        <v>150</v>
      </c>
      <c r="D6327" s="508">
        <v>57.08</v>
      </c>
      <c r="E6327" s="461" t="s">
        <v>174</v>
      </c>
    </row>
    <row r="6328" spans="1:5" ht="15" x14ac:dyDescent="0.25">
      <c r="A6328" s="508">
        <v>101729</v>
      </c>
      <c r="B6328" s="509" t="s">
        <v>3131</v>
      </c>
      <c r="C6328" s="508" t="s">
        <v>150</v>
      </c>
      <c r="D6328" s="508">
        <v>259.56</v>
      </c>
      <c r="E6328" s="461" t="s">
        <v>174</v>
      </c>
    </row>
    <row r="6329" spans="1:5" ht="15" x14ac:dyDescent="0.25">
      <c r="A6329" s="508">
        <v>101746</v>
      </c>
      <c r="B6329" s="509" t="s">
        <v>3132</v>
      </c>
      <c r="C6329" s="508" t="s">
        <v>150</v>
      </c>
      <c r="D6329" s="508">
        <v>400.72</v>
      </c>
      <c r="E6329" s="461" t="s">
        <v>174</v>
      </c>
    </row>
    <row r="6330" spans="1:5" ht="15" x14ac:dyDescent="0.25">
      <c r="A6330" s="508">
        <v>101751</v>
      </c>
      <c r="B6330" s="509" t="s">
        <v>3133</v>
      </c>
      <c r="C6330" s="508" t="s">
        <v>150</v>
      </c>
      <c r="D6330" s="508">
        <v>266.81</v>
      </c>
      <c r="E6330" s="461" t="s">
        <v>174</v>
      </c>
    </row>
    <row r="6331" spans="1:5" ht="27" x14ac:dyDescent="0.25">
      <c r="A6331" s="508">
        <v>87246</v>
      </c>
      <c r="B6331" s="509" t="s">
        <v>7877</v>
      </c>
      <c r="C6331" s="508" t="s">
        <v>150</v>
      </c>
      <c r="D6331" s="508">
        <v>61.35</v>
      </c>
      <c r="E6331" s="461" t="s">
        <v>174</v>
      </c>
    </row>
    <row r="6332" spans="1:5" ht="27" x14ac:dyDescent="0.25">
      <c r="A6332" s="508">
        <v>87247</v>
      </c>
      <c r="B6332" s="509" t="s">
        <v>7878</v>
      </c>
      <c r="C6332" s="508" t="s">
        <v>150</v>
      </c>
      <c r="D6332" s="508">
        <v>53.81</v>
      </c>
      <c r="E6332" s="461" t="s">
        <v>174</v>
      </c>
    </row>
    <row r="6333" spans="1:5" ht="27" x14ac:dyDescent="0.25">
      <c r="A6333" s="508">
        <v>87248</v>
      </c>
      <c r="B6333" s="509" t="s">
        <v>7879</v>
      </c>
      <c r="C6333" s="508" t="s">
        <v>150</v>
      </c>
      <c r="D6333" s="508">
        <v>45.73</v>
      </c>
      <c r="E6333" s="461" t="s">
        <v>174</v>
      </c>
    </row>
    <row r="6334" spans="1:5" ht="27" x14ac:dyDescent="0.25">
      <c r="A6334" s="508">
        <v>87249</v>
      </c>
      <c r="B6334" s="509" t="s">
        <v>7880</v>
      </c>
      <c r="C6334" s="508" t="s">
        <v>150</v>
      </c>
      <c r="D6334" s="508">
        <v>66.37</v>
      </c>
      <c r="E6334" s="461" t="s">
        <v>174</v>
      </c>
    </row>
    <row r="6335" spans="1:5" ht="27" x14ac:dyDescent="0.25">
      <c r="A6335" s="508">
        <v>87250</v>
      </c>
      <c r="B6335" s="509" t="s">
        <v>7881</v>
      </c>
      <c r="C6335" s="508" t="s">
        <v>150</v>
      </c>
      <c r="D6335" s="508">
        <v>55.24</v>
      </c>
      <c r="E6335" s="461" t="s">
        <v>174</v>
      </c>
    </row>
    <row r="6336" spans="1:5" ht="27" x14ac:dyDescent="0.25">
      <c r="A6336" s="508">
        <v>87251</v>
      </c>
      <c r="B6336" s="509" t="s">
        <v>7882</v>
      </c>
      <c r="C6336" s="508" t="s">
        <v>150</v>
      </c>
      <c r="D6336" s="508">
        <v>46.05</v>
      </c>
      <c r="E6336" s="461" t="s">
        <v>174</v>
      </c>
    </row>
    <row r="6337" spans="1:5" ht="27" x14ac:dyDescent="0.25">
      <c r="A6337" s="508">
        <v>87255</v>
      </c>
      <c r="B6337" s="509" t="s">
        <v>7883</v>
      </c>
      <c r="C6337" s="508" t="s">
        <v>150</v>
      </c>
      <c r="D6337" s="508">
        <v>100.94</v>
      </c>
      <c r="E6337" s="461" t="s">
        <v>174</v>
      </c>
    </row>
    <row r="6338" spans="1:5" ht="27" x14ac:dyDescent="0.25">
      <c r="A6338" s="508">
        <v>87256</v>
      </c>
      <c r="B6338" s="509" t="s">
        <v>7884</v>
      </c>
      <c r="C6338" s="508" t="s">
        <v>150</v>
      </c>
      <c r="D6338" s="508">
        <v>87.81</v>
      </c>
      <c r="E6338" s="461" t="s">
        <v>174</v>
      </c>
    </row>
    <row r="6339" spans="1:5" ht="27" x14ac:dyDescent="0.25">
      <c r="A6339" s="508">
        <v>87257</v>
      </c>
      <c r="B6339" s="509" t="s">
        <v>7885</v>
      </c>
      <c r="C6339" s="508" t="s">
        <v>150</v>
      </c>
      <c r="D6339" s="508">
        <v>77.180000000000007</v>
      </c>
      <c r="E6339" s="461" t="s">
        <v>174</v>
      </c>
    </row>
    <row r="6340" spans="1:5" ht="27" x14ac:dyDescent="0.25">
      <c r="A6340" s="508">
        <v>87258</v>
      </c>
      <c r="B6340" s="509" t="s">
        <v>7886</v>
      </c>
      <c r="C6340" s="508" t="s">
        <v>150</v>
      </c>
      <c r="D6340" s="508">
        <v>137.93</v>
      </c>
      <c r="E6340" s="461" t="s">
        <v>174</v>
      </c>
    </row>
    <row r="6341" spans="1:5" ht="27" x14ac:dyDescent="0.25">
      <c r="A6341" s="508">
        <v>87259</v>
      </c>
      <c r="B6341" s="509" t="s">
        <v>7887</v>
      </c>
      <c r="C6341" s="508" t="s">
        <v>150</v>
      </c>
      <c r="D6341" s="508">
        <v>124.88</v>
      </c>
      <c r="E6341" s="461" t="s">
        <v>174</v>
      </c>
    </row>
    <row r="6342" spans="1:5" ht="27" x14ac:dyDescent="0.25">
      <c r="A6342" s="508">
        <v>87260</v>
      </c>
      <c r="B6342" s="509" t="s">
        <v>7888</v>
      </c>
      <c r="C6342" s="508" t="s">
        <v>150</v>
      </c>
      <c r="D6342" s="508">
        <v>115.13</v>
      </c>
      <c r="E6342" s="461" t="s">
        <v>174</v>
      </c>
    </row>
    <row r="6343" spans="1:5" ht="27" x14ac:dyDescent="0.25">
      <c r="A6343" s="508">
        <v>87261</v>
      </c>
      <c r="B6343" s="509" t="s">
        <v>7889</v>
      </c>
      <c r="C6343" s="508" t="s">
        <v>150</v>
      </c>
      <c r="D6343" s="508">
        <v>156.72</v>
      </c>
      <c r="E6343" s="461" t="s">
        <v>174</v>
      </c>
    </row>
    <row r="6344" spans="1:5" ht="27" x14ac:dyDescent="0.25">
      <c r="A6344" s="508">
        <v>87262</v>
      </c>
      <c r="B6344" s="509" t="s">
        <v>7890</v>
      </c>
      <c r="C6344" s="508" t="s">
        <v>150</v>
      </c>
      <c r="D6344" s="508">
        <v>142.13999999999999</v>
      </c>
      <c r="E6344" s="461" t="s">
        <v>174</v>
      </c>
    </row>
    <row r="6345" spans="1:5" ht="27" x14ac:dyDescent="0.25">
      <c r="A6345" s="508">
        <v>87263</v>
      </c>
      <c r="B6345" s="509" t="s">
        <v>7891</v>
      </c>
      <c r="C6345" s="508" t="s">
        <v>150</v>
      </c>
      <c r="D6345" s="508">
        <v>130.96</v>
      </c>
      <c r="E6345" s="461" t="s">
        <v>174</v>
      </c>
    </row>
    <row r="6346" spans="1:5" ht="27" x14ac:dyDescent="0.25">
      <c r="A6346" s="508">
        <v>93389</v>
      </c>
      <c r="B6346" s="509" t="s">
        <v>7892</v>
      </c>
      <c r="C6346" s="508" t="s">
        <v>150</v>
      </c>
      <c r="D6346" s="508">
        <v>56.41</v>
      </c>
      <c r="E6346" s="461" t="s">
        <v>174</v>
      </c>
    </row>
    <row r="6347" spans="1:5" ht="27" x14ac:dyDescent="0.25">
      <c r="A6347" s="508">
        <v>93390</v>
      </c>
      <c r="B6347" s="509" t="s">
        <v>7893</v>
      </c>
      <c r="C6347" s="508" t="s">
        <v>150</v>
      </c>
      <c r="D6347" s="508">
        <v>48.94</v>
      </c>
      <c r="E6347" s="461" t="s">
        <v>174</v>
      </c>
    </row>
    <row r="6348" spans="1:5" ht="27" x14ac:dyDescent="0.25">
      <c r="A6348" s="508">
        <v>93391</v>
      </c>
      <c r="B6348" s="509" t="s">
        <v>7894</v>
      </c>
      <c r="C6348" s="508" t="s">
        <v>150</v>
      </c>
      <c r="D6348" s="508">
        <v>40.880000000000003</v>
      </c>
      <c r="E6348" s="461" t="s">
        <v>174</v>
      </c>
    </row>
    <row r="6349" spans="1:5" ht="27" x14ac:dyDescent="0.25">
      <c r="A6349" s="508">
        <v>104593</v>
      </c>
      <c r="B6349" s="509" t="s">
        <v>7895</v>
      </c>
      <c r="C6349" s="508" t="s">
        <v>150</v>
      </c>
      <c r="D6349" s="508">
        <v>104.97</v>
      </c>
      <c r="E6349" s="461" t="s">
        <v>174</v>
      </c>
    </row>
    <row r="6350" spans="1:5" ht="27" x14ac:dyDescent="0.25">
      <c r="A6350" s="508">
        <v>104594</v>
      </c>
      <c r="B6350" s="509" t="s">
        <v>7896</v>
      </c>
      <c r="C6350" s="508" t="s">
        <v>150</v>
      </c>
      <c r="D6350" s="508">
        <v>90.29</v>
      </c>
      <c r="E6350" s="461" t="s">
        <v>174</v>
      </c>
    </row>
    <row r="6351" spans="1:5" ht="27" x14ac:dyDescent="0.25">
      <c r="A6351" s="508">
        <v>104595</v>
      </c>
      <c r="B6351" s="509" t="s">
        <v>7897</v>
      </c>
      <c r="C6351" s="508" t="s">
        <v>150</v>
      </c>
      <c r="D6351" s="508">
        <v>77.75</v>
      </c>
      <c r="E6351" s="461" t="s">
        <v>174</v>
      </c>
    </row>
    <row r="6352" spans="1:5" ht="27" x14ac:dyDescent="0.25">
      <c r="A6352" s="508">
        <v>104596</v>
      </c>
      <c r="B6352" s="509" t="s">
        <v>7898</v>
      </c>
      <c r="C6352" s="508" t="s">
        <v>150</v>
      </c>
      <c r="D6352" s="508">
        <v>161.44</v>
      </c>
      <c r="E6352" s="461" t="s">
        <v>174</v>
      </c>
    </row>
    <row r="6353" spans="1:5" ht="27" x14ac:dyDescent="0.25">
      <c r="A6353" s="508">
        <v>104597</v>
      </c>
      <c r="B6353" s="509" t="s">
        <v>7899</v>
      </c>
      <c r="C6353" s="508" t="s">
        <v>150</v>
      </c>
      <c r="D6353" s="508">
        <v>145.05000000000001</v>
      </c>
      <c r="E6353" s="461" t="s">
        <v>174</v>
      </c>
    </row>
    <row r="6354" spans="1:5" ht="27" x14ac:dyDescent="0.25">
      <c r="A6354" s="508">
        <v>104598</v>
      </c>
      <c r="B6354" s="509" t="s">
        <v>7900</v>
      </c>
      <c r="C6354" s="508" t="s">
        <v>150</v>
      </c>
      <c r="D6354" s="508">
        <v>131.66</v>
      </c>
      <c r="E6354" s="461" t="s">
        <v>174</v>
      </c>
    </row>
    <row r="6355" spans="1:5" ht="27" x14ac:dyDescent="0.25">
      <c r="A6355" s="508">
        <v>104599</v>
      </c>
      <c r="B6355" s="509" t="s">
        <v>7901</v>
      </c>
      <c r="C6355" s="508" t="s">
        <v>150</v>
      </c>
      <c r="D6355" s="508">
        <v>75.010000000000005</v>
      </c>
      <c r="E6355" s="461" t="s">
        <v>174</v>
      </c>
    </row>
    <row r="6356" spans="1:5" ht="27" x14ac:dyDescent="0.25">
      <c r="A6356" s="508">
        <v>104600</v>
      </c>
      <c r="B6356" s="509" t="s">
        <v>7902</v>
      </c>
      <c r="C6356" s="508" t="s">
        <v>150</v>
      </c>
      <c r="D6356" s="508">
        <v>69.66</v>
      </c>
      <c r="E6356" s="461" t="s">
        <v>174</v>
      </c>
    </row>
    <row r="6357" spans="1:5" ht="27" x14ac:dyDescent="0.25">
      <c r="A6357" s="508">
        <v>104601</v>
      </c>
      <c r="B6357" s="509" t="s">
        <v>7903</v>
      </c>
      <c r="C6357" s="508" t="s">
        <v>150</v>
      </c>
      <c r="D6357" s="508">
        <v>58.96</v>
      </c>
      <c r="E6357" s="461" t="s">
        <v>174</v>
      </c>
    </row>
    <row r="6358" spans="1:5" ht="27" x14ac:dyDescent="0.25">
      <c r="A6358" s="508">
        <v>104602</v>
      </c>
      <c r="B6358" s="509" t="s">
        <v>7904</v>
      </c>
      <c r="C6358" s="508" t="s">
        <v>150</v>
      </c>
      <c r="D6358" s="508">
        <v>53.94</v>
      </c>
      <c r="E6358" s="461" t="s">
        <v>174</v>
      </c>
    </row>
    <row r="6359" spans="1:5" ht="27" x14ac:dyDescent="0.25">
      <c r="A6359" s="508">
        <v>104603</v>
      </c>
      <c r="B6359" s="509" t="s">
        <v>7905</v>
      </c>
      <c r="C6359" s="508" t="s">
        <v>150</v>
      </c>
      <c r="D6359" s="508">
        <v>48.29</v>
      </c>
      <c r="E6359" s="461" t="s">
        <v>174</v>
      </c>
    </row>
    <row r="6360" spans="1:5" ht="27" x14ac:dyDescent="0.25">
      <c r="A6360" s="508">
        <v>104604</v>
      </c>
      <c r="B6360" s="509" t="s">
        <v>7906</v>
      </c>
      <c r="C6360" s="508" t="s">
        <v>150</v>
      </c>
      <c r="D6360" s="508">
        <v>43.37</v>
      </c>
      <c r="E6360" s="461" t="s">
        <v>174</v>
      </c>
    </row>
    <row r="6361" spans="1:5" ht="27" x14ac:dyDescent="0.25">
      <c r="A6361" s="508">
        <v>104605</v>
      </c>
      <c r="B6361" s="509" t="s">
        <v>7907</v>
      </c>
      <c r="C6361" s="508" t="s">
        <v>150</v>
      </c>
      <c r="D6361" s="508">
        <v>95.25</v>
      </c>
      <c r="E6361" s="461" t="s">
        <v>174</v>
      </c>
    </row>
    <row r="6362" spans="1:5" ht="27" x14ac:dyDescent="0.25">
      <c r="A6362" s="508">
        <v>104606</v>
      </c>
      <c r="B6362" s="509" t="s">
        <v>7908</v>
      </c>
      <c r="C6362" s="508" t="s">
        <v>150</v>
      </c>
      <c r="D6362" s="508">
        <v>63.42</v>
      </c>
      <c r="E6362" s="461" t="s">
        <v>174</v>
      </c>
    </row>
    <row r="6363" spans="1:5" ht="27" x14ac:dyDescent="0.25">
      <c r="A6363" s="508">
        <v>104607</v>
      </c>
      <c r="B6363" s="509" t="s">
        <v>7909</v>
      </c>
      <c r="C6363" s="508" t="s">
        <v>150</v>
      </c>
      <c r="D6363" s="508">
        <v>49.69</v>
      </c>
      <c r="E6363" s="461" t="s">
        <v>174</v>
      </c>
    </row>
    <row r="6364" spans="1:5" ht="27" x14ac:dyDescent="0.25">
      <c r="A6364" s="508">
        <v>104608</v>
      </c>
      <c r="B6364" s="509" t="s">
        <v>7910</v>
      </c>
      <c r="C6364" s="508" t="s">
        <v>150</v>
      </c>
      <c r="D6364" s="508">
        <v>174.97</v>
      </c>
      <c r="E6364" s="461" t="s">
        <v>174</v>
      </c>
    </row>
    <row r="6365" spans="1:5" ht="27" x14ac:dyDescent="0.25">
      <c r="A6365" s="508">
        <v>104609</v>
      </c>
      <c r="B6365" s="509" t="s">
        <v>7911</v>
      </c>
      <c r="C6365" s="508" t="s">
        <v>150</v>
      </c>
      <c r="D6365" s="508">
        <v>135.35</v>
      </c>
      <c r="E6365" s="461" t="s">
        <v>174</v>
      </c>
    </row>
    <row r="6366" spans="1:5" ht="27" x14ac:dyDescent="0.25">
      <c r="A6366" s="508">
        <v>104610</v>
      </c>
      <c r="B6366" s="509" t="s">
        <v>7912</v>
      </c>
      <c r="C6366" s="508" t="s">
        <v>150</v>
      </c>
      <c r="D6366" s="508">
        <v>119.81</v>
      </c>
      <c r="E6366" s="461" t="s">
        <v>174</v>
      </c>
    </row>
    <row r="6367" spans="1:5" ht="15" x14ac:dyDescent="0.25">
      <c r="A6367" s="508">
        <v>98671</v>
      </c>
      <c r="B6367" s="509" t="s">
        <v>3134</v>
      </c>
      <c r="C6367" s="508" t="s">
        <v>150</v>
      </c>
      <c r="D6367" s="508">
        <v>368.72</v>
      </c>
      <c r="E6367" s="461" t="s">
        <v>174</v>
      </c>
    </row>
    <row r="6368" spans="1:5" ht="15" x14ac:dyDescent="0.25">
      <c r="A6368" s="508">
        <v>98672</v>
      </c>
      <c r="B6368" s="509" t="s">
        <v>3135</v>
      </c>
      <c r="C6368" s="508" t="s">
        <v>150</v>
      </c>
      <c r="D6368" s="508">
        <v>474.32</v>
      </c>
      <c r="E6368" s="461" t="s">
        <v>174</v>
      </c>
    </row>
    <row r="6369" spans="1:5" ht="15" x14ac:dyDescent="0.25">
      <c r="A6369" s="508">
        <v>98678</v>
      </c>
      <c r="B6369" s="509" t="s">
        <v>3136</v>
      </c>
      <c r="C6369" s="508" t="s">
        <v>150</v>
      </c>
      <c r="D6369" s="508">
        <v>300.2</v>
      </c>
      <c r="E6369" s="461" t="s">
        <v>174</v>
      </c>
    </row>
    <row r="6370" spans="1:5" ht="27" x14ac:dyDescent="0.25">
      <c r="A6370" s="508">
        <v>98679</v>
      </c>
      <c r="B6370" s="509" t="s">
        <v>3137</v>
      </c>
      <c r="C6370" s="508" t="s">
        <v>150</v>
      </c>
      <c r="D6370" s="508">
        <v>40.83</v>
      </c>
      <c r="E6370" s="461" t="s">
        <v>174</v>
      </c>
    </row>
    <row r="6371" spans="1:5" ht="27" x14ac:dyDescent="0.25">
      <c r="A6371" s="508">
        <v>98680</v>
      </c>
      <c r="B6371" s="509" t="s">
        <v>3138</v>
      </c>
      <c r="C6371" s="508" t="s">
        <v>150</v>
      </c>
      <c r="D6371" s="508">
        <v>51.27</v>
      </c>
      <c r="E6371" s="461" t="s">
        <v>174</v>
      </c>
    </row>
    <row r="6372" spans="1:5" ht="27" x14ac:dyDescent="0.25">
      <c r="A6372" s="508">
        <v>98681</v>
      </c>
      <c r="B6372" s="509" t="s">
        <v>3139</v>
      </c>
      <c r="C6372" s="508" t="s">
        <v>150</v>
      </c>
      <c r="D6372" s="508">
        <v>38.11</v>
      </c>
      <c r="E6372" s="461" t="s">
        <v>174</v>
      </c>
    </row>
    <row r="6373" spans="1:5" ht="27" x14ac:dyDescent="0.25">
      <c r="A6373" s="508">
        <v>98682</v>
      </c>
      <c r="B6373" s="509" t="s">
        <v>3140</v>
      </c>
      <c r="C6373" s="508" t="s">
        <v>150</v>
      </c>
      <c r="D6373" s="508">
        <v>48.55</v>
      </c>
      <c r="E6373" s="461" t="s">
        <v>174</v>
      </c>
    </row>
    <row r="6374" spans="1:5" ht="15" x14ac:dyDescent="0.25">
      <c r="A6374" s="508">
        <v>98685</v>
      </c>
      <c r="B6374" s="509" t="s">
        <v>3141</v>
      </c>
      <c r="C6374" s="508" t="s">
        <v>5</v>
      </c>
      <c r="D6374" s="508">
        <v>68.03</v>
      </c>
      <c r="E6374" s="461" t="s">
        <v>174</v>
      </c>
    </row>
    <row r="6375" spans="1:5" ht="15" x14ac:dyDescent="0.25">
      <c r="A6375" s="508">
        <v>98686</v>
      </c>
      <c r="B6375" s="509" t="s">
        <v>3142</v>
      </c>
      <c r="C6375" s="508" t="s">
        <v>5</v>
      </c>
      <c r="D6375" s="508">
        <v>46.8</v>
      </c>
      <c r="E6375" s="461" t="s">
        <v>174</v>
      </c>
    </row>
    <row r="6376" spans="1:5" ht="15" x14ac:dyDescent="0.25">
      <c r="A6376" s="508">
        <v>98688</v>
      </c>
      <c r="B6376" s="509" t="s">
        <v>3143</v>
      </c>
      <c r="C6376" s="508" t="s">
        <v>5</v>
      </c>
      <c r="D6376" s="508">
        <v>68</v>
      </c>
      <c r="E6376" s="461" t="s">
        <v>174</v>
      </c>
    </row>
    <row r="6377" spans="1:5" ht="15" x14ac:dyDescent="0.25">
      <c r="A6377" s="508">
        <v>98689</v>
      </c>
      <c r="B6377" s="509" t="s">
        <v>3144</v>
      </c>
      <c r="C6377" s="508" t="s">
        <v>5</v>
      </c>
      <c r="D6377" s="508">
        <v>98.15</v>
      </c>
      <c r="E6377" s="461" t="s">
        <v>174</v>
      </c>
    </row>
    <row r="6378" spans="1:5" ht="27" x14ac:dyDescent="0.25">
      <c r="A6378" s="508">
        <v>101090</v>
      </c>
      <c r="B6378" s="509" t="s">
        <v>2126</v>
      </c>
      <c r="C6378" s="508" t="s">
        <v>150</v>
      </c>
      <c r="D6378" s="508">
        <v>228.3</v>
      </c>
      <c r="E6378" s="461" t="s">
        <v>174</v>
      </c>
    </row>
    <row r="6379" spans="1:5" ht="15" x14ac:dyDescent="0.25">
      <c r="A6379" s="508">
        <v>101091</v>
      </c>
      <c r="B6379" s="509" t="s">
        <v>2127</v>
      </c>
      <c r="C6379" s="508" t="s">
        <v>150</v>
      </c>
      <c r="D6379" s="508">
        <v>153.78</v>
      </c>
      <c r="E6379" s="461" t="s">
        <v>174</v>
      </c>
    </row>
    <row r="6380" spans="1:5" ht="27" x14ac:dyDescent="0.25">
      <c r="A6380" s="508">
        <v>101725</v>
      </c>
      <c r="B6380" s="509" t="s">
        <v>3145</v>
      </c>
      <c r="C6380" s="508" t="s">
        <v>150</v>
      </c>
      <c r="D6380" s="508">
        <v>302.06</v>
      </c>
      <c r="E6380" s="461" t="s">
        <v>174</v>
      </c>
    </row>
    <row r="6381" spans="1:5" ht="27" x14ac:dyDescent="0.25">
      <c r="A6381" s="508">
        <v>101726</v>
      </c>
      <c r="B6381" s="509" t="s">
        <v>3146</v>
      </c>
      <c r="C6381" s="508" t="s">
        <v>150</v>
      </c>
      <c r="D6381" s="508">
        <v>199.96</v>
      </c>
      <c r="E6381" s="461" t="s">
        <v>174</v>
      </c>
    </row>
    <row r="6382" spans="1:5" ht="15" x14ac:dyDescent="0.25">
      <c r="A6382" s="508">
        <v>101731</v>
      </c>
      <c r="B6382" s="509" t="s">
        <v>3147</v>
      </c>
      <c r="C6382" s="508" t="s">
        <v>150</v>
      </c>
      <c r="D6382" s="508">
        <v>333.81</v>
      </c>
      <c r="E6382" s="461" t="s">
        <v>174</v>
      </c>
    </row>
    <row r="6383" spans="1:5" ht="15" x14ac:dyDescent="0.25">
      <c r="A6383" s="508">
        <v>101732</v>
      </c>
      <c r="B6383" s="509" t="s">
        <v>3148</v>
      </c>
      <c r="C6383" s="508" t="s">
        <v>150</v>
      </c>
      <c r="D6383" s="508">
        <v>104.39</v>
      </c>
      <c r="E6383" s="461" t="s">
        <v>174</v>
      </c>
    </row>
    <row r="6384" spans="1:5" ht="27" x14ac:dyDescent="0.25">
      <c r="A6384" s="508">
        <v>101094</v>
      </c>
      <c r="B6384" s="509" t="s">
        <v>7913</v>
      </c>
      <c r="C6384" s="508" t="s">
        <v>5</v>
      </c>
      <c r="D6384" s="508">
        <v>177.86</v>
      </c>
      <c r="E6384" s="461" t="s">
        <v>174</v>
      </c>
    </row>
    <row r="6385" spans="1:5" ht="27" x14ac:dyDescent="0.25">
      <c r="A6385" s="508">
        <v>101727</v>
      </c>
      <c r="B6385" s="509" t="s">
        <v>3149</v>
      </c>
      <c r="C6385" s="508" t="s">
        <v>150</v>
      </c>
      <c r="D6385" s="508">
        <v>209.46</v>
      </c>
      <c r="E6385" s="461" t="s">
        <v>174</v>
      </c>
    </row>
    <row r="6386" spans="1:5" ht="27" x14ac:dyDescent="0.25">
      <c r="A6386" s="508">
        <v>101733</v>
      </c>
      <c r="B6386" s="509" t="s">
        <v>3150</v>
      </c>
      <c r="C6386" s="508" t="s">
        <v>150</v>
      </c>
      <c r="D6386" s="508">
        <v>286.69</v>
      </c>
      <c r="E6386" s="461" t="s">
        <v>174</v>
      </c>
    </row>
    <row r="6387" spans="1:5" ht="15" x14ac:dyDescent="0.25">
      <c r="A6387" s="508">
        <v>101734</v>
      </c>
      <c r="B6387" s="509" t="s">
        <v>4143</v>
      </c>
      <c r="C6387" s="508" t="s">
        <v>150</v>
      </c>
      <c r="D6387" s="508">
        <v>433.74</v>
      </c>
      <c r="E6387" s="461" t="s">
        <v>174</v>
      </c>
    </row>
    <row r="6388" spans="1:5" ht="15" x14ac:dyDescent="0.25">
      <c r="A6388" s="508">
        <v>101735</v>
      </c>
      <c r="B6388" s="509" t="s">
        <v>3151</v>
      </c>
      <c r="C6388" s="508" t="s">
        <v>150</v>
      </c>
      <c r="D6388" s="508">
        <v>444.42</v>
      </c>
      <c r="E6388" s="461" t="s">
        <v>174</v>
      </c>
    </row>
    <row r="6389" spans="1:5" ht="15" x14ac:dyDescent="0.25">
      <c r="A6389" s="508">
        <v>101736</v>
      </c>
      <c r="B6389" s="509" t="s">
        <v>3152</v>
      </c>
      <c r="C6389" s="508" t="s">
        <v>150</v>
      </c>
      <c r="D6389" s="508">
        <v>114.65</v>
      </c>
      <c r="E6389" s="461" t="s">
        <v>174</v>
      </c>
    </row>
    <row r="6390" spans="1:5" ht="15" x14ac:dyDescent="0.25">
      <c r="A6390" s="508">
        <v>101737</v>
      </c>
      <c r="B6390" s="509" t="s">
        <v>3153</v>
      </c>
      <c r="C6390" s="508" t="s">
        <v>150</v>
      </c>
      <c r="D6390" s="508">
        <v>135.76</v>
      </c>
      <c r="E6390" s="461" t="s">
        <v>174</v>
      </c>
    </row>
    <row r="6391" spans="1:5" ht="15" x14ac:dyDescent="0.25">
      <c r="A6391" s="508">
        <v>101748</v>
      </c>
      <c r="B6391" s="509" t="s">
        <v>3154</v>
      </c>
      <c r="C6391" s="508" t="s">
        <v>150</v>
      </c>
      <c r="D6391" s="508">
        <v>3.96</v>
      </c>
      <c r="E6391" s="461" t="s">
        <v>174</v>
      </c>
    </row>
    <row r="6392" spans="1:5" ht="40.5" x14ac:dyDescent="0.25">
      <c r="A6392" s="508">
        <v>104162</v>
      </c>
      <c r="B6392" s="509" t="s">
        <v>7914</v>
      </c>
      <c r="C6392" s="508" t="s">
        <v>150</v>
      </c>
      <c r="D6392" s="508">
        <v>93.19</v>
      </c>
      <c r="E6392" s="461" t="s">
        <v>174</v>
      </c>
    </row>
    <row r="6393" spans="1:5" ht="15" x14ac:dyDescent="0.25">
      <c r="A6393" s="508">
        <v>101092</v>
      </c>
      <c r="B6393" s="509" t="s">
        <v>2128</v>
      </c>
      <c r="C6393" s="508" t="s">
        <v>150</v>
      </c>
      <c r="D6393" s="508">
        <v>380.97</v>
      </c>
      <c r="E6393" s="461" t="s">
        <v>174</v>
      </c>
    </row>
    <row r="6394" spans="1:5" ht="15" x14ac:dyDescent="0.25">
      <c r="A6394" s="508">
        <v>101093</v>
      </c>
      <c r="B6394" s="509" t="s">
        <v>2129</v>
      </c>
      <c r="C6394" s="508" t="s">
        <v>150</v>
      </c>
      <c r="D6394" s="508">
        <v>486.57</v>
      </c>
      <c r="E6394" s="461" t="s">
        <v>174</v>
      </c>
    </row>
    <row r="6395" spans="1:5" ht="15" x14ac:dyDescent="0.25">
      <c r="A6395" s="508">
        <v>98695</v>
      </c>
      <c r="B6395" s="509" t="s">
        <v>3155</v>
      </c>
      <c r="C6395" s="508" t="s">
        <v>5</v>
      </c>
      <c r="D6395" s="508">
        <v>88.05</v>
      </c>
      <c r="E6395" s="461" t="s">
        <v>174</v>
      </c>
    </row>
    <row r="6396" spans="1:5" ht="15" x14ac:dyDescent="0.25">
      <c r="A6396" s="508">
        <v>98697</v>
      </c>
      <c r="B6396" s="509" t="s">
        <v>3156</v>
      </c>
      <c r="C6396" s="508" t="s">
        <v>5</v>
      </c>
      <c r="D6396" s="508">
        <v>57.6</v>
      </c>
      <c r="E6396" s="461" t="s">
        <v>174</v>
      </c>
    </row>
    <row r="6397" spans="1:5" ht="15" x14ac:dyDescent="0.25">
      <c r="A6397" s="508">
        <v>101738</v>
      </c>
      <c r="B6397" s="509" t="s">
        <v>3157</v>
      </c>
      <c r="C6397" s="508" t="s">
        <v>5</v>
      </c>
      <c r="D6397" s="508">
        <v>37.04</v>
      </c>
      <c r="E6397" s="461" t="s">
        <v>174</v>
      </c>
    </row>
    <row r="6398" spans="1:5" ht="15" x14ac:dyDescent="0.25">
      <c r="A6398" s="508">
        <v>101739</v>
      </c>
      <c r="B6398" s="509" t="s">
        <v>3158</v>
      </c>
      <c r="C6398" s="508" t="s">
        <v>5</v>
      </c>
      <c r="D6398" s="508">
        <v>40.81</v>
      </c>
      <c r="E6398" s="461" t="s">
        <v>174</v>
      </c>
    </row>
    <row r="6399" spans="1:5" ht="27" x14ac:dyDescent="0.25">
      <c r="A6399" s="508">
        <v>88648</v>
      </c>
      <c r="B6399" s="509" t="s">
        <v>7915</v>
      </c>
      <c r="C6399" s="508" t="s">
        <v>5</v>
      </c>
      <c r="D6399" s="508">
        <v>6.95</v>
      </c>
      <c r="E6399" s="461" t="s">
        <v>174</v>
      </c>
    </row>
    <row r="6400" spans="1:5" ht="27" x14ac:dyDescent="0.25">
      <c r="A6400" s="508">
        <v>88649</v>
      </c>
      <c r="B6400" s="509" t="s">
        <v>7916</v>
      </c>
      <c r="C6400" s="508" t="s">
        <v>5</v>
      </c>
      <c r="D6400" s="508">
        <v>7.83</v>
      </c>
      <c r="E6400" s="461" t="s">
        <v>174</v>
      </c>
    </row>
    <row r="6401" spans="1:5" ht="27" x14ac:dyDescent="0.25">
      <c r="A6401" s="508">
        <v>88650</v>
      </c>
      <c r="B6401" s="509" t="s">
        <v>7917</v>
      </c>
      <c r="C6401" s="508" t="s">
        <v>5</v>
      </c>
      <c r="D6401" s="508">
        <v>14.47</v>
      </c>
      <c r="E6401" s="461" t="s">
        <v>174</v>
      </c>
    </row>
    <row r="6402" spans="1:5" ht="27" x14ac:dyDescent="0.25">
      <c r="A6402" s="508">
        <v>96467</v>
      </c>
      <c r="B6402" s="509" t="s">
        <v>7918</v>
      </c>
      <c r="C6402" s="508" t="s">
        <v>5</v>
      </c>
      <c r="D6402" s="508">
        <v>6.39</v>
      </c>
      <c r="E6402" s="461" t="s">
        <v>174</v>
      </c>
    </row>
    <row r="6403" spans="1:5" ht="15" x14ac:dyDescent="0.25">
      <c r="A6403" s="508">
        <v>101740</v>
      </c>
      <c r="B6403" s="509" t="s">
        <v>3159</v>
      </c>
      <c r="C6403" s="508" t="s">
        <v>5</v>
      </c>
      <c r="D6403" s="508">
        <v>53.06</v>
      </c>
      <c r="E6403" s="461" t="s">
        <v>174</v>
      </c>
    </row>
    <row r="6404" spans="1:5" ht="15" x14ac:dyDescent="0.25">
      <c r="A6404" s="508">
        <v>101741</v>
      </c>
      <c r="B6404" s="509" t="s">
        <v>3160</v>
      </c>
      <c r="C6404" s="508" t="s">
        <v>5</v>
      </c>
      <c r="D6404" s="508">
        <v>26.2</v>
      </c>
      <c r="E6404" s="461" t="s">
        <v>174</v>
      </c>
    </row>
    <row r="6405" spans="1:5" ht="27" x14ac:dyDescent="0.25">
      <c r="A6405" s="508">
        <v>94990</v>
      </c>
      <c r="B6405" s="509" t="s">
        <v>7919</v>
      </c>
      <c r="C6405" s="508" t="s">
        <v>163</v>
      </c>
      <c r="D6405" s="508">
        <v>884.53</v>
      </c>
      <c r="E6405" s="461" t="s">
        <v>174</v>
      </c>
    </row>
    <row r="6406" spans="1:5" ht="27" x14ac:dyDescent="0.25">
      <c r="A6406" s="508">
        <v>94991</v>
      </c>
      <c r="B6406" s="509" t="s">
        <v>7920</v>
      </c>
      <c r="C6406" s="508" t="s">
        <v>163</v>
      </c>
      <c r="D6406" s="508">
        <v>684.42</v>
      </c>
      <c r="E6406" s="461" t="s">
        <v>174</v>
      </c>
    </row>
    <row r="6407" spans="1:5" ht="27" x14ac:dyDescent="0.25">
      <c r="A6407" s="508">
        <v>94992</v>
      </c>
      <c r="B6407" s="509" t="s">
        <v>7921</v>
      </c>
      <c r="C6407" s="508" t="s">
        <v>150</v>
      </c>
      <c r="D6407" s="508">
        <v>82.34</v>
      </c>
      <c r="E6407" s="461" t="s">
        <v>174</v>
      </c>
    </row>
    <row r="6408" spans="1:5" ht="27" x14ac:dyDescent="0.25">
      <c r="A6408" s="508">
        <v>94993</v>
      </c>
      <c r="B6408" s="509" t="s">
        <v>7922</v>
      </c>
      <c r="C6408" s="508" t="s">
        <v>150</v>
      </c>
      <c r="D6408" s="508">
        <v>70.319999999999993</v>
      </c>
      <c r="E6408" s="461" t="s">
        <v>174</v>
      </c>
    </row>
    <row r="6409" spans="1:5" ht="27" x14ac:dyDescent="0.25">
      <c r="A6409" s="508">
        <v>94994</v>
      </c>
      <c r="B6409" s="509" t="s">
        <v>7923</v>
      </c>
      <c r="C6409" s="508" t="s">
        <v>150</v>
      </c>
      <c r="D6409" s="508">
        <v>100.46</v>
      </c>
      <c r="E6409" s="461" t="s">
        <v>174</v>
      </c>
    </row>
    <row r="6410" spans="1:5" ht="27" x14ac:dyDescent="0.25">
      <c r="A6410" s="508">
        <v>94995</v>
      </c>
      <c r="B6410" s="509" t="s">
        <v>7924</v>
      </c>
      <c r="C6410" s="508" t="s">
        <v>150</v>
      </c>
      <c r="D6410" s="508">
        <v>84.45</v>
      </c>
      <c r="E6410" s="461" t="s">
        <v>174</v>
      </c>
    </row>
    <row r="6411" spans="1:5" ht="15" x14ac:dyDescent="0.25">
      <c r="A6411" s="508">
        <v>101747</v>
      </c>
      <c r="B6411" s="509" t="s">
        <v>3161</v>
      </c>
      <c r="C6411" s="508" t="s">
        <v>150</v>
      </c>
      <c r="D6411" s="508">
        <v>81.31</v>
      </c>
      <c r="E6411" s="461" t="s">
        <v>174</v>
      </c>
    </row>
    <row r="6412" spans="1:5" ht="27" x14ac:dyDescent="0.25">
      <c r="A6412" s="508">
        <v>104626</v>
      </c>
      <c r="B6412" s="509" t="s">
        <v>7925</v>
      </c>
      <c r="C6412" s="508" t="s">
        <v>163</v>
      </c>
      <c r="D6412" s="508">
        <v>700.29</v>
      </c>
      <c r="E6412" s="461" t="s">
        <v>174</v>
      </c>
    </row>
    <row r="6413" spans="1:5" ht="27" x14ac:dyDescent="0.25">
      <c r="A6413" s="508">
        <v>104658</v>
      </c>
      <c r="B6413" s="509" t="s">
        <v>7926</v>
      </c>
      <c r="C6413" s="508" t="s">
        <v>150</v>
      </c>
      <c r="D6413" s="508">
        <v>167.54</v>
      </c>
      <c r="E6413" s="461" t="s">
        <v>174</v>
      </c>
    </row>
    <row r="6414" spans="1:5" ht="40.5" x14ac:dyDescent="0.25">
      <c r="A6414" s="508">
        <v>87620</v>
      </c>
      <c r="B6414" s="509" t="s">
        <v>3808</v>
      </c>
      <c r="C6414" s="508" t="s">
        <v>150</v>
      </c>
      <c r="D6414" s="508">
        <v>34.590000000000003</v>
      </c>
      <c r="E6414" s="461" t="s">
        <v>174</v>
      </c>
    </row>
    <row r="6415" spans="1:5" ht="27" x14ac:dyDescent="0.25">
      <c r="A6415" s="508">
        <v>87622</v>
      </c>
      <c r="B6415" s="509" t="s">
        <v>3809</v>
      </c>
      <c r="C6415" s="508" t="s">
        <v>150</v>
      </c>
      <c r="D6415" s="508">
        <v>38.450000000000003</v>
      </c>
      <c r="E6415" s="461" t="s">
        <v>174</v>
      </c>
    </row>
    <row r="6416" spans="1:5" ht="27" x14ac:dyDescent="0.25">
      <c r="A6416" s="508">
        <v>87623</v>
      </c>
      <c r="B6416" s="509" t="s">
        <v>3810</v>
      </c>
      <c r="C6416" s="508" t="s">
        <v>150</v>
      </c>
      <c r="D6416" s="508">
        <v>63.77</v>
      </c>
      <c r="E6416" s="461" t="s">
        <v>174</v>
      </c>
    </row>
    <row r="6417" spans="1:5" ht="27" x14ac:dyDescent="0.25">
      <c r="A6417" s="508">
        <v>87624</v>
      </c>
      <c r="B6417" s="509" t="s">
        <v>7927</v>
      </c>
      <c r="C6417" s="508" t="s">
        <v>150</v>
      </c>
      <c r="D6417" s="508">
        <v>70.86</v>
      </c>
      <c r="E6417" s="461" t="s">
        <v>174</v>
      </c>
    </row>
    <row r="6418" spans="1:5" ht="40.5" x14ac:dyDescent="0.25">
      <c r="A6418" s="508">
        <v>87630</v>
      </c>
      <c r="B6418" s="509" t="s">
        <v>3811</v>
      </c>
      <c r="C6418" s="508" t="s">
        <v>150</v>
      </c>
      <c r="D6418" s="508">
        <v>44.32</v>
      </c>
      <c r="E6418" s="461" t="s">
        <v>174</v>
      </c>
    </row>
    <row r="6419" spans="1:5" ht="27" x14ac:dyDescent="0.25">
      <c r="A6419" s="508">
        <v>87632</v>
      </c>
      <c r="B6419" s="509" t="s">
        <v>3812</v>
      </c>
      <c r="C6419" s="508" t="s">
        <v>150</v>
      </c>
      <c r="D6419" s="508">
        <v>49.68</v>
      </c>
      <c r="E6419" s="461" t="s">
        <v>174</v>
      </c>
    </row>
    <row r="6420" spans="1:5" ht="27" x14ac:dyDescent="0.25">
      <c r="A6420" s="508">
        <v>87633</v>
      </c>
      <c r="B6420" s="509" t="s">
        <v>3813</v>
      </c>
      <c r="C6420" s="508" t="s">
        <v>150</v>
      </c>
      <c r="D6420" s="508">
        <v>84.89</v>
      </c>
      <c r="E6420" s="461" t="s">
        <v>174</v>
      </c>
    </row>
    <row r="6421" spans="1:5" ht="27" x14ac:dyDescent="0.25">
      <c r="A6421" s="508">
        <v>87634</v>
      </c>
      <c r="B6421" s="509" t="s">
        <v>3814</v>
      </c>
      <c r="C6421" s="508" t="s">
        <v>150</v>
      </c>
      <c r="D6421" s="508">
        <v>94.75</v>
      </c>
      <c r="E6421" s="461" t="s">
        <v>174</v>
      </c>
    </row>
    <row r="6422" spans="1:5" ht="40.5" x14ac:dyDescent="0.25">
      <c r="A6422" s="508">
        <v>87640</v>
      </c>
      <c r="B6422" s="509" t="s">
        <v>3815</v>
      </c>
      <c r="C6422" s="508" t="s">
        <v>150</v>
      </c>
      <c r="D6422" s="508">
        <v>52.32</v>
      </c>
      <c r="E6422" s="461" t="s">
        <v>174</v>
      </c>
    </row>
    <row r="6423" spans="1:5" ht="27" x14ac:dyDescent="0.25">
      <c r="A6423" s="508">
        <v>87642</v>
      </c>
      <c r="B6423" s="509" t="s">
        <v>3816</v>
      </c>
      <c r="C6423" s="508" t="s">
        <v>150</v>
      </c>
      <c r="D6423" s="508">
        <v>58.91</v>
      </c>
      <c r="E6423" s="461" t="s">
        <v>174</v>
      </c>
    </row>
    <row r="6424" spans="1:5" ht="27" x14ac:dyDescent="0.25">
      <c r="A6424" s="508">
        <v>87643</v>
      </c>
      <c r="B6424" s="509" t="s">
        <v>3817</v>
      </c>
      <c r="C6424" s="508" t="s">
        <v>150</v>
      </c>
      <c r="D6424" s="508">
        <v>102.21</v>
      </c>
      <c r="E6424" s="461" t="s">
        <v>174</v>
      </c>
    </row>
    <row r="6425" spans="1:5" ht="27" x14ac:dyDescent="0.25">
      <c r="A6425" s="508">
        <v>87644</v>
      </c>
      <c r="B6425" s="509" t="s">
        <v>3818</v>
      </c>
      <c r="C6425" s="508" t="s">
        <v>150</v>
      </c>
      <c r="D6425" s="508">
        <v>114.32</v>
      </c>
      <c r="E6425" s="461" t="s">
        <v>174</v>
      </c>
    </row>
    <row r="6426" spans="1:5" ht="40.5" x14ac:dyDescent="0.25">
      <c r="A6426" s="508">
        <v>87680</v>
      </c>
      <c r="B6426" s="509" t="s">
        <v>3819</v>
      </c>
      <c r="C6426" s="508" t="s">
        <v>150</v>
      </c>
      <c r="D6426" s="508">
        <v>47.41</v>
      </c>
      <c r="E6426" s="461" t="s">
        <v>174</v>
      </c>
    </row>
    <row r="6427" spans="1:5" ht="40.5" x14ac:dyDescent="0.25">
      <c r="A6427" s="508">
        <v>87682</v>
      </c>
      <c r="B6427" s="509" t="s">
        <v>3820</v>
      </c>
      <c r="C6427" s="508" t="s">
        <v>150</v>
      </c>
      <c r="D6427" s="508">
        <v>54</v>
      </c>
      <c r="E6427" s="461" t="s">
        <v>174</v>
      </c>
    </row>
    <row r="6428" spans="1:5" ht="40.5" x14ac:dyDescent="0.25">
      <c r="A6428" s="508">
        <v>87683</v>
      </c>
      <c r="B6428" s="509" t="s">
        <v>3821</v>
      </c>
      <c r="C6428" s="508" t="s">
        <v>150</v>
      </c>
      <c r="D6428" s="508">
        <v>97.3</v>
      </c>
      <c r="E6428" s="461" t="s">
        <v>174</v>
      </c>
    </row>
    <row r="6429" spans="1:5" ht="27" x14ac:dyDescent="0.25">
      <c r="A6429" s="508">
        <v>87684</v>
      </c>
      <c r="B6429" s="509" t="s">
        <v>3822</v>
      </c>
      <c r="C6429" s="508" t="s">
        <v>150</v>
      </c>
      <c r="D6429" s="508">
        <v>109.41</v>
      </c>
      <c r="E6429" s="461" t="s">
        <v>174</v>
      </c>
    </row>
    <row r="6430" spans="1:5" ht="40.5" x14ac:dyDescent="0.25">
      <c r="A6430" s="508">
        <v>87690</v>
      </c>
      <c r="B6430" s="509" t="s">
        <v>3823</v>
      </c>
      <c r="C6430" s="508" t="s">
        <v>150</v>
      </c>
      <c r="D6430" s="508">
        <v>54.33</v>
      </c>
      <c r="E6430" s="461" t="s">
        <v>174</v>
      </c>
    </row>
    <row r="6431" spans="1:5" ht="40.5" x14ac:dyDescent="0.25">
      <c r="A6431" s="508">
        <v>87692</v>
      </c>
      <c r="B6431" s="509" t="s">
        <v>3824</v>
      </c>
      <c r="C6431" s="508" t="s">
        <v>150</v>
      </c>
      <c r="D6431" s="508">
        <v>61.88</v>
      </c>
      <c r="E6431" s="461" t="s">
        <v>174</v>
      </c>
    </row>
    <row r="6432" spans="1:5" ht="27" x14ac:dyDescent="0.25">
      <c r="A6432" s="508">
        <v>87693</v>
      </c>
      <c r="B6432" s="509" t="s">
        <v>3825</v>
      </c>
      <c r="C6432" s="508" t="s">
        <v>150</v>
      </c>
      <c r="D6432" s="508">
        <v>111.46</v>
      </c>
      <c r="E6432" s="461" t="s">
        <v>174</v>
      </c>
    </row>
    <row r="6433" spans="1:5" ht="27" x14ac:dyDescent="0.25">
      <c r="A6433" s="508">
        <v>87694</v>
      </c>
      <c r="B6433" s="509" t="s">
        <v>3826</v>
      </c>
      <c r="C6433" s="508" t="s">
        <v>150</v>
      </c>
      <c r="D6433" s="508">
        <v>125.34</v>
      </c>
      <c r="E6433" s="461" t="s">
        <v>174</v>
      </c>
    </row>
    <row r="6434" spans="1:5" ht="40.5" x14ac:dyDescent="0.25">
      <c r="A6434" s="508">
        <v>87700</v>
      </c>
      <c r="B6434" s="509" t="s">
        <v>3827</v>
      </c>
      <c r="C6434" s="508" t="s">
        <v>150</v>
      </c>
      <c r="D6434" s="508">
        <v>58.67</v>
      </c>
      <c r="E6434" s="461" t="s">
        <v>174</v>
      </c>
    </row>
    <row r="6435" spans="1:5" ht="40.5" x14ac:dyDescent="0.25">
      <c r="A6435" s="508">
        <v>87702</v>
      </c>
      <c r="B6435" s="509" t="s">
        <v>3828</v>
      </c>
      <c r="C6435" s="508" t="s">
        <v>150</v>
      </c>
      <c r="D6435" s="508">
        <v>66.89</v>
      </c>
      <c r="E6435" s="461" t="s">
        <v>174</v>
      </c>
    </row>
    <row r="6436" spans="1:5" ht="40.5" x14ac:dyDescent="0.25">
      <c r="A6436" s="508">
        <v>87703</v>
      </c>
      <c r="B6436" s="509" t="s">
        <v>3829</v>
      </c>
      <c r="C6436" s="508" t="s">
        <v>150</v>
      </c>
      <c r="D6436" s="508">
        <v>120.89</v>
      </c>
      <c r="E6436" s="461" t="s">
        <v>174</v>
      </c>
    </row>
    <row r="6437" spans="1:5" ht="27" x14ac:dyDescent="0.25">
      <c r="A6437" s="508">
        <v>87704</v>
      </c>
      <c r="B6437" s="509" t="s">
        <v>3830</v>
      </c>
      <c r="C6437" s="508" t="s">
        <v>150</v>
      </c>
      <c r="D6437" s="508">
        <v>136</v>
      </c>
      <c r="E6437" s="461" t="s">
        <v>174</v>
      </c>
    </row>
    <row r="6438" spans="1:5" ht="40.5" x14ac:dyDescent="0.25">
      <c r="A6438" s="508">
        <v>87735</v>
      </c>
      <c r="B6438" s="509" t="s">
        <v>3831</v>
      </c>
      <c r="C6438" s="508" t="s">
        <v>150</v>
      </c>
      <c r="D6438" s="508">
        <v>48.09</v>
      </c>
      <c r="E6438" s="461" t="s">
        <v>174</v>
      </c>
    </row>
    <row r="6439" spans="1:5" ht="40.5" x14ac:dyDescent="0.25">
      <c r="A6439" s="508">
        <v>87737</v>
      </c>
      <c r="B6439" s="509" t="s">
        <v>3832</v>
      </c>
      <c r="C6439" s="508" t="s">
        <v>150</v>
      </c>
      <c r="D6439" s="508">
        <v>51.95</v>
      </c>
      <c r="E6439" s="461" t="s">
        <v>174</v>
      </c>
    </row>
    <row r="6440" spans="1:5" ht="40.5" x14ac:dyDescent="0.25">
      <c r="A6440" s="508">
        <v>87738</v>
      </c>
      <c r="B6440" s="509" t="s">
        <v>3833</v>
      </c>
      <c r="C6440" s="508" t="s">
        <v>150</v>
      </c>
      <c r="D6440" s="508">
        <v>77.27</v>
      </c>
      <c r="E6440" s="461" t="s">
        <v>174</v>
      </c>
    </row>
    <row r="6441" spans="1:5" ht="27" x14ac:dyDescent="0.25">
      <c r="A6441" s="508">
        <v>87739</v>
      </c>
      <c r="B6441" s="509" t="s">
        <v>3834</v>
      </c>
      <c r="C6441" s="508" t="s">
        <v>150</v>
      </c>
      <c r="D6441" s="508">
        <v>84.36</v>
      </c>
      <c r="E6441" s="461" t="s">
        <v>174</v>
      </c>
    </row>
    <row r="6442" spans="1:5" ht="40.5" x14ac:dyDescent="0.25">
      <c r="A6442" s="508">
        <v>87745</v>
      </c>
      <c r="B6442" s="509" t="s">
        <v>3835</v>
      </c>
      <c r="C6442" s="508" t="s">
        <v>150</v>
      </c>
      <c r="D6442" s="508">
        <v>57.83</v>
      </c>
      <c r="E6442" s="461" t="s">
        <v>174</v>
      </c>
    </row>
    <row r="6443" spans="1:5" ht="40.5" x14ac:dyDescent="0.25">
      <c r="A6443" s="508">
        <v>87747</v>
      </c>
      <c r="B6443" s="509" t="s">
        <v>3836</v>
      </c>
      <c r="C6443" s="508" t="s">
        <v>150</v>
      </c>
      <c r="D6443" s="508">
        <v>63.19</v>
      </c>
      <c r="E6443" s="461" t="s">
        <v>174</v>
      </c>
    </row>
    <row r="6444" spans="1:5" ht="40.5" x14ac:dyDescent="0.25">
      <c r="A6444" s="508">
        <v>87748</v>
      </c>
      <c r="B6444" s="509" t="s">
        <v>3837</v>
      </c>
      <c r="C6444" s="508" t="s">
        <v>150</v>
      </c>
      <c r="D6444" s="508">
        <v>98.4</v>
      </c>
      <c r="E6444" s="461" t="s">
        <v>174</v>
      </c>
    </row>
    <row r="6445" spans="1:5" ht="27" x14ac:dyDescent="0.25">
      <c r="A6445" s="508">
        <v>87749</v>
      </c>
      <c r="B6445" s="509" t="s">
        <v>3838</v>
      </c>
      <c r="C6445" s="508" t="s">
        <v>150</v>
      </c>
      <c r="D6445" s="508">
        <v>108.26</v>
      </c>
      <c r="E6445" s="461" t="s">
        <v>174</v>
      </c>
    </row>
    <row r="6446" spans="1:5" ht="40.5" x14ac:dyDescent="0.25">
      <c r="A6446" s="508">
        <v>87755</v>
      </c>
      <c r="B6446" s="509" t="s">
        <v>3839</v>
      </c>
      <c r="C6446" s="508" t="s">
        <v>150</v>
      </c>
      <c r="D6446" s="508">
        <v>55.42</v>
      </c>
      <c r="E6446" s="461" t="s">
        <v>174</v>
      </c>
    </row>
    <row r="6447" spans="1:5" ht="40.5" x14ac:dyDescent="0.25">
      <c r="A6447" s="508">
        <v>87757</v>
      </c>
      <c r="B6447" s="509" t="s">
        <v>3840</v>
      </c>
      <c r="C6447" s="508" t="s">
        <v>150</v>
      </c>
      <c r="D6447" s="508">
        <v>60.78</v>
      </c>
      <c r="E6447" s="461" t="s">
        <v>174</v>
      </c>
    </row>
    <row r="6448" spans="1:5" ht="40.5" x14ac:dyDescent="0.25">
      <c r="A6448" s="508">
        <v>87758</v>
      </c>
      <c r="B6448" s="509" t="s">
        <v>3841</v>
      </c>
      <c r="C6448" s="508" t="s">
        <v>150</v>
      </c>
      <c r="D6448" s="508">
        <v>95.99</v>
      </c>
      <c r="E6448" s="461" t="s">
        <v>174</v>
      </c>
    </row>
    <row r="6449" spans="1:5" ht="27" x14ac:dyDescent="0.25">
      <c r="A6449" s="508">
        <v>87759</v>
      </c>
      <c r="B6449" s="509" t="s">
        <v>3842</v>
      </c>
      <c r="C6449" s="508" t="s">
        <v>150</v>
      </c>
      <c r="D6449" s="508">
        <v>105.85</v>
      </c>
      <c r="E6449" s="461" t="s">
        <v>174</v>
      </c>
    </row>
    <row r="6450" spans="1:5" ht="40.5" x14ac:dyDescent="0.25">
      <c r="A6450" s="508">
        <v>87765</v>
      </c>
      <c r="B6450" s="509" t="s">
        <v>3843</v>
      </c>
      <c r="C6450" s="508" t="s">
        <v>150</v>
      </c>
      <c r="D6450" s="508">
        <v>63.47</v>
      </c>
      <c r="E6450" s="461" t="s">
        <v>174</v>
      </c>
    </row>
    <row r="6451" spans="1:5" ht="40.5" x14ac:dyDescent="0.25">
      <c r="A6451" s="508">
        <v>87767</v>
      </c>
      <c r="B6451" s="509" t="s">
        <v>3844</v>
      </c>
      <c r="C6451" s="508" t="s">
        <v>150</v>
      </c>
      <c r="D6451" s="508">
        <v>70.06</v>
      </c>
      <c r="E6451" s="461" t="s">
        <v>174</v>
      </c>
    </row>
    <row r="6452" spans="1:5" ht="40.5" x14ac:dyDescent="0.25">
      <c r="A6452" s="508">
        <v>87768</v>
      </c>
      <c r="B6452" s="509" t="s">
        <v>3845</v>
      </c>
      <c r="C6452" s="508" t="s">
        <v>150</v>
      </c>
      <c r="D6452" s="508">
        <v>113.36</v>
      </c>
      <c r="E6452" s="461" t="s">
        <v>174</v>
      </c>
    </row>
    <row r="6453" spans="1:5" ht="27" x14ac:dyDescent="0.25">
      <c r="A6453" s="508">
        <v>87769</v>
      </c>
      <c r="B6453" s="509" t="s">
        <v>3846</v>
      </c>
      <c r="C6453" s="508" t="s">
        <v>150</v>
      </c>
      <c r="D6453" s="508">
        <v>125.47</v>
      </c>
      <c r="E6453" s="461" t="s">
        <v>174</v>
      </c>
    </row>
    <row r="6454" spans="1:5" ht="27" x14ac:dyDescent="0.25">
      <c r="A6454" s="508">
        <v>88470</v>
      </c>
      <c r="B6454" s="509" t="s">
        <v>3847</v>
      </c>
      <c r="C6454" s="508" t="s">
        <v>150</v>
      </c>
      <c r="D6454" s="508">
        <v>25.02</v>
      </c>
      <c r="E6454" s="461" t="s">
        <v>174</v>
      </c>
    </row>
    <row r="6455" spans="1:5" ht="27" x14ac:dyDescent="0.25">
      <c r="A6455" s="508">
        <v>88471</v>
      </c>
      <c r="B6455" s="509" t="s">
        <v>3848</v>
      </c>
      <c r="C6455" s="508" t="s">
        <v>150</v>
      </c>
      <c r="D6455" s="508">
        <v>31.37</v>
      </c>
      <c r="E6455" s="461" t="s">
        <v>174</v>
      </c>
    </row>
    <row r="6456" spans="1:5" ht="27" x14ac:dyDescent="0.25">
      <c r="A6456" s="508">
        <v>88472</v>
      </c>
      <c r="B6456" s="509" t="s">
        <v>3849</v>
      </c>
      <c r="C6456" s="508" t="s">
        <v>150</v>
      </c>
      <c r="D6456" s="508">
        <v>36.43</v>
      </c>
      <c r="E6456" s="461" t="s">
        <v>174</v>
      </c>
    </row>
    <row r="6457" spans="1:5" ht="27" x14ac:dyDescent="0.25">
      <c r="A6457" s="508">
        <v>88476</v>
      </c>
      <c r="B6457" s="509" t="s">
        <v>3850</v>
      </c>
      <c r="C6457" s="508" t="s">
        <v>150</v>
      </c>
      <c r="D6457" s="508">
        <v>21.31</v>
      </c>
      <c r="E6457" s="461" t="s">
        <v>174</v>
      </c>
    </row>
    <row r="6458" spans="1:5" ht="27" x14ac:dyDescent="0.25">
      <c r="A6458" s="508">
        <v>88477</v>
      </c>
      <c r="B6458" s="509" t="s">
        <v>3851</v>
      </c>
      <c r="C6458" s="508" t="s">
        <v>150</v>
      </c>
      <c r="D6458" s="508">
        <v>29.34</v>
      </c>
      <c r="E6458" s="461" t="s">
        <v>174</v>
      </c>
    </row>
    <row r="6459" spans="1:5" ht="27" x14ac:dyDescent="0.25">
      <c r="A6459" s="508">
        <v>88478</v>
      </c>
      <c r="B6459" s="509" t="s">
        <v>3852</v>
      </c>
      <c r="C6459" s="508" t="s">
        <v>150</v>
      </c>
      <c r="D6459" s="508">
        <v>35.950000000000003</v>
      </c>
      <c r="E6459" s="461" t="s">
        <v>174</v>
      </c>
    </row>
    <row r="6460" spans="1:5" ht="40.5" x14ac:dyDescent="0.25">
      <c r="A6460" s="508">
        <v>90930</v>
      </c>
      <c r="B6460" s="509" t="s">
        <v>3853</v>
      </c>
      <c r="C6460" s="508" t="s">
        <v>150</v>
      </c>
      <c r="D6460" s="508">
        <v>84.57</v>
      </c>
      <c r="E6460" s="461" t="s">
        <v>174</v>
      </c>
    </row>
    <row r="6461" spans="1:5" ht="27" x14ac:dyDescent="0.25">
      <c r="A6461" s="508">
        <v>90932</v>
      </c>
      <c r="B6461" s="509" t="s">
        <v>3854</v>
      </c>
      <c r="C6461" s="508" t="s">
        <v>150</v>
      </c>
      <c r="D6461" s="508">
        <v>92.12</v>
      </c>
      <c r="E6461" s="461" t="s">
        <v>174</v>
      </c>
    </row>
    <row r="6462" spans="1:5" ht="27" x14ac:dyDescent="0.25">
      <c r="A6462" s="508">
        <v>90933</v>
      </c>
      <c r="B6462" s="509" t="s">
        <v>3855</v>
      </c>
      <c r="C6462" s="508" t="s">
        <v>150</v>
      </c>
      <c r="D6462" s="508">
        <v>141.69999999999999</v>
      </c>
      <c r="E6462" s="461" t="s">
        <v>174</v>
      </c>
    </row>
    <row r="6463" spans="1:5" ht="27" x14ac:dyDescent="0.25">
      <c r="A6463" s="508">
        <v>90934</v>
      </c>
      <c r="B6463" s="509" t="s">
        <v>3856</v>
      </c>
      <c r="C6463" s="508" t="s">
        <v>150</v>
      </c>
      <c r="D6463" s="508">
        <v>155.58000000000001</v>
      </c>
      <c r="E6463" s="461" t="s">
        <v>174</v>
      </c>
    </row>
    <row r="6464" spans="1:5" ht="40.5" x14ac:dyDescent="0.25">
      <c r="A6464" s="508">
        <v>90940</v>
      </c>
      <c r="B6464" s="509" t="s">
        <v>3857</v>
      </c>
      <c r="C6464" s="508" t="s">
        <v>150</v>
      </c>
      <c r="D6464" s="508">
        <v>90.38</v>
      </c>
      <c r="E6464" s="461" t="s">
        <v>174</v>
      </c>
    </row>
    <row r="6465" spans="1:5" ht="27" x14ac:dyDescent="0.25">
      <c r="A6465" s="508">
        <v>90942</v>
      </c>
      <c r="B6465" s="509" t="s">
        <v>3858</v>
      </c>
      <c r="C6465" s="508" t="s">
        <v>150</v>
      </c>
      <c r="D6465" s="508">
        <v>98.6</v>
      </c>
      <c r="E6465" s="461" t="s">
        <v>174</v>
      </c>
    </row>
    <row r="6466" spans="1:5" ht="27" x14ac:dyDescent="0.25">
      <c r="A6466" s="508">
        <v>90943</v>
      </c>
      <c r="B6466" s="509" t="s">
        <v>3859</v>
      </c>
      <c r="C6466" s="508" t="s">
        <v>150</v>
      </c>
      <c r="D6466" s="508">
        <v>152.6</v>
      </c>
      <c r="E6466" s="461" t="s">
        <v>174</v>
      </c>
    </row>
    <row r="6467" spans="1:5" ht="27" x14ac:dyDescent="0.25">
      <c r="A6467" s="508">
        <v>90944</v>
      </c>
      <c r="B6467" s="509" t="s">
        <v>3860</v>
      </c>
      <c r="C6467" s="508" t="s">
        <v>150</v>
      </c>
      <c r="D6467" s="508">
        <v>167.71</v>
      </c>
      <c r="E6467" s="461" t="s">
        <v>174</v>
      </c>
    </row>
    <row r="6468" spans="1:5" ht="40.5" x14ac:dyDescent="0.25">
      <c r="A6468" s="508">
        <v>90950</v>
      </c>
      <c r="B6468" s="509" t="s">
        <v>3861</v>
      </c>
      <c r="C6468" s="508" t="s">
        <v>150</v>
      </c>
      <c r="D6468" s="508">
        <v>100.98</v>
      </c>
      <c r="E6468" s="461" t="s">
        <v>174</v>
      </c>
    </row>
    <row r="6469" spans="1:5" ht="27" x14ac:dyDescent="0.25">
      <c r="A6469" s="508">
        <v>90952</v>
      </c>
      <c r="B6469" s="509" t="s">
        <v>3862</v>
      </c>
      <c r="C6469" s="508" t="s">
        <v>150</v>
      </c>
      <c r="D6469" s="508">
        <v>110.43</v>
      </c>
      <c r="E6469" s="461" t="s">
        <v>174</v>
      </c>
    </row>
    <row r="6470" spans="1:5" ht="27" x14ac:dyDescent="0.25">
      <c r="A6470" s="508">
        <v>90953</v>
      </c>
      <c r="B6470" s="509" t="s">
        <v>3863</v>
      </c>
      <c r="C6470" s="508" t="s">
        <v>150</v>
      </c>
      <c r="D6470" s="508">
        <v>172.52</v>
      </c>
      <c r="E6470" s="461" t="s">
        <v>174</v>
      </c>
    </row>
    <row r="6471" spans="1:5" ht="27" x14ac:dyDescent="0.25">
      <c r="A6471" s="508">
        <v>90954</v>
      </c>
      <c r="B6471" s="509" t="s">
        <v>3864</v>
      </c>
      <c r="C6471" s="508" t="s">
        <v>150</v>
      </c>
      <c r="D6471" s="508">
        <v>189.89</v>
      </c>
      <c r="E6471" s="461" t="s">
        <v>174</v>
      </c>
    </row>
    <row r="6472" spans="1:5" ht="15" x14ac:dyDescent="0.25">
      <c r="A6472" s="508">
        <v>102803</v>
      </c>
      <c r="B6472" s="509" t="s">
        <v>3865</v>
      </c>
      <c r="C6472" s="508" t="s">
        <v>150</v>
      </c>
      <c r="D6472" s="508">
        <v>2.5299999999999998</v>
      </c>
      <c r="E6472" s="461" t="s">
        <v>174</v>
      </c>
    </row>
    <row r="6473" spans="1:5" ht="15" x14ac:dyDescent="0.25">
      <c r="A6473" s="508">
        <v>101742</v>
      </c>
      <c r="B6473" s="509" t="s">
        <v>3162</v>
      </c>
      <c r="C6473" s="508" t="s">
        <v>5</v>
      </c>
      <c r="D6473" s="508">
        <v>64.38</v>
      </c>
      <c r="E6473" s="461" t="s">
        <v>174</v>
      </c>
    </row>
    <row r="6474" spans="1:5" ht="27" x14ac:dyDescent="0.25">
      <c r="A6474" s="508">
        <v>87878</v>
      </c>
      <c r="B6474" s="509" t="s">
        <v>7928</v>
      </c>
      <c r="C6474" s="508" t="s">
        <v>150</v>
      </c>
      <c r="D6474" s="508">
        <v>5.35</v>
      </c>
      <c r="E6474" s="461" t="s">
        <v>174</v>
      </c>
    </row>
    <row r="6475" spans="1:5" ht="27" x14ac:dyDescent="0.25">
      <c r="A6475" s="508">
        <v>87879</v>
      </c>
      <c r="B6475" s="509" t="s">
        <v>7929</v>
      </c>
      <c r="C6475" s="508" t="s">
        <v>150</v>
      </c>
      <c r="D6475" s="508">
        <v>4.84</v>
      </c>
      <c r="E6475" s="461" t="s">
        <v>174</v>
      </c>
    </row>
    <row r="6476" spans="1:5" ht="40.5" x14ac:dyDescent="0.25">
      <c r="A6476" s="508">
        <v>87881</v>
      </c>
      <c r="B6476" s="509" t="s">
        <v>7930</v>
      </c>
      <c r="C6476" s="508" t="s">
        <v>150</v>
      </c>
      <c r="D6476" s="508">
        <v>7.26</v>
      </c>
      <c r="E6476" s="461" t="s">
        <v>174</v>
      </c>
    </row>
    <row r="6477" spans="1:5" ht="40.5" x14ac:dyDescent="0.25">
      <c r="A6477" s="508">
        <v>87882</v>
      </c>
      <c r="B6477" s="509" t="s">
        <v>7931</v>
      </c>
      <c r="C6477" s="508" t="s">
        <v>150</v>
      </c>
      <c r="D6477" s="508">
        <v>7.08</v>
      </c>
      <c r="E6477" s="461" t="s">
        <v>174</v>
      </c>
    </row>
    <row r="6478" spans="1:5" ht="27" x14ac:dyDescent="0.25">
      <c r="A6478" s="508">
        <v>87884</v>
      </c>
      <c r="B6478" s="509" t="s">
        <v>7932</v>
      </c>
      <c r="C6478" s="508" t="s">
        <v>150</v>
      </c>
      <c r="D6478" s="508">
        <v>8.4600000000000009</v>
      </c>
      <c r="E6478" s="461" t="s">
        <v>174</v>
      </c>
    </row>
    <row r="6479" spans="1:5" ht="27" x14ac:dyDescent="0.25">
      <c r="A6479" s="508">
        <v>87885</v>
      </c>
      <c r="B6479" s="509" t="s">
        <v>7933</v>
      </c>
      <c r="C6479" s="508" t="s">
        <v>150</v>
      </c>
      <c r="D6479" s="508">
        <v>8.06</v>
      </c>
      <c r="E6479" s="461" t="s">
        <v>174</v>
      </c>
    </row>
    <row r="6480" spans="1:5" ht="27" x14ac:dyDescent="0.25">
      <c r="A6480" s="508">
        <v>87886</v>
      </c>
      <c r="B6480" s="509" t="s">
        <v>7934</v>
      </c>
      <c r="C6480" s="508" t="s">
        <v>150</v>
      </c>
      <c r="D6480" s="508">
        <v>15.35</v>
      </c>
      <c r="E6480" s="461" t="s">
        <v>174</v>
      </c>
    </row>
    <row r="6481" spans="1:5" ht="27" x14ac:dyDescent="0.25">
      <c r="A6481" s="508">
        <v>87887</v>
      </c>
      <c r="B6481" s="509" t="s">
        <v>7935</v>
      </c>
      <c r="C6481" s="508" t="s">
        <v>150</v>
      </c>
      <c r="D6481" s="508">
        <v>14.48</v>
      </c>
      <c r="E6481" s="461" t="s">
        <v>174</v>
      </c>
    </row>
    <row r="6482" spans="1:5" ht="40.5" x14ac:dyDescent="0.25">
      <c r="A6482" s="508">
        <v>87888</v>
      </c>
      <c r="B6482" s="509" t="s">
        <v>7936</v>
      </c>
      <c r="C6482" s="508" t="s">
        <v>150</v>
      </c>
      <c r="D6482" s="508">
        <v>9.08</v>
      </c>
      <c r="E6482" s="461" t="s">
        <v>174</v>
      </c>
    </row>
    <row r="6483" spans="1:5" ht="40.5" x14ac:dyDescent="0.25">
      <c r="A6483" s="508">
        <v>87889</v>
      </c>
      <c r="B6483" s="509" t="s">
        <v>7937</v>
      </c>
      <c r="C6483" s="508" t="s">
        <v>150</v>
      </c>
      <c r="D6483" s="508">
        <v>8.9</v>
      </c>
      <c r="E6483" s="461" t="s">
        <v>174</v>
      </c>
    </row>
    <row r="6484" spans="1:5" ht="40.5" x14ac:dyDescent="0.25">
      <c r="A6484" s="508">
        <v>87891</v>
      </c>
      <c r="B6484" s="509" t="s">
        <v>7938</v>
      </c>
      <c r="C6484" s="508" t="s">
        <v>150</v>
      </c>
      <c r="D6484" s="508">
        <v>10.28</v>
      </c>
      <c r="E6484" s="461" t="s">
        <v>174</v>
      </c>
    </row>
    <row r="6485" spans="1:5" ht="40.5" x14ac:dyDescent="0.25">
      <c r="A6485" s="508">
        <v>87892</v>
      </c>
      <c r="B6485" s="509" t="s">
        <v>7939</v>
      </c>
      <c r="C6485" s="508" t="s">
        <v>150</v>
      </c>
      <c r="D6485" s="508">
        <v>9.8800000000000008</v>
      </c>
      <c r="E6485" s="461" t="s">
        <v>174</v>
      </c>
    </row>
    <row r="6486" spans="1:5" ht="27" x14ac:dyDescent="0.25">
      <c r="A6486" s="508">
        <v>87893</v>
      </c>
      <c r="B6486" s="509" t="s">
        <v>7940</v>
      </c>
      <c r="C6486" s="508" t="s">
        <v>150</v>
      </c>
      <c r="D6486" s="508">
        <v>8.06</v>
      </c>
      <c r="E6486" s="461" t="s">
        <v>174</v>
      </c>
    </row>
    <row r="6487" spans="1:5" ht="40.5" x14ac:dyDescent="0.25">
      <c r="A6487" s="508">
        <v>87894</v>
      </c>
      <c r="B6487" s="509" t="s">
        <v>7941</v>
      </c>
      <c r="C6487" s="508" t="s">
        <v>150</v>
      </c>
      <c r="D6487" s="508">
        <v>7.55</v>
      </c>
      <c r="E6487" s="461" t="s">
        <v>174</v>
      </c>
    </row>
    <row r="6488" spans="1:5" ht="40.5" x14ac:dyDescent="0.25">
      <c r="A6488" s="508">
        <v>87896</v>
      </c>
      <c r="B6488" s="509" t="s">
        <v>7942</v>
      </c>
      <c r="C6488" s="508" t="s">
        <v>150</v>
      </c>
      <c r="D6488" s="508">
        <v>6.01</v>
      </c>
      <c r="E6488" s="461" t="s">
        <v>174</v>
      </c>
    </row>
    <row r="6489" spans="1:5" ht="40.5" x14ac:dyDescent="0.25">
      <c r="A6489" s="508">
        <v>87897</v>
      </c>
      <c r="B6489" s="509" t="s">
        <v>7943</v>
      </c>
      <c r="C6489" s="508" t="s">
        <v>150</v>
      </c>
      <c r="D6489" s="508">
        <v>5.5</v>
      </c>
      <c r="E6489" s="461" t="s">
        <v>174</v>
      </c>
    </row>
    <row r="6490" spans="1:5" ht="40.5" x14ac:dyDescent="0.25">
      <c r="A6490" s="508">
        <v>87899</v>
      </c>
      <c r="B6490" s="509" t="s">
        <v>7944</v>
      </c>
      <c r="C6490" s="508" t="s">
        <v>150</v>
      </c>
      <c r="D6490" s="508">
        <v>9.89</v>
      </c>
      <c r="E6490" s="461" t="s">
        <v>174</v>
      </c>
    </row>
    <row r="6491" spans="1:5" ht="40.5" x14ac:dyDescent="0.25">
      <c r="A6491" s="508">
        <v>87900</v>
      </c>
      <c r="B6491" s="509" t="s">
        <v>7945</v>
      </c>
      <c r="C6491" s="508" t="s">
        <v>150</v>
      </c>
      <c r="D6491" s="508">
        <v>9.7100000000000009</v>
      </c>
      <c r="E6491" s="461" t="s">
        <v>174</v>
      </c>
    </row>
    <row r="6492" spans="1:5" ht="40.5" x14ac:dyDescent="0.25">
      <c r="A6492" s="508">
        <v>87902</v>
      </c>
      <c r="B6492" s="509" t="s">
        <v>7946</v>
      </c>
      <c r="C6492" s="508" t="s">
        <v>150</v>
      </c>
      <c r="D6492" s="508">
        <v>11.09</v>
      </c>
      <c r="E6492" s="461" t="s">
        <v>174</v>
      </c>
    </row>
    <row r="6493" spans="1:5" ht="40.5" x14ac:dyDescent="0.25">
      <c r="A6493" s="508">
        <v>87903</v>
      </c>
      <c r="B6493" s="509" t="s">
        <v>7947</v>
      </c>
      <c r="C6493" s="508" t="s">
        <v>150</v>
      </c>
      <c r="D6493" s="508">
        <v>10.69</v>
      </c>
      <c r="E6493" s="461" t="s">
        <v>174</v>
      </c>
    </row>
    <row r="6494" spans="1:5" ht="27" x14ac:dyDescent="0.25">
      <c r="A6494" s="508">
        <v>87904</v>
      </c>
      <c r="B6494" s="509" t="s">
        <v>7948</v>
      </c>
      <c r="C6494" s="508" t="s">
        <v>150</v>
      </c>
      <c r="D6494" s="508">
        <v>9.35</v>
      </c>
      <c r="E6494" s="461" t="s">
        <v>174</v>
      </c>
    </row>
    <row r="6495" spans="1:5" ht="40.5" x14ac:dyDescent="0.25">
      <c r="A6495" s="508">
        <v>87905</v>
      </c>
      <c r="B6495" s="509" t="s">
        <v>7949</v>
      </c>
      <c r="C6495" s="508" t="s">
        <v>150</v>
      </c>
      <c r="D6495" s="508">
        <v>8.84</v>
      </c>
      <c r="E6495" s="461" t="s">
        <v>174</v>
      </c>
    </row>
    <row r="6496" spans="1:5" ht="40.5" x14ac:dyDescent="0.25">
      <c r="A6496" s="508">
        <v>87907</v>
      </c>
      <c r="B6496" s="509" t="s">
        <v>7950</v>
      </c>
      <c r="C6496" s="508" t="s">
        <v>150</v>
      </c>
      <c r="D6496" s="508">
        <v>7.22</v>
      </c>
      <c r="E6496" s="461" t="s">
        <v>174</v>
      </c>
    </row>
    <row r="6497" spans="1:5" ht="40.5" x14ac:dyDescent="0.25">
      <c r="A6497" s="508">
        <v>87908</v>
      </c>
      <c r="B6497" s="509" t="s">
        <v>7951</v>
      </c>
      <c r="C6497" s="508" t="s">
        <v>150</v>
      </c>
      <c r="D6497" s="508">
        <v>6.71</v>
      </c>
      <c r="E6497" s="461" t="s">
        <v>174</v>
      </c>
    </row>
    <row r="6498" spans="1:5" ht="27" x14ac:dyDescent="0.25">
      <c r="A6498" s="508">
        <v>87910</v>
      </c>
      <c r="B6498" s="509" t="s">
        <v>7952</v>
      </c>
      <c r="C6498" s="508" t="s">
        <v>150</v>
      </c>
      <c r="D6498" s="508">
        <v>21.44</v>
      </c>
      <c r="E6498" s="461" t="s">
        <v>174</v>
      </c>
    </row>
    <row r="6499" spans="1:5" ht="27" x14ac:dyDescent="0.25">
      <c r="A6499" s="508">
        <v>87911</v>
      </c>
      <c r="B6499" s="509" t="s">
        <v>7953</v>
      </c>
      <c r="C6499" s="508" t="s">
        <v>150</v>
      </c>
      <c r="D6499" s="508">
        <v>20.57</v>
      </c>
      <c r="E6499" s="461" t="s">
        <v>174</v>
      </c>
    </row>
    <row r="6500" spans="1:5" ht="27" x14ac:dyDescent="0.25">
      <c r="A6500" s="508">
        <v>104410</v>
      </c>
      <c r="B6500" s="509" t="s">
        <v>7954</v>
      </c>
      <c r="C6500" s="508" t="s">
        <v>150</v>
      </c>
      <c r="D6500" s="508">
        <v>5.53</v>
      </c>
      <c r="E6500" s="461" t="s">
        <v>174</v>
      </c>
    </row>
    <row r="6501" spans="1:5" ht="27" x14ac:dyDescent="0.25">
      <c r="A6501" s="508">
        <v>104411</v>
      </c>
      <c r="B6501" s="509" t="s">
        <v>7955</v>
      </c>
      <c r="C6501" s="508" t="s">
        <v>150</v>
      </c>
      <c r="D6501" s="508">
        <v>5.53</v>
      </c>
      <c r="E6501" s="461" t="s">
        <v>174</v>
      </c>
    </row>
    <row r="6502" spans="1:5" ht="27" x14ac:dyDescent="0.25">
      <c r="A6502" s="508">
        <v>87411</v>
      </c>
      <c r="B6502" s="509" t="s">
        <v>7956</v>
      </c>
      <c r="C6502" s="508" t="s">
        <v>150</v>
      </c>
      <c r="D6502" s="508">
        <v>16.57</v>
      </c>
      <c r="E6502" s="461" t="s">
        <v>174</v>
      </c>
    </row>
    <row r="6503" spans="1:5" ht="27" x14ac:dyDescent="0.25">
      <c r="A6503" s="508">
        <v>87412</v>
      </c>
      <c r="B6503" s="509" t="s">
        <v>7957</v>
      </c>
      <c r="C6503" s="508" t="s">
        <v>150</v>
      </c>
      <c r="D6503" s="508">
        <v>25.73</v>
      </c>
      <c r="E6503" s="461" t="s">
        <v>174</v>
      </c>
    </row>
    <row r="6504" spans="1:5" ht="27" x14ac:dyDescent="0.25">
      <c r="A6504" s="508">
        <v>87413</v>
      </c>
      <c r="B6504" s="509" t="s">
        <v>7958</v>
      </c>
      <c r="C6504" s="508" t="s">
        <v>150</v>
      </c>
      <c r="D6504" s="508">
        <v>31</v>
      </c>
      <c r="E6504" s="461" t="s">
        <v>174</v>
      </c>
    </row>
    <row r="6505" spans="1:5" ht="27" x14ac:dyDescent="0.25">
      <c r="A6505" s="508">
        <v>87414</v>
      </c>
      <c r="B6505" s="509" t="s">
        <v>7959</v>
      </c>
      <c r="C6505" s="508" t="s">
        <v>150</v>
      </c>
      <c r="D6505" s="508">
        <v>26.04</v>
      </c>
      <c r="E6505" s="461" t="s">
        <v>174</v>
      </c>
    </row>
    <row r="6506" spans="1:5" ht="27" x14ac:dyDescent="0.25">
      <c r="A6506" s="508">
        <v>87415</v>
      </c>
      <c r="B6506" s="509" t="s">
        <v>7960</v>
      </c>
      <c r="C6506" s="508" t="s">
        <v>150</v>
      </c>
      <c r="D6506" s="508">
        <v>35.21</v>
      </c>
      <c r="E6506" s="461" t="s">
        <v>174</v>
      </c>
    </row>
    <row r="6507" spans="1:5" ht="27" x14ac:dyDescent="0.25">
      <c r="A6507" s="508">
        <v>87416</v>
      </c>
      <c r="B6507" s="509" t="s">
        <v>7961</v>
      </c>
      <c r="C6507" s="508" t="s">
        <v>150</v>
      </c>
      <c r="D6507" s="508">
        <v>40.479999999999997</v>
      </c>
      <c r="E6507" s="461" t="s">
        <v>174</v>
      </c>
    </row>
    <row r="6508" spans="1:5" ht="27" x14ac:dyDescent="0.25">
      <c r="A6508" s="508">
        <v>87418</v>
      </c>
      <c r="B6508" s="509" t="s">
        <v>7962</v>
      </c>
      <c r="C6508" s="508" t="s">
        <v>150</v>
      </c>
      <c r="D6508" s="508">
        <v>19.47</v>
      </c>
      <c r="E6508" s="461" t="s">
        <v>174</v>
      </c>
    </row>
    <row r="6509" spans="1:5" ht="27" x14ac:dyDescent="0.25">
      <c r="A6509" s="508">
        <v>87421</v>
      </c>
      <c r="B6509" s="509" t="s">
        <v>7963</v>
      </c>
      <c r="C6509" s="508" t="s">
        <v>150</v>
      </c>
      <c r="D6509" s="508">
        <v>29.37</v>
      </c>
      <c r="E6509" s="461" t="s">
        <v>174</v>
      </c>
    </row>
    <row r="6510" spans="1:5" ht="27" x14ac:dyDescent="0.25">
      <c r="A6510" s="508">
        <v>87424</v>
      </c>
      <c r="B6510" s="509" t="s">
        <v>7964</v>
      </c>
      <c r="C6510" s="508" t="s">
        <v>150</v>
      </c>
      <c r="D6510" s="508">
        <v>39.61</v>
      </c>
      <c r="E6510" s="461" t="s">
        <v>174</v>
      </c>
    </row>
    <row r="6511" spans="1:5" ht="27" x14ac:dyDescent="0.25">
      <c r="A6511" s="508">
        <v>87427</v>
      </c>
      <c r="B6511" s="509" t="s">
        <v>7965</v>
      </c>
      <c r="C6511" s="508" t="s">
        <v>150</v>
      </c>
      <c r="D6511" s="508">
        <v>46.5</v>
      </c>
      <c r="E6511" s="461" t="s">
        <v>174</v>
      </c>
    </row>
    <row r="6512" spans="1:5" ht="27" x14ac:dyDescent="0.25">
      <c r="A6512" s="508">
        <v>87430</v>
      </c>
      <c r="B6512" s="509" t="s">
        <v>7966</v>
      </c>
      <c r="C6512" s="508" t="s">
        <v>150</v>
      </c>
      <c r="D6512" s="508">
        <v>19.579999999999998</v>
      </c>
      <c r="E6512" s="461" t="s">
        <v>174</v>
      </c>
    </row>
    <row r="6513" spans="1:5" ht="27" x14ac:dyDescent="0.25">
      <c r="A6513" s="508">
        <v>87433</v>
      </c>
      <c r="B6513" s="509" t="s">
        <v>7967</v>
      </c>
      <c r="C6513" s="508" t="s">
        <v>150</v>
      </c>
      <c r="D6513" s="508">
        <v>27.86</v>
      </c>
      <c r="E6513" s="461" t="s">
        <v>174</v>
      </c>
    </row>
    <row r="6514" spans="1:5" ht="27" x14ac:dyDescent="0.25">
      <c r="A6514" s="508">
        <v>87436</v>
      </c>
      <c r="B6514" s="509" t="s">
        <v>7968</v>
      </c>
      <c r="C6514" s="508" t="s">
        <v>150</v>
      </c>
      <c r="D6514" s="508">
        <v>32.01</v>
      </c>
      <c r="E6514" s="461" t="s">
        <v>174</v>
      </c>
    </row>
    <row r="6515" spans="1:5" ht="27" x14ac:dyDescent="0.25">
      <c r="A6515" s="508">
        <v>87439</v>
      </c>
      <c r="B6515" s="509" t="s">
        <v>7969</v>
      </c>
      <c r="C6515" s="508" t="s">
        <v>150</v>
      </c>
      <c r="D6515" s="508">
        <v>39.020000000000003</v>
      </c>
      <c r="E6515" s="461" t="s">
        <v>174</v>
      </c>
    </row>
    <row r="6516" spans="1:5" ht="27" x14ac:dyDescent="0.25">
      <c r="A6516" s="508">
        <v>87527</v>
      </c>
      <c r="B6516" s="509" t="s">
        <v>7970</v>
      </c>
      <c r="C6516" s="508" t="s">
        <v>150</v>
      </c>
      <c r="D6516" s="508">
        <v>46</v>
      </c>
      <c r="E6516" s="461" t="s">
        <v>174</v>
      </c>
    </row>
    <row r="6517" spans="1:5" ht="27" x14ac:dyDescent="0.25">
      <c r="A6517" s="508">
        <v>87528</v>
      </c>
      <c r="B6517" s="509" t="s">
        <v>7971</v>
      </c>
      <c r="C6517" s="508" t="s">
        <v>150</v>
      </c>
      <c r="D6517" s="508">
        <v>49.96</v>
      </c>
      <c r="E6517" s="461" t="s">
        <v>174</v>
      </c>
    </row>
    <row r="6518" spans="1:5" ht="40.5" x14ac:dyDescent="0.25">
      <c r="A6518" s="508">
        <v>87529</v>
      </c>
      <c r="B6518" s="509" t="s">
        <v>7972</v>
      </c>
      <c r="C6518" s="508" t="s">
        <v>150</v>
      </c>
      <c r="D6518" s="508">
        <v>42.62</v>
      </c>
      <c r="E6518" s="461" t="s">
        <v>174</v>
      </c>
    </row>
    <row r="6519" spans="1:5" ht="40.5" x14ac:dyDescent="0.25">
      <c r="A6519" s="508">
        <v>87530</v>
      </c>
      <c r="B6519" s="509" t="s">
        <v>7973</v>
      </c>
      <c r="C6519" s="508" t="s">
        <v>150</v>
      </c>
      <c r="D6519" s="508">
        <v>46.58</v>
      </c>
      <c r="E6519" s="461" t="s">
        <v>174</v>
      </c>
    </row>
    <row r="6520" spans="1:5" ht="27" x14ac:dyDescent="0.25">
      <c r="A6520" s="508">
        <v>87531</v>
      </c>
      <c r="B6520" s="509" t="s">
        <v>7974</v>
      </c>
      <c r="C6520" s="508" t="s">
        <v>150</v>
      </c>
      <c r="D6520" s="508">
        <v>41.25</v>
      </c>
      <c r="E6520" s="461" t="s">
        <v>174</v>
      </c>
    </row>
    <row r="6521" spans="1:5" ht="27" x14ac:dyDescent="0.25">
      <c r="A6521" s="508">
        <v>87532</v>
      </c>
      <c r="B6521" s="509" t="s">
        <v>7975</v>
      </c>
      <c r="C6521" s="508" t="s">
        <v>150</v>
      </c>
      <c r="D6521" s="508">
        <v>45.21</v>
      </c>
      <c r="E6521" s="461" t="s">
        <v>174</v>
      </c>
    </row>
    <row r="6522" spans="1:5" ht="27" x14ac:dyDescent="0.25">
      <c r="A6522" s="508">
        <v>87535</v>
      </c>
      <c r="B6522" s="509" t="s">
        <v>7976</v>
      </c>
      <c r="C6522" s="508" t="s">
        <v>150</v>
      </c>
      <c r="D6522" s="508">
        <v>38.409999999999997</v>
      </c>
      <c r="E6522" s="461" t="s">
        <v>174</v>
      </c>
    </row>
    <row r="6523" spans="1:5" ht="27" x14ac:dyDescent="0.25">
      <c r="A6523" s="508">
        <v>87536</v>
      </c>
      <c r="B6523" s="509" t="s">
        <v>7977</v>
      </c>
      <c r="C6523" s="508" t="s">
        <v>150</v>
      </c>
      <c r="D6523" s="508">
        <v>42.37</v>
      </c>
      <c r="E6523" s="461" t="s">
        <v>174</v>
      </c>
    </row>
    <row r="6524" spans="1:5" ht="40.5" x14ac:dyDescent="0.25">
      <c r="A6524" s="508">
        <v>87539</v>
      </c>
      <c r="B6524" s="509" t="s">
        <v>7978</v>
      </c>
      <c r="C6524" s="508" t="s">
        <v>150</v>
      </c>
      <c r="D6524" s="508">
        <v>57.74</v>
      </c>
      <c r="E6524" s="461" t="s">
        <v>174</v>
      </c>
    </row>
    <row r="6525" spans="1:5" ht="40.5" x14ac:dyDescent="0.25">
      <c r="A6525" s="508">
        <v>87543</v>
      </c>
      <c r="B6525" s="509" t="s">
        <v>7979</v>
      </c>
      <c r="C6525" s="508" t="s">
        <v>150</v>
      </c>
      <c r="D6525" s="508">
        <v>22.59</v>
      </c>
      <c r="E6525" s="461" t="s">
        <v>174</v>
      </c>
    </row>
    <row r="6526" spans="1:5" ht="27" x14ac:dyDescent="0.25">
      <c r="A6526" s="508">
        <v>87545</v>
      </c>
      <c r="B6526" s="509" t="s">
        <v>7980</v>
      </c>
      <c r="C6526" s="508" t="s">
        <v>150</v>
      </c>
      <c r="D6526" s="508">
        <v>33.89</v>
      </c>
      <c r="E6526" s="461" t="s">
        <v>174</v>
      </c>
    </row>
    <row r="6527" spans="1:5" ht="27" x14ac:dyDescent="0.25">
      <c r="A6527" s="508">
        <v>87546</v>
      </c>
      <c r="B6527" s="509" t="s">
        <v>7981</v>
      </c>
      <c r="C6527" s="508" t="s">
        <v>150</v>
      </c>
      <c r="D6527" s="508">
        <v>36.42</v>
      </c>
      <c r="E6527" s="461" t="s">
        <v>174</v>
      </c>
    </row>
    <row r="6528" spans="1:5" ht="40.5" x14ac:dyDescent="0.25">
      <c r="A6528" s="508">
        <v>87547</v>
      </c>
      <c r="B6528" s="509" t="s">
        <v>7982</v>
      </c>
      <c r="C6528" s="508" t="s">
        <v>150</v>
      </c>
      <c r="D6528" s="508">
        <v>30.51</v>
      </c>
      <c r="E6528" s="461" t="s">
        <v>174</v>
      </c>
    </row>
    <row r="6529" spans="1:5" ht="40.5" x14ac:dyDescent="0.25">
      <c r="A6529" s="508">
        <v>87548</v>
      </c>
      <c r="B6529" s="509" t="s">
        <v>7983</v>
      </c>
      <c r="C6529" s="508" t="s">
        <v>150</v>
      </c>
      <c r="D6529" s="508">
        <v>33.04</v>
      </c>
      <c r="E6529" s="461" t="s">
        <v>174</v>
      </c>
    </row>
    <row r="6530" spans="1:5" ht="27" x14ac:dyDescent="0.25">
      <c r="A6530" s="508">
        <v>87549</v>
      </c>
      <c r="B6530" s="509" t="s">
        <v>7984</v>
      </c>
      <c r="C6530" s="508" t="s">
        <v>150</v>
      </c>
      <c r="D6530" s="508">
        <v>29.13</v>
      </c>
      <c r="E6530" s="461" t="s">
        <v>174</v>
      </c>
    </row>
    <row r="6531" spans="1:5" ht="27" x14ac:dyDescent="0.25">
      <c r="A6531" s="508">
        <v>87550</v>
      </c>
      <c r="B6531" s="509" t="s">
        <v>7985</v>
      </c>
      <c r="C6531" s="508" t="s">
        <v>150</v>
      </c>
      <c r="D6531" s="508">
        <v>31.66</v>
      </c>
      <c r="E6531" s="461" t="s">
        <v>174</v>
      </c>
    </row>
    <row r="6532" spans="1:5" ht="27" x14ac:dyDescent="0.25">
      <c r="A6532" s="508">
        <v>87553</v>
      </c>
      <c r="B6532" s="509" t="s">
        <v>7986</v>
      </c>
      <c r="C6532" s="508" t="s">
        <v>150</v>
      </c>
      <c r="D6532" s="508">
        <v>26.3</v>
      </c>
      <c r="E6532" s="461" t="s">
        <v>174</v>
      </c>
    </row>
    <row r="6533" spans="1:5" ht="27" x14ac:dyDescent="0.25">
      <c r="A6533" s="508">
        <v>87554</v>
      </c>
      <c r="B6533" s="509" t="s">
        <v>7987</v>
      </c>
      <c r="C6533" s="508" t="s">
        <v>150</v>
      </c>
      <c r="D6533" s="508">
        <v>28.83</v>
      </c>
      <c r="E6533" s="461" t="s">
        <v>174</v>
      </c>
    </row>
    <row r="6534" spans="1:5" ht="40.5" x14ac:dyDescent="0.25">
      <c r="A6534" s="508">
        <v>87557</v>
      </c>
      <c r="B6534" s="509" t="s">
        <v>7988</v>
      </c>
      <c r="C6534" s="508" t="s">
        <v>150</v>
      </c>
      <c r="D6534" s="508">
        <v>38.47</v>
      </c>
      <c r="E6534" s="461" t="s">
        <v>174</v>
      </c>
    </row>
    <row r="6535" spans="1:5" ht="40.5" x14ac:dyDescent="0.25">
      <c r="A6535" s="508">
        <v>87561</v>
      </c>
      <c r="B6535" s="509" t="s">
        <v>7989</v>
      </c>
      <c r="C6535" s="508" t="s">
        <v>150</v>
      </c>
      <c r="D6535" s="508">
        <v>37.85</v>
      </c>
      <c r="E6535" s="461" t="s">
        <v>174</v>
      </c>
    </row>
    <row r="6536" spans="1:5" ht="40.5" x14ac:dyDescent="0.25">
      <c r="A6536" s="508">
        <v>87775</v>
      </c>
      <c r="B6536" s="509" t="s">
        <v>7990</v>
      </c>
      <c r="C6536" s="508" t="s">
        <v>150</v>
      </c>
      <c r="D6536" s="508">
        <v>62.27</v>
      </c>
      <c r="E6536" s="461" t="s">
        <v>174</v>
      </c>
    </row>
    <row r="6537" spans="1:5" ht="27" x14ac:dyDescent="0.25">
      <c r="A6537" s="508">
        <v>87777</v>
      </c>
      <c r="B6537" s="509" t="s">
        <v>7991</v>
      </c>
      <c r="C6537" s="508" t="s">
        <v>150</v>
      </c>
      <c r="D6537" s="508">
        <v>66.36</v>
      </c>
      <c r="E6537" s="461" t="s">
        <v>174</v>
      </c>
    </row>
    <row r="6538" spans="1:5" ht="40.5" x14ac:dyDescent="0.25">
      <c r="A6538" s="508">
        <v>87778</v>
      </c>
      <c r="B6538" s="509" t="s">
        <v>7992</v>
      </c>
      <c r="C6538" s="508" t="s">
        <v>150</v>
      </c>
      <c r="D6538" s="508">
        <v>81.650000000000006</v>
      </c>
      <c r="E6538" s="461" t="s">
        <v>174</v>
      </c>
    </row>
    <row r="6539" spans="1:5" ht="40.5" x14ac:dyDescent="0.25">
      <c r="A6539" s="508">
        <v>87779</v>
      </c>
      <c r="B6539" s="509" t="s">
        <v>7993</v>
      </c>
      <c r="C6539" s="508" t="s">
        <v>150</v>
      </c>
      <c r="D6539" s="508">
        <v>80.52</v>
      </c>
      <c r="E6539" s="461" t="s">
        <v>174</v>
      </c>
    </row>
    <row r="6540" spans="1:5" ht="27" x14ac:dyDescent="0.25">
      <c r="A6540" s="508">
        <v>87781</v>
      </c>
      <c r="B6540" s="509" t="s">
        <v>7994</v>
      </c>
      <c r="C6540" s="508" t="s">
        <v>150</v>
      </c>
      <c r="D6540" s="508">
        <v>86</v>
      </c>
      <c r="E6540" s="461" t="s">
        <v>174</v>
      </c>
    </row>
    <row r="6541" spans="1:5" ht="40.5" x14ac:dyDescent="0.25">
      <c r="A6541" s="508">
        <v>87783</v>
      </c>
      <c r="B6541" s="509" t="s">
        <v>7995</v>
      </c>
      <c r="C6541" s="508" t="s">
        <v>150</v>
      </c>
      <c r="D6541" s="508">
        <v>106.78</v>
      </c>
      <c r="E6541" s="461" t="s">
        <v>174</v>
      </c>
    </row>
    <row r="6542" spans="1:5" ht="40.5" x14ac:dyDescent="0.25">
      <c r="A6542" s="508">
        <v>87784</v>
      </c>
      <c r="B6542" s="509" t="s">
        <v>7996</v>
      </c>
      <c r="C6542" s="508" t="s">
        <v>150</v>
      </c>
      <c r="D6542" s="508">
        <v>88.41</v>
      </c>
      <c r="E6542" s="461" t="s">
        <v>174</v>
      </c>
    </row>
    <row r="6543" spans="1:5" ht="27" x14ac:dyDescent="0.25">
      <c r="A6543" s="508">
        <v>87786</v>
      </c>
      <c r="B6543" s="509" t="s">
        <v>7997</v>
      </c>
      <c r="C6543" s="508" t="s">
        <v>150</v>
      </c>
      <c r="D6543" s="508">
        <v>95.29</v>
      </c>
      <c r="E6543" s="461" t="s">
        <v>174</v>
      </c>
    </row>
    <row r="6544" spans="1:5" ht="40.5" x14ac:dyDescent="0.25">
      <c r="A6544" s="508">
        <v>87787</v>
      </c>
      <c r="B6544" s="509" t="s">
        <v>7998</v>
      </c>
      <c r="C6544" s="508" t="s">
        <v>150</v>
      </c>
      <c r="D6544" s="508">
        <v>122.43</v>
      </c>
      <c r="E6544" s="461" t="s">
        <v>174</v>
      </c>
    </row>
    <row r="6545" spans="1:5" ht="40.5" x14ac:dyDescent="0.25">
      <c r="A6545" s="508">
        <v>87788</v>
      </c>
      <c r="B6545" s="509" t="s">
        <v>7999</v>
      </c>
      <c r="C6545" s="508" t="s">
        <v>150</v>
      </c>
      <c r="D6545" s="508">
        <v>104.09</v>
      </c>
      <c r="E6545" s="461" t="s">
        <v>174</v>
      </c>
    </row>
    <row r="6546" spans="1:5" ht="40.5" x14ac:dyDescent="0.25">
      <c r="A6546" s="508">
        <v>87791</v>
      </c>
      <c r="B6546" s="509" t="s">
        <v>8000</v>
      </c>
      <c r="C6546" s="508" t="s">
        <v>150</v>
      </c>
      <c r="D6546" s="508">
        <v>135.03</v>
      </c>
      <c r="E6546" s="461" t="s">
        <v>174</v>
      </c>
    </row>
    <row r="6547" spans="1:5" ht="40.5" x14ac:dyDescent="0.25">
      <c r="A6547" s="508">
        <v>87792</v>
      </c>
      <c r="B6547" s="509" t="s">
        <v>8001</v>
      </c>
      <c r="C6547" s="508" t="s">
        <v>150</v>
      </c>
      <c r="D6547" s="508">
        <v>46.3</v>
      </c>
      <c r="E6547" s="461" t="s">
        <v>174</v>
      </c>
    </row>
    <row r="6548" spans="1:5" ht="27" x14ac:dyDescent="0.25">
      <c r="A6548" s="508">
        <v>87794</v>
      </c>
      <c r="B6548" s="509" t="s">
        <v>8002</v>
      </c>
      <c r="C6548" s="508" t="s">
        <v>150</v>
      </c>
      <c r="D6548" s="508">
        <v>50.12</v>
      </c>
      <c r="E6548" s="461" t="s">
        <v>174</v>
      </c>
    </row>
    <row r="6549" spans="1:5" ht="40.5" x14ac:dyDescent="0.25">
      <c r="A6549" s="508">
        <v>87795</v>
      </c>
      <c r="B6549" s="509" t="s">
        <v>8003</v>
      </c>
      <c r="C6549" s="508" t="s">
        <v>150</v>
      </c>
      <c r="D6549" s="508">
        <v>65.52</v>
      </c>
      <c r="E6549" s="461" t="s">
        <v>174</v>
      </c>
    </row>
    <row r="6550" spans="1:5" ht="40.5" x14ac:dyDescent="0.25">
      <c r="A6550" s="508">
        <v>87797</v>
      </c>
      <c r="B6550" s="509" t="s">
        <v>8004</v>
      </c>
      <c r="C6550" s="508" t="s">
        <v>150</v>
      </c>
      <c r="D6550" s="508">
        <v>64.09</v>
      </c>
      <c r="E6550" s="461" t="s">
        <v>174</v>
      </c>
    </row>
    <row r="6551" spans="1:5" ht="27" x14ac:dyDescent="0.25">
      <c r="A6551" s="508">
        <v>87799</v>
      </c>
      <c r="B6551" s="509" t="s">
        <v>8005</v>
      </c>
      <c r="C6551" s="508" t="s">
        <v>150</v>
      </c>
      <c r="D6551" s="508">
        <v>69.209999999999994</v>
      </c>
      <c r="E6551" s="461" t="s">
        <v>174</v>
      </c>
    </row>
    <row r="6552" spans="1:5" ht="40.5" x14ac:dyDescent="0.25">
      <c r="A6552" s="508">
        <v>87800</v>
      </c>
      <c r="B6552" s="509" t="s">
        <v>8006</v>
      </c>
      <c r="C6552" s="508" t="s">
        <v>150</v>
      </c>
      <c r="D6552" s="508">
        <v>89.57</v>
      </c>
      <c r="E6552" s="461" t="s">
        <v>174</v>
      </c>
    </row>
    <row r="6553" spans="1:5" ht="40.5" x14ac:dyDescent="0.25">
      <c r="A6553" s="508">
        <v>87801</v>
      </c>
      <c r="B6553" s="509" t="s">
        <v>8007</v>
      </c>
      <c r="C6553" s="508" t="s">
        <v>150</v>
      </c>
      <c r="D6553" s="508">
        <v>71.47</v>
      </c>
      <c r="E6553" s="461" t="s">
        <v>174</v>
      </c>
    </row>
    <row r="6554" spans="1:5" ht="27" x14ac:dyDescent="0.25">
      <c r="A6554" s="508">
        <v>87803</v>
      </c>
      <c r="B6554" s="509" t="s">
        <v>8008</v>
      </c>
      <c r="C6554" s="508" t="s">
        <v>150</v>
      </c>
      <c r="D6554" s="508">
        <v>77.89</v>
      </c>
      <c r="E6554" s="461" t="s">
        <v>174</v>
      </c>
    </row>
    <row r="6555" spans="1:5" ht="40.5" x14ac:dyDescent="0.25">
      <c r="A6555" s="508">
        <v>87804</v>
      </c>
      <c r="B6555" s="509" t="s">
        <v>8009</v>
      </c>
      <c r="C6555" s="508" t="s">
        <v>150</v>
      </c>
      <c r="D6555" s="508">
        <v>104.19</v>
      </c>
      <c r="E6555" s="461" t="s">
        <v>174</v>
      </c>
    </row>
    <row r="6556" spans="1:5" ht="40.5" x14ac:dyDescent="0.25">
      <c r="A6556" s="508">
        <v>87805</v>
      </c>
      <c r="B6556" s="509" t="s">
        <v>8010</v>
      </c>
      <c r="C6556" s="508" t="s">
        <v>150</v>
      </c>
      <c r="D6556" s="508">
        <v>78.150000000000006</v>
      </c>
      <c r="E6556" s="461" t="s">
        <v>174</v>
      </c>
    </row>
    <row r="6557" spans="1:5" ht="40.5" x14ac:dyDescent="0.25">
      <c r="A6557" s="508">
        <v>87807</v>
      </c>
      <c r="B6557" s="509" t="s">
        <v>8011</v>
      </c>
      <c r="C6557" s="508" t="s">
        <v>150</v>
      </c>
      <c r="D6557" s="508">
        <v>85.22</v>
      </c>
      <c r="E6557" s="461" t="s">
        <v>174</v>
      </c>
    </row>
    <row r="6558" spans="1:5" ht="40.5" x14ac:dyDescent="0.25">
      <c r="A6558" s="508">
        <v>87808</v>
      </c>
      <c r="B6558" s="509" t="s">
        <v>8012</v>
      </c>
      <c r="C6558" s="508" t="s">
        <v>150</v>
      </c>
      <c r="D6558" s="508">
        <v>110.74</v>
      </c>
      <c r="E6558" s="461" t="s">
        <v>174</v>
      </c>
    </row>
    <row r="6559" spans="1:5" ht="40.5" x14ac:dyDescent="0.25">
      <c r="A6559" s="508">
        <v>87809</v>
      </c>
      <c r="B6559" s="509" t="s">
        <v>8013</v>
      </c>
      <c r="C6559" s="508" t="s">
        <v>150</v>
      </c>
      <c r="D6559" s="508">
        <v>87.86</v>
      </c>
      <c r="E6559" s="461" t="s">
        <v>174</v>
      </c>
    </row>
    <row r="6560" spans="1:5" ht="40.5" x14ac:dyDescent="0.25">
      <c r="A6560" s="508">
        <v>87811</v>
      </c>
      <c r="B6560" s="509" t="s">
        <v>8014</v>
      </c>
      <c r="C6560" s="508" t="s">
        <v>150</v>
      </c>
      <c r="D6560" s="508">
        <v>91.68</v>
      </c>
      <c r="E6560" s="461" t="s">
        <v>174</v>
      </c>
    </row>
    <row r="6561" spans="1:5" ht="40.5" x14ac:dyDescent="0.25">
      <c r="A6561" s="508">
        <v>87812</v>
      </c>
      <c r="B6561" s="509" t="s">
        <v>8015</v>
      </c>
      <c r="C6561" s="508" t="s">
        <v>150</v>
      </c>
      <c r="D6561" s="508">
        <v>103.05</v>
      </c>
      <c r="E6561" s="461" t="s">
        <v>174</v>
      </c>
    </row>
    <row r="6562" spans="1:5" ht="40.5" x14ac:dyDescent="0.25">
      <c r="A6562" s="508">
        <v>87813</v>
      </c>
      <c r="B6562" s="509" t="s">
        <v>8016</v>
      </c>
      <c r="C6562" s="508" t="s">
        <v>150</v>
      </c>
      <c r="D6562" s="508">
        <v>105.64</v>
      </c>
      <c r="E6562" s="461" t="s">
        <v>174</v>
      </c>
    </row>
    <row r="6563" spans="1:5" ht="40.5" x14ac:dyDescent="0.25">
      <c r="A6563" s="508">
        <v>87815</v>
      </c>
      <c r="B6563" s="509" t="s">
        <v>8017</v>
      </c>
      <c r="C6563" s="508" t="s">
        <v>150</v>
      </c>
      <c r="D6563" s="508">
        <v>110.76</v>
      </c>
      <c r="E6563" s="461" t="s">
        <v>174</v>
      </c>
    </row>
    <row r="6564" spans="1:5" ht="40.5" x14ac:dyDescent="0.25">
      <c r="A6564" s="508">
        <v>87816</v>
      </c>
      <c r="B6564" s="509" t="s">
        <v>8018</v>
      </c>
      <c r="C6564" s="508" t="s">
        <v>150</v>
      </c>
      <c r="D6564" s="508">
        <v>127.15</v>
      </c>
      <c r="E6564" s="461" t="s">
        <v>174</v>
      </c>
    </row>
    <row r="6565" spans="1:5" ht="40.5" x14ac:dyDescent="0.25">
      <c r="A6565" s="508">
        <v>87817</v>
      </c>
      <c r="B6565" s="509" t="s">
        <v>8019</v>
      </c>
      <c r="C6565" s="508" t="s">
        <v>150</v>
      </c>
      <c r="D6565" s="508">
        <v>113.02</v>
      </c>
      <c r="E6565" s="461" t="s">
        <v>174</v>
      </c>
    </row>
    <row r="6566" spans="1:5" ht="40.5" x14ac:dyDescent="0.25">
      <c r="A6566" s="508">
        <v>87819</v>
      </c>
      <c r="B6566" s="509" t="s">
        <v>8020</v>
      </c>
      <c r="C6566" s="508" t="s">
        <v>150</v>
      </c>
      <c r="D6566" s="508">
        <v>119.44</v>
      </c>
      <c r="E6566" s="461" t="s">
        <v>174</v>
      </c>
    </row>
    <row r="6567" spans="1:5" ht="40.5" x14ac:dyDescent="0.25">
      <c r="A6567" s="508">
        <v>87820</v>
      </c>
      <c r="B6567" s="509" t="s">
        <v>8021</v>
      </c>
      <c r="C6567" s="508" t="s">
        <v>150</v>
      </c>
      <c r="D6567" s="508">
        <v>141.77000000000001</v>
      </c>
      <c r="E6567" s="461" t="s">
        <v>174</v>
      </c>
    </row>
    <row r="6568" spans="1:5" ht="40.5" x14ac:dyDescent="0.25">
      <c r="A6568" s="508">
        <v>87821</v>
      </c>
      <c r="B6568" s="509" t="s">
        <v>8022</v>
      </c>
      <c r="C6568" s="508" t="s">
        <v>150</v>
      </c>
      <c r="D6568" s="508">
        <v>145.97</v>
      </c>
      <c r="E6568" s="461" t="s">
        <v>174</v>
      </c>
    </row>
    <row r="6569" spans="1:5" ht="40.5" x14ac:dyDescent="0.25">
      <c r="A6569" s="508">
        <v>87823</v>
      </c>
      <c r="B6569" s="509" t="s">
        <v>8023</v>
      </c>
      <c r="C6569" s="508" t="s">
        <v>150</v>
      </c>
      <c r="D6569" s="508">
        <v>153.04</v>
      </c>
      <c r="E6569" s="461" t="s">
        <v>174</v>
      </c>
    </row>
    <row r="6570" spans="1:5" ht="40.5" x14ac:dyDescent="0.25">
      <c r="A6570" s="508">
        <v>87824</v>
      </c>
      <c r="B6570" s="509" t="s">
        <v>8024</v>
      </c>
      <c r="C6570" s="508" t="s">
        <v>150</v>
      </c>
      <c r="D6570" s="508">
        <v>165.33</v>
      </c>
      <c r="E6570" s="461" t="s">
        <v>174</v>
      </c>
    </row>
    <row r="6571" spans="1:5" ht="40.5" x14ac:dyDescent="0.25">
      <c r="A6571" s="508">
        <v>87825</v>
      </c>
      <c r="B6571" s="509" t="s">
        <v>8025</v>
      </c>
      <c r="C6571" s="508" t="s">
        <v>150</v>
      </c>
      <c r="D6571" s="508">
        <v>82.98</v>
      </c>
      <c r="E6571" s="461" t="s">
        <v>174</v>
      </c>
    </row>
    <row r="6572" spans="1:5" ht="40.5" x14ac:dyDescent="0.25">
      <c r="A6572" s="508">
        <v>87827</v>
      </c>
      <c r="B6572" s="509" t="s">
        <v>8026</v>
      </c>
      <c r="C6572" s="508" t="s">
        <v>150</v>
      </c>
      <c r="D6572" s="508">
        <v>87.65</v>
      </c>
      <c r="E6572" s="461" t="s">
        <v>174</v>
      </c>
    </row>
    <row r="6573" spans="1:5" ht="40.5" x14ac:dyDescent="0.25">
      <c r="A6573" s="508">
        <v>87828</v>
      </c>
      <c r="B6573" s="509" t="s">
        <v>8027</v>
      </c>
      <c r="C6573" s="508" t="s">
        <v>150</v>
      </c>
      <c r="D6573" s="508">
        <v>103.92</v>
      </c>
      <c r="E6573" s="461" t="s">
        <v>174</v>
      </c>
    </row>
    <row r="6574" spans="1:5" ht="40.5" x14ac:dyDescent="0.25">
      <c r="A6574" s="508">
        <v>87829</v>
      </c>
      <c r="B6574" s="509" t="s">
        <v>8028</v>
      </c>
      <c r="C6574" s="508" t="s">
        <v>150</v>
      </c>
      <c r="D6574" s="508">
        <v>100.86</v>
      </c>
      <c r="E6574" s="461" t="s">
        <v>174</v>
      </c>
    </row>
    <row r="6575" spans="1:5" ht="40.5" x14ac:dyDescent="0.25">
      <c r="A6575" s="508">
        <v>87831</v>
      </c>
      <c r="B6575" s="509" t="s">
        <v>8029</v>
      </c>
      <c r="C6575" s="508" t="s">
        <v>150</v>
      </c>
      <c r="D6575" s="508">
        <v>107.13</v>
      </c>
      <c r="E6575" s="461" t="s">
        <v>174</v>
      </c>
    </row>
    <row r="6576" spans="1:5" ht="40.5" x14ac:dyDescent="0.25">
      <c r="A6576" s="508">
        <v>87832</v>
      </c>
      <c r="B6576" s="509" t="s">
        <v>8030</v>
      </c>
      <c r="C6576" s="508" t="s">
        <v>150</v>
      </c>
      <c r="D6576" s="508">
        <v>129.84</v>
      </c>
      <c r="E6576" s="461" t="s">
        <v>174</v>
      </c>
    </row>
    <row r="6577" spans="1:5" ht="27" x14ac:dyDescent="0.25">
      <c r="A6577" s="508">
        <v>87838</v>
      </c>
      <c r="B6577" s="509" t="s">
        <v>8031</v>
      </c>
      <c r="C6577" s="508" t="s">
        <v>150</v>
      </c>
      <c r="D6577" s="508">
        <v>166.74</v>
      </c>
      <c r="E6577" s="461" t="s">
        <v>174</v>
      </c>
    </row>
    <row r="6578" spans="1:5" ht="27" x14ac:dyDescent="0.25">
      <c r="A6578" s="508">
        <v>87839</v>
      </c>
      <c r="B6578" s="509" t="s">
        <v>8032</v>
      </c>
      <c r="C6578" s="508" t="s">
        <v>150</v>
      </c>
      <c r="D6578" s="508">
        <v>120.89</v>
      </c>
      <c r="E6578" s="461" t="s">
        <v>174</v>
      </c>
    </row>
    <row r="6579" spans="1:5" ht="27" x14ac:dyDescent="0.25">
      <c r="A6579" s="508">
        <v>87840</v>
      </c>
      <c r="B6579" s="509" t="s">
        <v>8033</v>
      </c>
      <c r="C6579" s="508" t="s">
        <v>150</v>
      </c>
      <c r="D6579" s="508">
        <v>160.28</v>
      </c>
      <c r="E6579" s="461" t="s">
        <v>174</v>
      </c>
    </row>
    <row r="6580" spans="1:5" ht="27" x14ac:dyDescent="0.25">
      <c r="A6580" s="508">
        <v>87841</v>
      </c>
      <c r="B6580" s="509" t="s">
        <v>8034</v>
      </c>
      <c r="C6580" s="508" t="s">
        <v>150</v>
      </c>
      <c r="D6580" s="508">
        <v>114.69</v>
      </c>
      <c r="E6580" s="461" t="s">
        <v>174</v>
      </c>
    </row>
    <row r="6581" spans="1:5" ht="27" x14ac:dyDescent="0.25">
      <c r="A6581" s="508">
        <v>87850</v>
      </c>
      <c r="B6581" s="509" t="s">
        <v>8035</v>
      </c>
      <c r="C6581" s="508" t="s">
        <v>150</v>
      </c>
      <c r="D6581" s="508">
        <v>181.13</v>
      </c>
      <c r="E6581" s="461" t="s">
        <v>174</v>
      </c>
    </row>
    <row r="6582" spans="1:5" ht="27" x14ac:dyDescent="0.25">
      <c r="A6582" s="508">
        <v>87851</v>
      </c>
      <c r="B6582" s="509" t="s">
        <v>8036</v>
      </c>
      <c r="C6582" s="508" t="s">
        <v>150</v>
      </c>
      <c r="D6582" s="508">
        <v>135.29</v>
      </c>
      <c r="E6582" s="461" t="s">
        <v>174</v>
      </c>
    </row>
    <row r="6583" spans="1:5" ht="27" x14ac:dyDescent="0.25">
      <c r="A6583" s="508">
        <v>87852</v>
      </c>
      <c r="B6583" s="509" t="s">
        <v>8037</v>
      </c>
      <c r="C6583" s="508" t="s">
        <v>150</v>
      </c>
      <c r="D6583" s="508">
        <v>174.17</v>
      </c>
      <c r="E6583" s="461" t="s">
        <v>174</v>
      </c>
    </row>
    <row r="6584" spans="1:5" ht="27" x14ac:dyDescent="0.25">
      <c r="A6584" s="508">
        <v>87853</v>
      </c>
      <c r="B6584" s="509" t="s">
        <v>8038</v>
      </c>
      <c r="C6584" s="508" t="s">
        <v>150</v>
      </c>
      <c r="D6584" s="508">
        <v>128.58000000000001</v>
      </c>
      <c r="E6584" s="461" t="s">
        <v>174</v>
      </c>
    </row>
    <row r="6585" spans="1:5" ht="27" x14ac:dyDescent="0.25">
      <c r="A6585" s="508">
        <v>90406</v>
      </c>
      <c r="B6585" s="509" t="s">
        <v>8039</v>
      </c>
      <c r="C6585" s="508" t="s">
        <v>150</v>
      </c>
      <c r="D6585" s="508">
        <v>50.11</v>
      </c>
      <c r="E6585" s="461" t="s">
        <v>174</v>
      </c>
    </row>
    <row r="6586" spans="1:5" ht="27" x14ac:dyDescent="0.25">
      <c r="A6586" s="508">
        <v>90408</v>
      </c>
      <c r="B6586" s="509" t="s">
        <v>8040</v>
      </c>
      <c r="C6586" s="508" t="s">
        <v>150</v>
      </c>
      <c r="D6586" s="508">
        <v>37.08</v>
      </c>
      <c r="E6586" s="461" t="s">
        <v>174</v>
      </c>
    </row>
    <row r="6587" spans="1:5" ht="40.5" x14ac:dyDescent="0.25">
      <c r="A6587" s="508">
        <v>104203</v>
      </c>
      <c r="B6587" s="509" t="s">
        <v>8041</v>
      </c>
      <c r="C6587" s="508" t="s">
        <v>150</v>
      </c>
      <c r="D6587" s="508">
        <v>65.83</v>
      </c>
      <c r="E6587" s="461" t="s">
        <v>174</v>
      </c>
    </row>
    <row r="6588" spans="1:5" ht="40.5" x14ac:dyDescent="0.25">
      <c r="A6588" s="508">
        <v>104204</v>
      </c>
      <c r="B6588" s="509" t="s">
        <v>8042</v>
      </c>
      <c r="C6588" s="508" t="s">
        <v>150</v>
      </c>
      <c r="D6588" s="508">
        <v>85.36</v>
      </c>
      <c r="E6588" s="461" t="s">
        <v>174</v>
      </c>
    </row>
    <row r="6589" spans="1:5" ht="40.5" x14ac:dyDescent="0.25">
      <c r="A6589" s="508">
        <v>104205</v>
      </c>
      <c r="B6589" s="509" t="s">
        <v>8043</v>
      </c>
      <c r="C6589" s="508" t="s">
        <v>150</v>
      </c>
      <c r="D6589" s="508">
        <v>93.93</v>
      </c>
      <c r="E6589" s="461" t="s">
        <v>174</v>
      </c>
    </row>
    <row r="6590" spans="1:5" ht="40.5" x14ac:dyDescent="0.25">
      <c r="A6590" s="508">
        <v>104206</v>
      </c>
      <c r="B6590" s="509" t="s">
        <v>8044</v>
      </c>
      <c r="C6590" s="508" t="s">
        <v>150</v>
      </c>
      <c r="D6590" s="508">
        <v>103.78</v>
      </c>
      <c r="E6590" s="461" t="s">
        <v>174</v>
      </c>
    </row>
    <row r="6591" spans="1:5" ht="40.5" x14ac:dyDescent="0.25">
      <c r="A6591" s="508">
        <v>104207</v>
      </c>
      <c r="B6591" s="509" t="s">
        <v>8045</v>
      </c>
      <c r="C6591" s="508" t="s">
        <v>150</v>
      </c>
      <c r="D6591" s="508">
        <v>49.13</v>
      </c>
      <c r="E6591" s="461" t="s">
        <v>174</v>
      </c>
    </row>
    <row r="6592" spans="1:5" ht="40.5" x14ac:dyDescent="0.25">
      <c r="A6592" s="508">
        <v>104208</v>
      </c>
      <c r="B6592" s="509" t="s">
        <v>8046</v>
      </c>
      <c r="C6592" s="508" t="s">
        <v>150</v>
      </c>
      <c r="D6592" s="508">
        <v>68.069999999999993</v>
      </c>
      <c r="E6592" s="461" t="s">
        <v>174</v>
      </c>
    </row>
    <row r="6593" spans="1:5" ht="40.5" x14ac:dyDescent="0.25">
      <c r="A6593" s="508">
        <v>104209</v>
      </c>
      <c r="B6593" s="509" t="s">
        <v>8047</v>
      </c>
      <c r="C6593" s="508" t="s">
        <v>150</v>
      </c>
      <c r="D6593" s="508">
        <v>76.13</v>
      </c>
      <c r="E6593" s="461" t="s">
        <v>174</v>
      </c>
    </row>
    <row r="6594" spans="1:5" ht="40.5" x14ac:dyDescent="0.25">
      <c r="A6594" s="508">
        <v>104210</v>
      </c>
      <c r="B6594" s="509" t="s">
        <v>8048</v>
      </c>
      <c r="C6594" s="508" t="s">
        <v>150</v>
      </c>
      <c r="D6594" s="508">
        <v>79.28</v>
      </c>
      <c r="E6594" s="461" t="s">
        <v>174</v>
      </c>
    </row>
    <row r="6595" spans="1:5" ht="40.5" x14ac:dyDescent="0.25">
      <c r="A6595" s="508">
        <v>104211</v>
      </c>
      <c r="B6595" s="509" t="s">
        <v>8049</v>
      </c>
      <c r="C6595" s="508" t="s">
        <v>150</v>
      </c>
      <c r="D6595" s="508">
        <v>92.92</v>
      </c>
      <c r="E6595" s="461" t="s">
        <v>174</v>
      </c>
    </row>
    <row r="6596" spans="1:5" ht="40.5" x14ac:dyDescent="0.25">
      <c r="A6596" s="508">
        <v>104212</v>
      </c>
      <c r="B6596" s="509" t="s">
        <v>8050</v>
      </c>
      <c r="C6596" s="508" t="s">
        <v>150</v>
      </c>
      <c r="D6596" s="508">
        <v>111.91</v>
      </c>
      <c r="E6596" s="461" t="s">
        <v>174</v>
      </c>
    </row>
    <row r="6597" spans="1:5" ht="40.5" x14ac:dyDescent="0.25">
      <c r="A6597" s="508">
        <v>104213</v>
      </c>
      <c r="B6597" s="509" t="s">
        <v>8051</v>
      </c>
      <c r="C6597" s="508" t="s">
        <v>150</v>
      </c>
      <c r="D6597" s="508">
        <v>119.97</v>
      </c>
      <c r="E6597" s="461" t="s">
        <v>174</v>
      </c>
    </row>
    <row r="6598" spans="1:5" ht="40.5" x14ac:dyDescent="0.25">
      <c r="A6598" s="508">
        <v>104214</v>
      </c>
      <c r="B6598" s="509" t="s">
        <v>8052</v>
      </c>
      <c r="C6598" s="508" t="s">
        <v>150</v>
      </c>
      <c r="D6598" s="508">
        <v>142.79</v>
      </c>
      <c r="E6598" s="461" t="s">
        <v>174</v>
      </c>
    </row>
    <row r="6599" spans="1:5" ht="40.5" x14ac:dyDescent="0.25">
      <c r="A6599" s="508">
        <v>104215</v>
      </c>
      <c r="B6599" s="509" t="s">
        <v>8053</v>
      </c>
      <c r="C6599" s="508" t="s">
        <v>150</v>
      </c>
      <c r="D6599" s="508">
        <v>87.63</v>
      </c>
      <c r="E6599" s="461" t="s">
        <v>174</v>
      </c>
    </row>
    <row r="6600" spans="1:5" ht="40.5" x14ac:dyDescent="0.25">
      <c r="A6600" s="508">
        <v>104216</v>
      </c>
      <c r="B6600" s="509" t="s">
        <v>8054</v>
      </c>
      <c r="C6600" s="508" t="s">
        <v>150</v>
      </c>
      <c r="D6600" s="508">
        <v>106.63</v>
      </c>
      <c r="E6600" s="461" t="s">
        <v>174</v>
      </c>
    </row>
    <row r="6601" spans="1:5" ht="40.5" x14ac:dyDescent="0.25">
      <c r="A6601" s="508">
        <v>104217</v>
      </c>
      <c r="B6601" s="509" t="s">
        <v>8055</v>
      </c>
      <c r="C6601" s="508" t="s">
        <v>150</v>
      </c>
      <c r="D6601" s="508">
        <v>58.03</v>
      </c>
      <c r="E6601" s="461" t="s">
        <v>174</v>
      </c>
    </row>
    <row r="6602" spans="1:5" ht="40.5" x14ac:dyDescent="0.25">
      <c r="A6602" s="508">
        <v>104218</v>
      </c>
      <c r="B6602" s="509" t="s">
        <v>8056</v>
      </c>
      <c r="C6602" s="508" t="s">
        <v>150</v>
      </c>
      <c r="D6602" s="508">
        <v>62.12</v>
      </c>
      <c r="E6602" s="461" t="s">
        <v>174</v>
      </c>
    </row>
    <row r="6603" spans="1:5" ht="40.5" x14ac:dyDescent="0.25">
      <c r="A6603" s="508">
        <v>104219</v>
      </c>
      <c r="B6603" s="509" t="s">
        <v>8057</v>
      </c>
      <c r="C6603" s="508" t="s">
        <v>150</v>
      </c>
      <c r="D6603" s="508">
        <v>77.84</v>
      </c>
      <c r="E6603" s="461" t="s">
        <v>174</v>
      </c>
    </row>
    <row r="6604" spans="1:5" ht="40.5" x14ac:dyDescent="0.25">
      <c r="A6604" s="508">
        <v>104220</v>
      </c>
      <c r="B6604" s="509" t="s">
        <v>8058</v>
      </c>
      <c r="C6604" s="508" t="s">
        <v>150</v>
      </c>
      <c r="D6604" s="508">
        <v>61.43</v>
      </c>
      <c r="E6604" s="461" t="s">
        <v>174</v>
      </c>
    </row>
    <row r="6605" spans="1:5" ht="40.5" x14ac:dyDescent="0.25">
      <c r="A6605" s="508">
        <v>104221</v>
      </c>
      <c r="B6605" s="509" t="s">
        <v>8059</v>
      </c>
      <c r="C6605" s="508" t="s">
        <v>150</v>
      </c>
      <c r="D6605" s="508">
        <v>75.069999999999993</v>
      </c>
      <c r="E6605" s="461" t="s">
        <v>174</v>
      </c>
    </row>
    <row r="6606" spans="1:5" ht="40.5" x14ac:dyDescent="0.25">
      <c r="A6606" s="508">
        <v>104222</v>
      </c>
      <c r="B6606" s="509" t="s">
        <v>8060</v>
      </c>
      <c r="C6606" s="508" t="s">
        <v>150</v>
      </c>
      <c r="D6606" s="508">
        <v>80.55</v>
      </c>
      <c r="E6606" s="461" t="s">
        <v>174</v>
      </c>
    </row>
    <row r="6607" spans="1:5" ht="40.5" x14ac:dyDescent="0.25">
      <c r="A6607" s="508">
        <v>104223</v>
      </c>
      <c r="B6607" s="509" t="s">
        <v>8061</v>
      </c>
      <c r="C6607" s="508" t="s">
        <v>150</v>
      </c>
      <c r="D6607" s="508">
        <v>101.83</v>
      </c>
      <c r="E6607" s="461" t="s">
        <v>174</v>
      </c>
    </row>
    <row r="6608" spans="1:5" ht="40.5" x14ac:dyDescent="0.25">
      <c r="A6608" s="508">
        <v>104224</v>
      </c>
      <c r="B6608" s="509" t="s">
        <v>8062</v>
      </c>
      <c r="C6608" s="508" t="s">
        <v>150</v>
      </c>
      <c r="D6608" s="508">
        <v>79.64</v>
      </c>
      <c r="E6608" s="461" t="s">
        <v>174</v>
      </c>
    </row>
    <row r="6609" spans="1:5" ht="40.5" x14ac:dyDescent="0.25">
      <c r="A6609" s="508">
        <v>104225</v>
      </c>
      <c r="B6609" s="509" t="s">
        <v>8063</v>
      </c>
      <c r="C6609" s="508" t="s">
        <v>150</v>
      </c>
      <c r="D6609" s="508">
        <v>82.96</v>
      </c>
      <c r="E6609" s="461" t="s">
        <v>174</v>
      </c>
    </row>
    <row r="6610" spans="1:5" ht="40.5" x14ac:dyDescent="0.25">
      <c r="A6610" s="508">
        <v>104226</v>
      </c>
      <c r="B6610" s="509" t="s">
        <v>8064</v>
      </c>
      <c r="C6610" s="508" t="s">
        <v>150</v>
      </c>
      <c r="D6610" s="508">
        <v>89.84</v>
      </c>
      <c r="E6610" s="461" t="s">
        <v>174</v>
      </c>
    </row>
    <row r="6611" spans="1:5" ht="40.5" x14ac:dyDescent="0.25">
      <c r="A6611" s="508">
        <v>104227</v>
      </c>
      <c r="B6611" s="509" t="s">
        <v>8065</v>
      </c>
      <c r="C6611" s="508" t="s">
        <v>150</v>
      </c>
      <c r="D6611" s="508">
        <v>117.48</v>
      </c>
      <c r="E6611" s="461" t="s">
        <v>174</v>
      </c>
    </row>
    <row r="6612" spans="1:5" ht="40.5" x14ac:dyDescent="0.25">
      <c r="A6612" s="508">
        <v>104228</v>
      </c>
      <c r="B6612" s="509" t="s">
        <v>8066</v>
      </c>
      <c r="C6612" s="508" t="s">
        <v>150</v>
      </c>
      <c r="D6612" s="508">
        <v>88.2</v>
      </c>
      <c r="E6612" s="461" t="s">
        <v>174</v>
      </c>
    </row>
    <row r="6613" spans="1:5" ht="40.5" x14ac:dyDescent="0.25">
      <c r="A6613" s="508">
        <v>104229</v>
      </c>
      <c r="B6613" s="509" t="s">
        <v>8067</v>
      </c>
      <c r="C6613" s="508" t="s">
        <v>150</v>
      </c>
      <c r="D6613" s="508">
        <v>97.33</v>
      </c>
      <c r="E6613" s="461" t="s">
        <v>174</v>
      </c>
    </row>
    <row r="6614" spans="1:5" ht="40.5" x14ac:dyDescent="0.25">
      <c r="A6614" s="508">
        <v>104230</v>
      </c>
      <c r="B6614" s="509" t="s">
        <v>8068</v>
      </c>
      <c r="C6614" s="508" t="s">
        <v>150</v>
      </c>
      <c r="D6614" s="508">
        <v>104.89</v>
      </c>
      <c r="E6614" s="461" t="s">
        <v>174</v>
      </c>
    </row>
    <row r="6615" spans="1:5" ht="40.5" x14ac:dyDescent="0.25">
      <c r="A6615" s="508">
        <v>104231</v>
      </c>
      <c r="B6615" s="509" t="s">
        <v>8069</v>
      </c>
      <c r="C6615" s="508" t="s">
        <v>150</v>
      </c>
      <c r="D6615" s="508">
        <v>129.58000000000001</v>
      </c>
      <c r="E6615" s="461" t="s">
        <v>174</v>
      </c>
    </row>
    <row r="6616" spans="1:5" ht="40.5" x14ac:dyDescent="0.25">
      <c r="A6616" s="508">
        <v>104232</v>
      </c>
      <c r="B6616" s="509" t="s">
        <v>8070</v>
      </c>
      <c r="C6616" s="508" t="s">
        <v>150</v>
      </c>
      <c r="D6616" s="508">
        <v>97.48</v>
      </c>
      <c r="E6616" s="461" t="s">
        <v>174</v>
      </c>
    </row>
    <row r="6617" spans="1:5" ht="40.5" x14ac:dyDescent="0.25">
      <c r="A6617" s="508">
        <v>104233</v>
      </c>
      <c r="B6617" s="509" t="s">
        <v>8071</v>
      </c>
      <c r="C6617" s="508" t="s">
        <v>150</v>
      </c>
      <c r="D6617" s="508">
        <v>43.79</v>
      </c>
      <c r="E6617" s="461" t="s">
        <v>174</v>
      </c>
    </row>
    <row r="6618" spans="1:5" ht="40.5" x14ac:dyDescent="0.25">
      <c r="A6618" s="508">
        <v>104234</v>
      </c>
      <c r="B6618" s="509" t="s">
        <v>8072</v>
      </c>
      <c r="C6618" s="508" t="s">
        <v>150</v>
      </c>
      <c r="D6618" s="508">
        <v>47.61</v>
      </c>
      <c r="E6618" s="461" t="s">
        <v>174</v>
      </c>
    </row>
    <row r="6619" spans="1:5" ht="40.5" x14ac:dyDescent="0.25">
      <c r="A6619" s="508">
        <v>104235</v>
      </c>
      <c r="B6619" s="509" t="s">
        <v>8073</v>
      </c>
      <c r="C6619" s="508" t="s">
        <v>150</v>
      </c>
      <c r="D6619" s="508">
        <v>63.18</v>
      </c>
      <c r="E6619" s="461" t="s">
        <v>174</v>
      </c>
    </row>
    <row r="6620" spans="1:5" ht="40.5" x14ac:dyDescent="0.25">
      <c r="A6620" s="508">
        <v>104236</v>
      </c>
      <c r="B6620" s="509" t="s">
        <v>8074</v>
      </c>
      <c r="C6620" s="508" t="s">
        <v>150</v>
      </c>
      <c r="D6620" s="508">
        <v>46.43</v>
      </c>
      <c r="E6620" s="461" t="s">
        <v>174</v>
      </c>
    </row>
    <row r="6621" spans="1:5" ht="40.5" x14ac:dyDescent="0.25">
      <c r="A6621" s="508">
        <v>104237</v>
      </c>
      <c r="B6621" s="509" t="s">
        <v>8075</v>
      </c>
      <c r="C6621" s="508" t="s">
        <v>150</v>
      </c>
      <c r="D6621" s="508">
        <v>60.37</v>
      </c>
      <c r="E6621" s="461" t="s">
        <v>174</v>
      </c>
    </row>
    <row r="6622" spans="1:5" ht="40.5" x14ac:dyDescent="0.25">
      <c r="A6622" s="508">
        <v>104238</v>
      </c>
      <c r="B6622" s="509" t="s">
        <v>8076</v>
      </c>
      <c r="C6622" s="508" t="s">
        <v>150</v>
      </c>
      <c r="D6622" s="508">
        <v>65.489999999999995</v>
      </c>
      <c r="E6622" s="461" t="s">
        <v>174</v>
      </c>
    </row>
    <row r="6623" spans="1:5" ht="40.5" x14ac:dyDescent="0.25">
      <c r="A6623" s="508">
        <v>104239</v>
      </c>
      <c r="B6623" s="509" t="s">
        <v>8077</v>
      </c>
      <c r="C6623" s="508" t="s">
        <v>150</v>
      </c>
      <c r="D6623" s="508">
        <v>86.2</v>
      </c>
      <c r="E6623" s="461" t="s">
        <v>174</v>
      </c>
    </row>
    <row r="6624" spans="1:5" ht="40.5" x14ac:dyDescent="0.25">
      <c r="A6624" s="508">
        <v>104240</v>
      </c>
      <c r="B6624" s="509" t="s">
        <v>8078</v>
      </c>
      <c r="C6624" s="508" t="s">
        <v>150</v>
      </c>
      <c r="D6624" s="508">
        <v>64.17</v>
      </c>
      <c r="E6624" s="461" t="s">
        <v>174</v>
      </c>
    </row>
    <row r="6625" spans="1:5" ht="40.5" x14ac:dyDescent="0.25">
      <c r="A6625" s="508">
        <v>104241</v>
      </c>
      <c r="B6625" s="509" t="s">
        <v>8079</v>
      </c>
      <c r="C6625" s="508" t="s">
        <v>150</v>
      </c>
      <c r="D6625" s="508">
        <v>67.75</v>
      </c>
      <c r="E6625" s="461" t="s">
        <v>174</v>
      </c>
    </row>
    <row r="6626" spans="1:5" ht="40.5" x14ac:dyDescent="0.25">
      <c r="A6626" s="508">
        <v>104242</v>
      </c>
      <c r="B6626" s="509" t="s">
        <v>8080</v>
      </c>
      <c r="C6626" s="508" t="s">
        <v>150</v>
      </c>
      <c r="D6626" s="510">
        <v>74.17</v>
      </c>
      <c r="E6626" s="461" t="s">
        <v>174</v>
      </c>
    </row>
    <row r="6627" spans="1:5" ht="40.5" x14ac:dyDescent="0.25">
      <c r="A6627" s="508">
        <v>104243</v>
      </c>
      <c r="B6627" s="509" t="s">
        <v>8081</v>
      </c>
      <c r="C6627" s="508" t="s">
        <v>150</v>
      </c>
      <c r="D6627" s="510">
        <v>100.82</v>
      </c>
      <c r="E6627" s="461" t="s">
        <v>174</v>
      </c>
    </row>
    <row r="6628" spans="1:5" ht="40.5" x14ac:dyDescent="0.25">
      <c r="A6628" s="508">
        <v>104244</v>
      </c>
      <c r="B6628" s="509" t="s">
        <v>8082</v>
      </c>
      <c r="C6628" s="508" t="s">
        <v>150</v>
      </c>
      <c r="D6628" s="510">
        <v>72.23</v>
      </c>
      <c r="E6628" s="461" t="s">
        <v>174</v>
      </c>
    </row>
    <row r="6629" spans="1:5" ht="40.5" x14ac:dyDescent="0.25">
      <c r="A6629" s="508">
        <v>104245</v>
      </c>
      <c r="B6629" s="509" t="s">
        <v>8083</v>
      </c>
      <c r="C6629" s="508" t="s">
        <v>150</v>
      </c>
      <c r="D6629" s="510">
        <v>74.06</v>
      </c>
      <c r="E6629" s="461" t="s">
        <v>174</v>
      </c>
    </row>
    <row r="6630" spans="1:5" ht="40.5" x14ac:dyDescent="0.25">
      <c r="A6630" s="508">
        <v>104246</v>
      </c>
      <c r="B6630" s="509" t="s">
        <v>8084</v>
      </c>
      <c r="C6630" s="508" t="s">
        <v>150</v>
      </c>
      <c r="D6630" s="510">
        <v>81.13</v>
      </c>
      <c r="E6630" s="461" t="s">
        <v>174</v>
      </c>
    </row>
    <row r="6631" spans="1:5" ht="40.5" x14ac:dyDescent="0.25">
      <c r="A6631" s="508">
        <v>104247</v>
      </c>
      <c r="B6631" s="509" t="s">
        <v>8085</v>
      </c>
      <c r="C6631" s="508" t="s">
        <v>150</v>
      </c>
      <c r="D6631" s="510">
        <v>107.47</v>
      </c>
      <c r="E6631" s="461" t="s">
        <v>174</v>
      </c>
    </row>
    <row r="6632" spans="1:5" ht="40.5" x14ac:dyDescent="0.25">
      <c r="A6632" s="508">
        <v>104248</v>
      </c>
      <c r="B6632" s="509" t="s">
        <v>8086</v>
      </c>
      <c r="C6632" s="508" t="s">
        <v>150</v>
      </c>
      <c r="D6632" s="508">
        <v>75.489999999999995</v>
      </c>
      <c r="E6632" s="461" t="s">
        <v>174</v>
      </c>
    </row>
    <row r="6633" spans="1:5" ht="40.5" x14ac:dyDescent="0.25">
      <c r="A6633" s="508">
        <v>104249</v>
      </c>
      <c r="B6633" s="509" t="s">
        <v>8087</v>
      </c>
      <c r="C6633" s="508" t="s">
        <v>150</v>
      </c>
      <c r="D6633" s="508">
        <v>80.23</v>
      </c>
      <c r="E6633" s="461" t="s">
        <v>174</v>
      </c>
    </row>
    <row r="6634" spans="1:5" ht="40.5" x14ac:dyDescent="0.25">
      <c r="A6634" s="508">
        <v>104250</v>
      </c>
      <c r="B6634" s="509" t="s">
        <v>8088</v>
      </c>
      <c r="C6634" s="508" t="s">
        <v>150</v>
      </c>
      <c r="D6634" s="508">
        <v>84.05</v>
      </c>
      <c r="E6634" s="461" t="s">
        <v>174</v>
      </c>
    </row>
    <row r="6635" spans="1:5" ht="40.5" x14ac:dyDescent="0.25">
      <c r="A6635" s="508">
        <v>104251</v>
      </c>
      <c r="B6635" s="509" t="s">
        <v>8089</v>
      </c>
      <c r="C6635" s="508" t="s">
        <v>150</v>
      </c>
      <c r="D6635" s="508">
        <v>96.18</v>
      </c>
      <c r="E6635" s="461" t="s">
        <v>174</v>
      </c>
    </row>
    <row r="6636" spans="1:5" ht="40.5" x14ac:dyDescent="0.25">
      <c r="A6636" s="508">
        <v>104252</v>
      </c>
      <c r="B6636" s="509" t="s">
        <v>8090</v>
      </c>
      <c r="C6636" s="508" t="s">
        <v>150</v>
      </c>
      <c r="D6636" s="508">
        <v>84.97</v>
      </c>
      <c r="E6636" s="461" t="s">
        <v>174</v>
      </c>
    </row>
    <row r="6637" spans="1:5" ht="40.5" x14ac:dyDescent="0.25">
      <c r="A6637" s="508">
        <v>104253</v>
      </c>
      <c r="B6637" s="509" t="s">
        <v>8091</v>
      </c>
      <c r="C6637" s="508" t="s">
        <v>150</v>
      </c>
      <c r="D6637" s="508">
        <v>96.81</v>
      </c>
      <c r="E6637" s="461" t="s">
        <v>174</v>
      </c>
    </row>
    <row r="6638" spans="1:5" ht="40.5" x14ac:dyDescent="0.25">
      <c r="A6638" s="508">
        <v>104254</v>
      </c>
      <c r="B6638" s="509" t="s">
        <v>8092</v>
      </c>
      <c r="C6638" s="508" t="s">
        <v>150</v>
      </c>
      <c r="D6638" s="508">
        <v>101.93</v>
      </c>
      <c r="E6638" s="461" t="s">
        <v>174</v>
      </c>
    </row>
    <row r="6639" spans="1:5" ht="40.5" x14ac:dyDescent="0.25">
      <c r="A6639" s="508">
        <v>104255</v>
      </c>
      <c r="B6639" s="509" t="s">
        <v>8093</v>
      </c>
      <c r="C6639" s="508" t="s">
        <v>150</v>
      </c>
      <c r="D6639" s="508">
        <v>119.2</v>
      </c>
      <c r="E6639" s="461" t="s">
        <v>174</v>
      </c>
    </row>
    <row r="6640" spans="1:5" ht="40.5" x14ac:dyDescent="0.25">
      <c r="A6640" s="508">
        <v>104256</v>
      </c>
      <c r="B6640" s="509" t="s">
        <v>8094</v>
      </c>
      <c r="C6640" s="508" t="s">
        <v>150</v>
      </c>
      <c r="D6640" s="508">
        <v>102.72</v>
      </c>
      <c r="E6640" s="461" t="s">
        <v>174</v>
      </c>
    </row>
    <row r="6641" spans="1:5" ht="40.5" x14ac:dyDescent="0.25">
      <c r="A6641" s="508">
        <v>104257</v>
      </c>
      <c r="B6641" s="509" t="s">
        <v>8095</v>
      </c>
      <c r="C6641" s="508" t="s">
        <v>150</v>
      </c>
      <c r="D6641" s="508">
        <v>104.19</v>
      </c>
      <c r="E6641" s="461" t="s">
        <v>174</v>
      </c>
    </row>
    <row r="6642" spans="1:5" ht="40.5" x14ac:dyDescent="0.25">
      <c r="A6642" s="508">
        <v>104258</v>
      </c>
      <c r="B6642" s="509" t="s">
        <v>8096</v>
      </c>
      <c r="C6642" s="508" t="s">
        <v>150</v>
      </c>
      <c r="D6642" s="508">
        <v>110.61</v>
      </c>
      <c r="E6642" s="461" t="s">
        <v>174</v>
      </c>
    </row>
    <row r="6643" spans="1:5" ht="40.5" x14ac:dyDescent="0.25">
      <c r="A6643" s="508">
        <v>104259</v>
      </c>
      <c r="B6643" s="509" t="s">
        <v>8097</v>
      </c>
      <c r="C6643" s="508" t="s">
        <v>150</v>
      </c>
      <c r="D6643" s="508">
        <v>133.82</v>
      </c>
      <c r="E6643" s="461" t="s">
        <v>174</v>
      </c>
    </row>
    <row r="6644" spans="1:5" ht="40.5" x14ac:dyDescent="0.25">
      <c r="A6644" s="508">
        <v>104260</v>
      </c>
      <c r="B6644" s="509" t="s">
        <v>8098</v>
      </c>
      <c r="C6644" s="508" t="s">
        <v>150</v>
      </c>
      <c r="D6644" s="508">
        <v>110.77</v>
      </c>
      <c r="E6644" s="461" t="s">
        <v>174</v>
      </c>
    </row>
    <row r="6645" spans="1:5" ht="40.5" x14ac:dyDescent="0.25">
      <c r="A6645" s="508">
        <v>104261</v>
      </c>
      <c r="B6645" s="509" t="s">
        <v>8099</v>
      </c>
      <c r="C6645" s="508" t="s">
        <v>150</v>
      </c>
      <c r="D6645" s="508">
        <v>133.93</v>
      </c>
      <c r="E6645" s="461" t="s">
        <v>174</v>
      </c>
    </row>
    <row r="6646" spans="1:5" ht="40.5" x14ac:dyDescent="0.25">
      <c r="A6646" s="508">
        <v>104262</v>
      </c>
      <c r="B6646" s="509" t="s">
        <v>8100</v>
      </c>
      <c r="C6646" s="508" t="s">
        <v>150</v>
      </c>
      <c r="D6646" s="508">
        <v>141</v>
      </c>
      <c r="E6646" s="461" t="s">
        <v>174</v>
      </c>
    </row>
    <row r="6647" spans="1:5" ht="40.5" x14ac:dyDescent="0.25">
      <c r="A6647" s="508">
        <v>104263</v>
      </c>
      <c r="B6647" s="509" t="s">
        <v>8101</v>
      </c>
      <c r="C6647" s="508" t="s">
        <v>150</v>
      </c>
      <c r="D6647" s="508">
        <v>155.51</v>
      </c>
      <c r="E6647" s="461" t="s">
        <v>174</v>
      </c>
    </row>
    <row r="6648" spans="1:5" ht="40.5" x14ac:dyDescent="0.25">
      <c r="A6648" s="508">
        <v>104264</v>
      </c>
      <c r="B6648" s="509" t="s">
        <v>8102</v>
      </c>
      <c r="C6648" s="508" t="s">
        <v>150</v>
      </c>
      <c r="D6648" s="508">
        <v>131.43</v>
      </c>
      <c r="E6648" s="461" t="s">
        <v>174</v>
      </c>
    </row>
    <row r="6649" spans="1:5" ht="27" x14ac:dyDescent="0.25">
      <c r="A6649" s="508">
        <v>104627</v>
      </c>
      <c r="B6649" s="509" t="s">
        <v>8103</v>
      </c>
      <c r="C6649" s="508" t="s">
        <v>150</v>
      </c>
      <c r="D6649" s="508">
        <v>19.46</v>
      </c>
      <c r="E6649" s="461" t="s">
        <v>174</v>
      </c>
    </row>
    <row r="6650" spans="1:5" ht="27" x14ac:dyDescent="0.25">
      <c r="A6650" s="508">
        <v>104628</v>
      </c>
      <c r="B6650" s="509" t="s">
        <v>8104</v>
      </c>
      <c r="C6650" s="508" t="s">
        <v>150</v>
      </c>
      <c r="D6650" s="508">
        <v>31.35</v>
      </c>
      <c r="E6650" s="461" t="s">
        <v>174</v>
      </c>
    </row>
    <row r="6651" spans="1:5" ht="27" x14ac:dyDescent="0.25">
      <c r="A6651" s="508">
        <v>104629</v>
      </c>
      <c r="B6651" s="509" t="s">
        <v>8105</v>
      </c>
      <c r="C6651" s="508" t="s">
        <v>150</v>
      </c>
      <c r="D6651" s="508">
        <v>38.18</v>
      </c>
      <c r="E6651" s="461" t="s">
        <v>174</v>
      </c>
    </row>
    <row r="6652" spans="1:5" ht="27" x14ac:dyDescent="0.25">
      <c r="A6652" s="508">
        <v>104630</v>
      </c>
      <c r="B6652" s="509" t="s">
        <v>8106</v>
      </c>
      <c r="C6652" s="508" t="s">
        <v>150</v>
      </c>
      <c r="D6652" s="508">
        <v>30.19</v>
      </c>
      <c r="E6652" s="461" t="s">
        <v>174</v>
      </c>
    </row>
    <row r="6653" spans="1:5" ht="27" x14ac:dyDescent="0.25">
      <c r="A6653" s="508">
        <v>104631</v>
      </c>
      <c r="B6653" s="509" t="s">
        <v>8107</v>
      </c>
      <c r="C6653" s="508" t="s">
        <v>150</v>
      </c>
      <c r="D6653" s="508">
        <v>42.08</v>
      </c>
      <c r="E6653" s="461" t="s">
        <v>174</v>
      </c>
    </row>
    <row r="6654" spans="1:5" ht="27" x14ac:dyDescent="0.25">
      <c r="A6654" s="508">
        <v>104632</v>
      </c>
      <c r="B6654" s="509" t="s">
        <v>8108</v>
      </c>
      <c r="C6654" s="508" t="s">
        <v>150</v>
      </c>
      <c r="D6654" s="508">
        <v>48.91</v>
      </c>
      <c r="E6654" s="461" t="s">
        <v>174</v>
      </c>
    </row>
    <row r="6655" spans="1:5" ht="27" x14ac:dyDescent="0.25">
      <c r="A6655" s="508">
        <v>104633</v>
      </c>
      <c r="B6655" s="509" t="s">
        <v>8109</v>
      </c>
      <c r="C6655" s="508" t="s">
        <v>150</v>
      </c>
      <c r="D6655" s="508">
        <v>27.44</v>
      </c>
      <c r="E6655" s="461" t="s">
        <v>174</v>
      </c>
    </row>
    <row r="6656" spans="1:5" ht="27" x14ac:dyDescent="0.25">
      <c r="A6656" s="508">
        <v>104634</v>
      </c>
      <c r="B6656" s="509" t="s">
        <v>8110</v>
      </c>
      <c r="C6656" s="508" t="s">
        <v>150</v>
      </c>
      <c r="D6656" s="508">
        <v>39.979999999999997</v>
      </c>
      <c r="E6656" s="461" t="s">
        <v>174</v>
      </c>
    </row>
    <row r="6657" spans="1:5" ht="27" x14ac:dyDescent="0.25">
      <c r="A6657" s="508">
        <v>104635</v>
      </c>
      <c r="B6657" s="509" t="s">
        <v>8111</v>
      </c>
      <c r="C6657" s="508" t="s">
        <v>150</v>
      </c>
      <c r="D6657" s="508">
        <v>56.55</v>
      </c>
      <c r="E6657" s="461" t="s">
        <v>174</v>
      </c>
    </row>
    <row r="6658" spans="1:5" ht="27" x14ac:dyDescent="0.25">
      <c r="A6658" s="508">
        <v>104636</v>
      </c>
      <c r="B6658" s="509" t="s">
        <v>8112</v>
      </c>
      <c r="C6658" s="508" t="s">
        <v>150</v>
      </c>
      <c r="D6658" s="508">
        <v>65.27</v>
      </c>
      <c r="E6658" s="461" t="s">
        <v>174</v>
      </c>
    </row>
    <row r="6659" spans="1:5" ht="40.5" x14ac:dyDescent="0.25">
      <c r="A6659" s="508">
        <v>104951</v>
      </c>
      <c r="B6659" s="509" t="s">
        <v>8113</v>
      </c>
      <c r="C6659" s="508" t="s">
        <v>150</v>
      </c>
      <c r="D6659" s="508">
        <v>39.119999999999997</v>
      </c>
      <c r="E6659" s="461" t="s">
        <v>174</v>
      </c>
    </row>
    <row r="6660" spans="1:5" ht="40.5" x14ac:dyDescent="0.25">
      <c r="A6660" s="508">
        <v>104952</v>
      </c>
      <c r="B6660" s="509" t="s">
        <v>8114</v>
      </c>
      <c r="C6660" s="508" t="s">
        <v>150</v>
      </c>
      <c r="D6660" s="508">
        <v>43.08</v>
      </c>
      <c r="E6660" s="461" t="s">
        <v>174</v>
      </c>
    </row>
    <row r="6661" spans="1:5" ht="40.5" x14ac:dyDescent="0.25">
      <c r="A6661" s="508">
        <v>104953</v>
      </c>
      <c r="B6661" s="509" t="s">
        <v>8115</v>
      </c>
      <c r="C6661" s="508" t="s">
        <v>150</v>
      </c>
      <c r="D6661" s="508">
        <v>56.05</v>
      </c>
      <c r="E6661" s="461" t="s">
        <v>174</v>
      </c>
    </row>
    <row r="6662" spans="1:5" ht="40.5" x14ac:dyDescent="0.25">
      <c r="A6662" s="508">
        <v>104954</v>
      </c>
      <c r="B6662" s="509" t="s">
        <v>8116</v>
      </c>
      <c r="C6662" s="508" t="s">
        <v>150</v>
      </c>
      <c r="D6662" s="508">
        <v>55.55</v>
      </c>
      <c r="E6662" s="461" t="s">
        <v>174</v>
      </c>
    </row>
    <row r="6663" spans="1:5" ht="40.5" x14ac:dyDescent="0.25">
      <c r="A6663" s="508">
        <v>104955</v>
      </c>
      <c r="B6663" s="509" t="s">
        <v>8117</v>
      </c>
      <c r="C6663" s="508" t="s">
        <v>150</v>
      </c>
      <c r="D6663" s="510">
        <v>48.29</v>
      </c>
      <c r="E6663" s="461" t="s">
        <v>174</v>
      </c>
    </row>
    <row r="6664" spans="1:5" ht="40.5" x14ac:dyDescent="0.25">
      <c r="A6664" s="508">
        <v>104956</v>
      </c>
      <c r="B6664" s="509" t="s">
        <v>8118</v>
      </c>
      <c r="C6664" s="508" t="s">
        <v>150</v>
      </c>
      <c r="D6664" s="510">
        <v>52.25</v>
      </c>
      <c r="E6664" s="461" t="s">
        <v>174</v>
      </c>
    </row>
    <row r="6665" spans="1:5" ht="40.5" x14ac:dyDescent="0.25">
      <c r="A6665" s="508">
        <v>104957</v>
      </c>
      <c r="B6665" s="509" t="s">
        <v>8119</v>
      </c>
      <c r="C6665" s="508" t="s">
        <v>150</v>
      </c>
      <c r="D6665" s="510">
        <v>47.19</v>
      </c>
      <c r="E6665" s="461" t="s">
        <v>174</v>
      </c>
    </row>
    <row r="6666" spans="1:5" ht="40.5" x14ac:dyDescent="0.25">
      <c r="A6666" s="508">
        <v>104958</v>
      </c>
      <c r="B6666" s="509" t="s">
        <v>8120</v>
      </c>
      <c r="C6666" s="508" t="s">
        <v>150</v>
      </c>
      <c r="D6666" s="510">
        <v>27</v>
      </c>
      <c r="E6666" s="461" t="s">
        <v>174</v>
      </c>
    </row>
    <row r="6667" spans="1:5" ht="27" x14ac:dyDescent="0.25">
      <c r="A6667" s="508">
        <v>104959</v>
      </c>
      <c r="B6667" s="509" t="s">
        <v>8121</v>
      </c>
      <c r="C6667" s="508" t="s">
        <v>150</v>
      </c>
      <c r="D6667" s="510">
        <v>29.53</v>
      </c>
      <c r="E6667" s="461" t="s">
        <v>174</v>
      </c>
    </row>
    <row r="6668" spans="1:5" ht="40.5" x14ac:dyDescent="0.25">
      <c r="A6668" s="508">
        <v>104960</v>
      </c>
      <c r="B6668" s="509" t="s">
        <v>8122</v>
      </c>
      <c r="C6668" s="508" t="s">
        <v>150</v>
      </c>
      <c r="D6668" s="510">
        <v>36.78</v>
      </c>
      <c r="E6668" s="461" t="s">
        <v>174</v>
      </c>
    </row>
    <row r="6669" spans="1:5" ht="40.5" x14ac:dyDescent="0.25">
      <c r="A6669" s="508">
        <v>104961</v>
      </c>
      <c r="B6669" s="509" t="s">
        <v>8123</v>
      </c>
      <c r="C6669" s="508" t="s">
        <v>150</v>
      </c>
      <c r="D6669" s="510">
        <v>58.97</v>
      </c>
      <c r="E6669" s="461" t="s">
        <v>174</v>
      </c>
    </row>
    <row r="6670" spans="1:5" ht="40.5" x14ac:dyDescent="0.25">
      <c r="A6670" s="508">
        <v>104962</v>
      </c>
      <c r="B6670" s="509" t="s">
        <v>8124</v>
      </c>
      <c r="C6670" s="508" t="s">
        <v>150</v>
      </c>
      <c r="D6670" s="508">
        <v>62.93</v>
      </c>
      <c r="E6670" s="461" t="s">
        <v>174</v>
      </c>
    </row>
    <row r="6671" spans="1:5" ht="40.5" x14ac:dyDescent="0.25">
      <c r="A6671" s="508">
        <v>104963</v>
      </c>
      <c r="B6671" s="509" t="s">
        <v>8125</v>
      </c>
      <c r="C6671" s="508" t="s">
        <v>150</v>
      </c>
      <c r="D6671" s="508">
        <v>53.73</v>
      </c>
      <c r="E6671" s="461" t="s">
        <v>174</v>
      </c>
    </row>
    <row r="6672" spans="1:5" ht="40.5" x14ac:dyDescent="0.25">
      <c r="A6672" s="508">
        <v>104964</v>
      </c>
      <c r="B6672" s="509" t="s">
        <v>8126</v>
      </c>
      <c r="C6672" s="508" t="s">
        <v>150</v>
      </c>
      <c r="D6672" s="508">
        <v>57.69</v>
      </c>
      <c r="E6672" s="461" t="s">
        <v>174</v>
      </c>
    </row>
    <row r="6673" spans="1:5" ht="40.5" x14ac:dyDescent="0.25">
      <c r="A6673" s="508">
        <v>104965</v>
      </c>
      <c r="B6673" s="509" t="s">
        <v>8127</v>
      </c>
      <c r="C6673" s="508" t="s">
        <v>150</v>
      </c>
      <c r="D6673" s="508">
        <v>51.59</v>
      </c>
      <c r="E6673" s="461" t="s">
        <v>174</v>
      </c>
    </row>
    <row r="6674" spans="1:5" ht="40.5" x14ac:dyDescent="0.25">
      <c r="A6674" s="508">
        <v>104966</v>
      </c>
      <c r="B6674" s="509" t="s">
        <v>8128</v>
      </c>
      <c r="C6674" s="508" t="s">
        <v>150</v>
      </c>
      <c r="D6674" s="508">
        <v>51.15</v>
      </c>
      <c r="E6674" s="461" t="s">
        <v>174</v>
      </c>
    </row>
    <row r="6675" spans="1:5" ht="40.5" x14ac:dyDescent="0.25">
      <c r="A6675" s="508">
        <v>104967</v>
      </c>
      <c r="B6675" s="509" t="s">
        <v>8129</v>
      </c>
      <c r="C6675" s="508" t="s">
        <v>150</v>
      </c>
      <c r="D6675" s="508">
        <v>44.66</v>
      </c>
      <c r="E6675" s="461" t="s">
        <v>174</v>
      </c>
    </row>
    <row r="6676" spans="1:5" ht="40.5" x14ac:dyDescent="0.25">
      <c r="A6676" s="508">
        <v>104968</v>
      </c>
      <c r="B6676" s="509" t="s">
        <v>8130</v>
      </c>
      <c r="C6676" s="508" t="s">
        <v>150</v>
      </c>
      <c r="D6676" s="508">
        <v>47.19</v>
      </c>
      <c r="E6676" s="461" t="s">
        <v>174</v>
      </c>
    </row>
    <row r="6677" spans="1:5" ht="40.5" x14ac:dyDescent="0.25">
      <c r="A6677" s="508">
        <v>104969</v>
      </c>
      <c r="B6677" s="509" t="s">
        <v>8131</v>
      </c>
      <c r="C6677" s="508" t="s">
        <v>150</v>
      </c>
      <c r="D6677" s="508">
        <v>39.409999999999997</v>
      </c>
      <c r="E6677" s="461" t="s">
        <v>174</v>
      </c>
    </row>
    <row r="6678" spans="1:5" ht="40.5" x14ac:dyDescent="0.25">
      <c r="A6678" s="508">
        <v>104970</v>
      </c>
      <c r="B6678" s="509" t="s">
        <v>8132</v>
      </c>
      <c r="C6678" s="508" t="s">
        <v>150</v>
      </c>
      <c r="D6678" s="508">
        <v>41.94</v>
      </c>
      <c r="E6678" s="461" t="s">
        <v>174</v>
      </c>
    </row>
    <row r="6679" spans="1:5" ht="40.5" x14ac:dyDescent="0.25">
      <c r="A6679" s="508">
        <v>104971</v>
      </c>
      <c r="B6679" s="509" t="s">
        <v>8133</v>
      </c>
      <c r="C6679" s="508" t="s">
        <v>150</v>
      </c>
      <c r="D6679" s="508">
        <v>37.29</v>
      </c>
      <c r="E6679" s="461" t="s">
        <v>174</v>
      </c>
    </row>
    <row r="6680" spans="1:5" ht="40.5" x14ac:dyDescent="0.25">
      <c r="A6680" s="508">
        <v>104972</v>
      </c>
      <c r="B6680" s="509" t="s">
        <v>8134</v>
      </c>
      <c r="C6680" s="508" t="s">
        <v>150</v>
      </c>
      <c r="D6680" s="508">
        <v>39.82</v>
      </c>
      <c r="E6680" s="461" t="s">
        <v>174</v>
      </c>
    </row>
    <row r="6681" spans="1:5" ht="40.5" x14ac:dyDescent="0.25">
      <c r="A6681" s="508">
        <v>104973</v>
      </c>
      <c r="B6681" s="509" t="s">
        <v>8135</v>
      </c>
      <c r="C6681" s="508" t="s">
        <v>150</v>
      </c>
      <c r="D6681" s="508">
        <v>33.99</v>
      </c>
      <c r="E6681" s="461" t="s">
        <v>174</v>
      </c>
    </row>
    <row r="6682" spans="1:5" ht="40.5" x14ac:dyDescent="0.25">
      <c r="A6682" s="508">
        <v>104974</v>
      </c>
      <c r="B6682" s="509" t="s">
        <v>8136</v>
      </c>
      <c r="C6682" s="508" t="s">
        <v>150</v>
      </c>
      <c r="D6682" s="508">
        <v>36.520000000000003</v>
      </c>
      <c r="E6682" s="461" t="s">
        <v>174</v>
      </c>
    </row>
    <row r="6683" spans="1:5" ht="40.5" x14ac:dyDescent="0.25">
      <c r="A6683" s="508">
        <v>104975</v>
      </c>
      <c r="B6683" s="509" t="s">
        <v>8137</v>
      </c>
      <c r="C6683" s="508" t="s">
        <v>150</v>
      </c>
      <c r="D6683" s="508">
        <v>32.89</v>
      </c>
      <c r="E6683" s="461" t="s">
        <v>174</v>
      </c>
    </row>
    <row r="6684" spans="1:5" ht="40.5" x14ac:dyDescent="0.25">
      <c r="A6684" s="508">
        <v>104976</v>
      </c>
      <c r="B6684" s="509" t="s">
        <v>8138</v>
      </c>
      <c r="C6684" s="508" t="s">
        <v>150</v>
      </c>
      <c r="D6684" s="510">
        <v>35.42</v>
      </c>
      <c r="E6684" s="461" t="s">
        <v>174</v>
      </c>
    </row>
    <row r="6685" spans="1:5" ht="27" x14ac:dyDescent="0.25">
      <c r="A6685" s="508">
        <v>104977</v>
      </c>
      <c r="B6685" s="509" t="s">
        <v>8139</v>
      </c>
      <c r="C6685" s="508" t="s">
        <v>150</v>
      </c>
      <c r="D6685" s="510">
        <v>56.22</v>
      </c>
      <c r="E6685" s="461" t="s">
        <v>174</v>
      </c>
    </row>
    <row r="6686" spans="1:5" ht="27" x14ac:dyDescent="0.25">
      <c r="A6686" s="508">
        <v>104978</v>
      </c>
      <c r="B6686" s="509" t="s">
        <v>8140</v>
      </c>
      <c r="C6686" s="508" t="s">
        <v>150</v>
      </c>
      <c r="D6686" s="510">
        <v>42.1</v>
      </c>
      <c r="E6686" s="461" t="s">
        <v>174</v>
      </c>
    </row>
    <row r="6687" spans="1:5" ht="27" x14ac:dyDescent="0.25">
      <c r="A6687" s="508">
        <v>105185</v>
      </c>
      <c r="B6687" s="509" t="s">
        <v>8141</v>
      </c>
      <c r="C6687" s="508" t="s">
        <v>150</v>
      </c>
      <c r="D6687" s="510">
        <v>178.01</v>
      </c>
      <c r="E6687" s="461" t="s">
        <v>174</v>
      </c>
    </row>
    <row r="6688" spans="1:5" ht="27" x14ac:dyDescent="0.25">
      <c r="A6688" s="508">
        <v>105186</v>
      </c>
      <c r="B6688" s="509" t="s">
        <v>8142</v>
      </c>
      <c r="C6688" s="508" t="s">
        <v>150</v>
      </c>
      <c r="D6688" s="510">
        <v>132.21</v>
      </c>
      <c r="E6688" s="461" t="s">
        <v>174</v>
      </c>
    </row>
    <row r="6689" spans="1:5" ht="27" x14ac:dyDescent="0.25">
      <c r="A6689" s="508">
        <v>105187</v>
      </c>
      <c r="B6689" s="509" t="s">
        <v>8143</v>
      </c>
      <c r="C6689" s="508" t="s">
        <v>150</v>
      </c>
      <c r="D6689" s="510">
        <v>171.79</v>
      </c>
      <c r="E6689" s="461" t="s">
        <v>174</v>
      </c>
    </row>
    <row r="6690" spans="1:5" ht="27" x14ac:dyDescent="0.25">
      <c r="A6690" s="508">
        <v>105188</v>
      </c>
      <c r="B6690" s="509" t="s">
        <v>8144</v>
      </c>
      <c r="C6690" s="508" t="s">
        <v>150</v>
      </c>
      <c r="D6690" s="510">
        <v>126.2</v>
      </c>
      <c r="E6690" s="461" t="s">
        <v>174</v>
      </c>
    </row>
    <row r="6691" spans="1:5" ht="27" x14ac:dyDescent="0.25">
      <c r="A6691" s="508">
        <v>87244</v>
      </c>
      <c r="B6691" s="509" t="s">
        <v>8145</v>
      </c>
      <c r="C6691" s="508" t="s">
        <v>150</v>
      </c>
      <c r="D6691" s="510">
        <v>191.21</v>
      </c>
      <c r="E6691" s="461" t="s">
        <v>174</v>
      </c>
    </row>
    <row r="6692" spans="1:5" ht="40.5" x14ac:dyDescent="0.25">
      <c r="A6692" s="508">
        <v>87245</v>
      </c>
      <c r="B6692" s="509" t="s">
        <v>8146</v>
      </c>
      <c r="C6692" s="508" t="s">
        <v>150</v>
      </c>
      <c r="D6692" s="510">
        <v>227.6</v>
      </c>
      <c r="E6692" s="461" t="s">
        <v>174</v>
      </c>
    </row>
    <row r="6693" spans="1:5" ht="27" x14ac:dyDescent="0.25">
      <c r="A6693" s="508">
        <v>87265</v>
      </c>
      <c r="B6693" s="509" t="s">
        <v>8147</v>
      </c>
      <c r="C6693" s="508" t="s">
        <v>150</v>
      </c>
      <c r="D6693" s="510">
        <v>59.14</v>
      </c>
      <c r="E6693" s="461" t="s">
        <v>174</v>
      </c>
    </row>
    <row r="6694" spans="1:5" ht="27" x14ac:dyDescent="0.25">
      <c r="A6694" s="508">
        <v>87267</v>
      </c>
      <c r="B6694" s="509" t="s">
        <v>8148</v>
      </c>
      <c r="C6694" s="508" t="s">
        <v>150</v>
      </c>
      <c r="D6694" s="510">
        <v>64.77</v>
      </c>
      <c r="E6694" s="461" t="s">
        <v>174</v>
      </c>
    </row>
    <row r="6695" spans="1:5" ht="27" x14ac:dyDescent="0.25">
      <c r="A6695" s="508">
        <v>87269</v>
      </c>
      <c r="B6695" s="509" t="s">
        <v>8149</v>
      </c>
      <c r="C6695" s="508" t="s">
        <v>150</v>
      </c>
      <c r="D6695" s="510">
        <v>63.44</v>
      </c>
      <c r="E6695" s="461" t="s">
        <v>174</v>
      </c>
    </row>
    <row r="6696" spans="1:5" ht="27" x14ac:dyDescent="0.25">
      <c r="A6696" s="508">
        <v>87271</v>
      </c>
      <c r="B6696" s="509" t="s">
        <v>8150</v>
      </c>
      <c r="C6696" s="508" t="s">
        <v>150</v>
      </c>
      <c r="D6696" s="510">
        <v>69.150000000000006</v>
      </c>
      <c r="E6696" s="461" t="s">
        <v>174</v>
      </c>
    </row>
    <row r="6697" spans="1:5" ht="27" x14ac:dyDescent="0.25">
      <c r="A6697" s="508">
        <v>87273</v>
      </c>
      <c r="B6697" s="509" t="s">
        <v>8151</v>
      </c>
      <c r="C6697" s="508" t="s">
        <v>150</v>
      </c>
      <c r="D6697" s="510">
        <v>66.47</v>
      </c>
      <c r="E6697" s="461" t="s">
        <v>174</v>
      </c>
    </row>
    <row r="6698" spans="1:5" ht="27" x14ac:dyDescent="0.25">
      <c r="A6698" s="508">
        <v>87275</v>
      </c>
      <c r="B6698" s="509" t="s">
        <v>8152</v>
      </c>
      <c r="C6698" s="508" t="s">
        <v>150</v>
      </c>
      <c r="D6698" s="510">
        <v>74.03</v>
      </c>
      <c r="E6698" s="461" t="s">
        <v>174</v>
      </c>
    </row>
    <row r="6699" spans="1:5" ht="27" x14ac:dyDescent="0.25">
      <c r="A6699" s="508">
        <v>88788</v>
      </c>
      <c r="B6699" s="509" t="s">
        <v>8153</v>
      </c>
      <c r="C6699" s="508" t="s">
        <v>150</v>
      </c>
      <c r="D6699" s="510">
        <v>266.32</v>
      </c>
      <c r="E6699" s="461" t="s">
        <v>174</v>
      </c>
    </row>
    <row r="6700" spans="1:5" ht="40.5" x14ac:dyDescent="0.25">
      <c r="A6700" s="508">
        <v>88789</v>
      </c>
      <c r="B6700" s="509" t="s">
        <v>8154</v>
      </c>
      <c r="C6700" s="508" t="s">
        <v>150</v>
      </c>
      <c r="D6700" s="510">
        <v>318.33</v>
      </c>
      <c r="E6700" s="461" t="s">
        <v>174</v>
      </c>
    </row>
    <row r="6701" spans="1:5" ht="40.5" x14ac:dyDescent="0.25">
      <c r="A6701" s="508">
        <v>93393</v>
      </c>
      <c r="B6701" s="509" t="s">
        <v>8155</v>
      </c>
      <c r="C6701" s="508" t="s">
        <v>150</v>
      </c>
      <c r="D6701" s="510">
        <v>50.71</v>
      </c>
      <c r="E6701" s="461" t="s">
        <v>174</v>
      </c>
    </row>
    <row r="6702" spans="1:5" ht="40.5" x14ac:dyDescent="0.25">
      <c r="A6702" s="508">
        <v>93395</v>
      </c>
      <c r="B6702" s="509" t="s">
        <v>8156</v>
      </c>
      <c r="C6702" s="508" t="s">
        <v>150</v>
      </c>
      <c r="D6702" s="510">
        <v>56.29</v>
      </c>
      <c r="E6702" s="461" t="s">
        <v>174</v>
      </c>
    </row>
    <row r="6703" spans="1:5" ht="40.5" x14ac:dyDescent="0.25">
      <c r="A6703" s="508">
        <v>99195</v>
      </c>
      <c r="B6703" s="509" t="s">
        <v>8157</v>
      </c>
      <c r="C6703" s="508" t="s">
        <v>150</v>
      </c>
      <c r="D6703" s="510">
        <v>57.29</v>
      </c>
      <c r="E6703" s="461" t="s">
        <v>174</v>
      </c>
    </row>
    <row r="6704" spans="1:5" ht="40.5" x14ac:dyDescent="0.25">
      <c r="A6704" s="508">
        <v>99198</v>
      </c>
      <c r="B6704" s="509" t="s">
        <v>8158</v>
      </c>
      <c r="C6704" s="508" t="s">
        <v>150</v>
      </c>
      <c r="D6704" s="510">
        <v>62.87</v>
      </c>
      <c r="E6704" s="461" t="s">
        <v>174</v>
      </c>
    </row>
    <row r="6705" spans="1:5" ht="27" x14ac:dyDescent="0.25">
      <c r="A6705" s="508">
        <v>104611</v>
      </c>
      <c r="B6705" s="509" t="s">
        <v>8159</v>
      </c>
      <c r="C6705" s="508" t="s">
        <v>150</v>
      </c>
      <c r="D6705" s="510">
        <v>80.41</v>
      </c>
      <c r="E6705" s="461" t="s">
        <v>174</v>
      </c>
    </row>
    <row r="6706" spans="1:5" ht="27" x14ac:dyDescent="0.25">
      <c r="A6706" s="508">
        <v>104612</v>
      </c>
      <c r="B6706" s="509" t="s">
        <v>8160</v>
      </c>
      <c r="C6706" s="508" t="s">
        <v>150</v>
      </c>
      <c r="D6706" s="510">
        <v>81.319999999999993</v>
      </c>
      <c r="E6706" s="461" t="s">
        <v>174</v>
      </c>
    </row>
    <row r="6707" spans="1:5" ht="40.5" x14ac:dyDescent="0.25">
      <c r="A6707" s="508">
        <v>104613</v>
      </c>
      <c r="B6707" s="509" t="s">
        <v>8161</v>
      </c>
      <c r="C6707" s="508" t="s">
        <v>150</v>
      </c>
      <c r="D6707" s="510">
        <v>62.88</v>
      </c>
      <c r="E6707" s="461" t="s">
        <v>174</v>
      </c>
    </row>
    <row r="6708" spans="1:5" ht="27" x14ac:dyDescent="0.25">
      <c r="A6708" s="508">
        <v>104614</v>
      </c>
      <c r="B6708" s="509" t="s">
        <v>8162</v>
      </c>
      <c r="C6708" s="508" t="s">
        <v>150</v>
      </c>
      <c r="D6708" s="510">
        <v>70.22</v>
      </c>
      <c r="E6708" s="461" t="s">
        <v>174</v>
      </c>
    </row>
    <row r="6709" spans="1:5" ht="27" x14ac:dyDescent="0.25">
      <c r="A6709" s="508">
        <v>104615</v>
      </c>
      <c r="B6709" s="509" t="s">
        <v>8163</v>
      </c>
      <c r="C6709" s="508" t="s">
        <v>150</v>
      </c>
      <c r="D6709" s="510">
        <v>187.08</v>
      </c>
      <c r="E6709" s="461" t="s">
        <v>174</v>
      </c>
    </row>
    <row r="6710" spans="1:5" ht="40.5" x14ac:dyDescent="0.25">
      <c r="A6710" s="508">
        <v>104616</v>
      </c>
      <c r="B6710" s="509" t="s">
        <v>8164</v>
      </c>
      <c r="C6710" s="508" t="s">
        <v>150</v>
      </c>
      <c r="D6710" s="508">
        <v>264.8</v>
      </c>
      <c r="E6710" s="461" t="s">
        <v>174</v>
      </c>
    </row>
    <row r="6711" spans="1:5" ht="27" x14ac:dyDescent="0.25">
      <c r="A6711" s="508">
        <v>104617</v>
      </c>
      <c r="B6711" s="509" t="s">
        <v>8165</v>
      </c>
      <c r="C6711" s="508" t="s">
        <v>150</v>
      </c>
      <c r="D6711" s="508">
        <v>198.48</v>
      </c>
      <c r="E6711" s="461" t="s">
        <v>174</v>
      </c>
    </row>
    <row r="6712" spans="1:5" ht="27" x14ac:dyDescent="0.25">
      <c r="A6712" s="508">
        <v>104618</v>
      </c>
      <c r="B6712" s="509" t="s">
        <v>8166</v>
      </c>
      <c r="C6712" s="508" t="s">
        <v>150</v>
      </c>
      <c r="D6712" s="508">
        <v>276.2</v>
      </c>
      <c r="E6712" s="461" t="s">
        <v>174</v>
      </c>
    </row>
    <row r="6713" spans="1:5" ht="27" x14ac:dyDescent="0.25">
      <c r="A6713" s="508">
        <v>104619</v>
      </c>
      <c r="B6713" s="509" t="s">
        <v>8167</v>
      </c>
      <c r="C6713" s="508" t="s">
        <v>5</v>
      </c>
      <c r="D6713" s="508">
        <v>17.37</v>
      </c>
      <c r="E6713" s="461" t="s">
        <v>174</v>
      </c>
    </row>
    <row r="6714" spans="1:5" ht="27" x14ac:dyDescent="0.25">
      <c r="A6714" s="508">
        <v>101965</v>
      </c>
      <c r="B6714" s="509" t="s">
        <v>3163</v>
      </c>
      <c r="C6714" s="508" t="s">
        <v>5</v>
      </c>
      <c r="D6714" s="508">
        <v>117.98</v>
      </c>
      <c r="E6714" s="461" t="s">
        <v>174</v>
      </c>
    </row>
    <row r="6715" spans="1:5" ht="27" x14ac:dyDescent="0.25">
      <c r="A6715" s="508">
        <v>101966</v>
      </c>
      <c r="B6715" s="509" t="s">
        <v>3164</v>
      </c>
      <c r="C6715" s="508" t="s">
        <v>5</v>
      </c>
      <c r="D6715" s="508">
        <v>144.15</v>
      </c>
      <c r="E6715" s="461" t="s">
        <v>174</v>
      </c>
    </row>
    <row r="6716" spans="1:5" ht="15" x14ac:dyDescent="0.25">
      <c r="A6716" s="508">
        <v>101979</v>
      </c>
      <c r="B6716" s="509" t="s">
        <v>3165</v>
      </c>
      <c r="C6716" s="508" t="s">
        <v>5</v>
      </c>
      <c r="D6716" s="508">
        <v>38.200000000000003</v>
      </c>
      <c r="E6716" s="461" t="s">
        <v>174</v>
      </c>
    </row>
    <row r="6717" spans="1:5" ht="27" x14ac:dyDescent="0.25">
      <c r="A6717" s="508">
        <v>96112</v>
      </c>
      <c r="B6717" s="509" t="s">
        <v>8168</v>
      </c>
      <c r="C6717" s="508" t="s">
        <v>150</v>
      </c>
      <c r="D6717" s="508">
        <v>133.97999999999999</v>
      </c>
      <c r="E6717" s="461" t="s">
        <v>174</v>
      </c>
    </row>
    <row r="6718" spans="1:5" ht="15" x14ac:dyDescent="0.25">
      <c r="A6718" s="508">
        <v>96122</v>
      </c>
      <c r="B6718" s="509" t="s">
        <v>8169</v>
      </c>
      <c r="C6718" s="508" t="s">
        <v>5</v>
      </c>
      <c r="D6718" s="508">
        <v>45.58</v>
      </c>
      <c r="E6718" s="461" t="s">
        <v>174</v>
      </c>
    </row>
    <row r="6719" spans="1:5" ht="27" x14ac:dyDescent="0.25">
      <c r="A6719" s="508">
        <v>104756</v>
      </c>
      <c r="B6719" s="509" t="s">
        <v>8170</v>
      </c>
      <c r="C6719" s="508" t="s">
        <v>150</v>
      </c>
      <c r="D6719" s="508">
        <v>185.36</v>
      </c>
      <c r="E6719" s="461" t="s">
        <v>174</v>
      </c>
    </row>
    <row r="6720" spans="1:5" ht="15" x14ac:dyDescent="0.25">
      <c r="A6720" s="508">
        <v>96109</v>
      </c>
      <c r="B6720" s="509" t="s">
        <v>8171</v>
      </c>
      <c r="C6720" s="508" t="s">
        <v>150</v>
      </c>
      <c r="D6720" s="508">
        <v>53.53</v>
      </c>
      <c r="E6720" s="461" t="s">
        <v>174</v>
      </c>
    </row>
    <row r="6721" spans="1:5" ht="27" x14ac:dyDescent="0.25">
      <c r="A6721" s="508">
        <v>96110</v>
      </c>
      <c r="B6721" s="509" t="s">
        <v>8172</v>
      </c>
      <c r="C6721" s="508" t="s">
        <v>150</v>
      </c>
      <c r="D6721" s="508">
        <v>69.08</v>
      </c>
      <c r="E6721" s="461" t="s">
        <v>174</v>
      </c>
    </row>
    <row r="6722" spans="1:5" ht="15" x14ac:dyDescent="0.25">
      <c r="A6722" s="508">
        <v>96113</v>
      </c>
      <c r="B6722" s="509" t="s">
        <v>8173</v>
      </c>
      <c r="C6722" s="508" t="s">
        <v>150</v>
      </c>
      <c r="D6722" s="508">
        <v>47.96</v>
      </c>
      <c r="E6722" s="461" t="s">
        <v>174</v>
      </c>
    </row>
    <row r="6723" spans="1:5" ht="27" x14ac:dyDescent="0.25">
      <c r="A6723" s="508">
        <v>96114</v>
      </c>
      <c r="B6723" s="509" t="s">
        <v>8174</v>
      </c>
      <c r="C6723" s="508" t="s">
        <v>150</v>
      </c>
      <c r="D6723" s="508">
        <v>69.709999999999994</v>
      </c>
      <c r="E6723" s="461" t="s">
        <v>174</v>
      </c>
    </row>
    <row r="6724" spans="1:5" ht="15" x14ac:dyDescent="0.25">
      <c r="A6724" s="508">
        <v>96120</v>
      </c>
      <c r="B6724" s="509" t="s">
        <v>8175</v>
      </c>
      <c r="C6724" s="508" t="s">
        <v>5</v>
      </c>
      <c r="D6724" s="508">
        <v>3.06</v>
      </c>
      <c r="E6724" s="461" t="s">
        <v>174</v>
      </c>
    </row>
    <row r="6725" spans="1:5" ht="15" x14ac:dyDescent="0.25">
      <c r="A6725" s="508">
        <v>96123</v>
      </c>
      <c r="B6725" s="509" t="s">
        <v>8176</v>
      </c>
      <c r="C6725" s="508" t="s">
        <v>5</v>
      </c>
      <c r="D6725" s="508">
        <v>27.29</v>
      </c>
      <c r="E6725" s="461" t="s">
        <v>174</v>
      </c>
    </row>
    <row r="6726" spans="1:5" ht="15" x14ac:dyDescent="0.25">
      <c r="A6726" s="508">
        <v>99054</v>
      </c>
      <c r="B6726" s="509" t="s">
        <v>8177</v>
      </c>
      <c r="C6726" s="508" t="s">
        <v>150</v>
      </c>
      <c r="D6726" s="508">
        <v>61.72</v>
      </c>
      <c r="E6726" s="461" t="s">
        <v>174</v>
      </c>
    </row>
    <row r="6727" spans="1:5" ht="27" x14ac:dyDescent="0.25">
      <c r="A6727" s="508">
        <v>96111</v>
      </c>
      <c r="B6727" s="509" t="s">
        <v>8178</v>
      </c>
      <c r="C6727" s="508" t="s">
        <v>150</v>
      </c>
      <c r="D6727" s="508">
        <v>53.5</v>
      </c>
      <c r="E6727" s="461" t="s">
        <v>174</v>
      </c>
    </row>
    <row r="6728" spans="1:5" ht="27" x14ac:dyDescent="0.25">
      <c r="A6728" s="508">
        <v>96116</v>
      </c>
      <c r="B6728" s="509" t="s">
        <v>8179</v>
      </c>
      <c r="C6728" s="508" t="s">
        <v>150</v>
      </c>
      <c r="D6728" s="508">
        <v>55.73</v>
      </c>
      <c r="E6728" s="461" t="s">
        <v>174</v>
      </c>
    </row>
    <row r="6729" spans="1:5" ht="15" x14ac:dyDescent="0.25">
      <c r="A6729" s="508">
        <v>96121</v>
      </c>
      <c r="B6729" s="509" t="s">
        <v>8180</v>
      </c>
      <c r="C6729" s="508" t="s">
        <v>5</v>
      </c>
      <c r="D6729" s="508">
        <v>10.57</v>
      </c>
      <c r="E6729" s="461" t="s">
        <v>174</v>
      </c>
    </row>
    <row r="6730" spans="1:5" ht="27" x14ac:dyDescent="0.25">
      <c r="A6730" s="508">
        <v>96485</v>
      </c>
      <c r="B6730" s="509" t="s">
        <v>8181</v>
      </c>
      <c r="C6730" s="508" t="s">
        <v>150</v>
      </c>
      <c r="D6730" s="508">
        <v>60.66</v>
      </c>
      <c r="E6730" s="461" t="s">
        <v>174</v>
      </c>
    </row>
    <row r="6731" spans="1:5" ht="27" x14ac:dyDescent="0.25">
      <c r="A6731" s="508">
        <v>96486</v>
      </c>
      <c r="B6731" s="509" t="s">
        <v>8182</v>
      </c>
      <c r="C6731" s="508" t="s">
        <v>150</v>
      </c>
      <c r="D6731" s="508">
        <v>62.89</v>
      </c>
      <c r="E6731" s="461" t="s">
        <v>174</v>
      </c>
    </row>
    <row r="6732" spans="1:5" ht="40.5" x14ac:dyDescent="0.25">
      <c r="A6732" s="508">
        <v>91515</v>
      </c>
      <c r="B6732" s="509" t="s">
        <v>8183</v>
      </c>
      <c r="C6732" s="508" t="s">
        <v>150</v>
      </c>
      <c r="D6732" s="508">
        <v>6.97</v>
      </c>
      <c r="E6732" s="461" t="s">
        <v>174</v>
      </c>
    </row>
    <row r="6733" spans="1:5" ht="40.5" x14ac:dyDescent="0.25">
      <c r="A6733" s="508">
        <v>91519</v>
      </c>
      <c r="B6733" s="509" t="s">
        <v>8184</v>
      </c>
      <c r="C6733" s="508" t="s">
        <v>150</v>
      </c>
      <c r="D6733" s="508">
        <v>9.39</v>
      </c>
      <c r="E6733" s="461" t="s">
        <v>174</v>
      </c>
    </row>
    <row r="6734" spans="1:5" ht="40.5" x14ac:dyDescent="0.25">
      <c r="A6734" s="508">
        <v>91520</v>
      </c>
      <c r="B6734" s="509" t="s">
        <v>8185</v>
      </c>
      <c r="C6734" s="508" t="s">
        <v>150</v>
      </c>
      <c r="D6734" s="508">
        <v>2.6</v>
      </c>
      <c r="E6734" s="461" t="s">
        <v>174</v>
      </c>
    </row>
    <row r="6735" spans="1:5" ht="27" x14ac:dyDescent="0.25">
      <c r="A6735" s="508">
        <v>91522</v>
      </c>
      <c r="B6735" s="509" t="s">
        <v>8186</v>
      </c>
      <c r="C6735" s="508" t="s">
        <v>150</v>
      </c>
      <c r="D6735" s="508">
        <v>3.6</v>
      </c>
      <c r="E6735" s="461" t="s">
        <v>174</v>
      </c>
    </row>
    <row r="6736" spans="1:5" ht="40.5" x14ac:dyDescent="0.25">
      <c r="A6736" s="508">
        <v>91525</v>
      </c>
      <c r="B6736" s="509" t="s">
        <v>8187</v>
      </c>
      <c r="C6736" s="508" t="s">
        <v>150</v>
      </c>
      <c r="D6736" s="508">
        <v>7.72</v>
      </c>
      <c r="E6736" s="461" t="s">
        <v>174</v>
      </c>
    </row>
    <row r="6737" spans="1:5" ht="27" x14ac:dyDescent="0.25">
      <c r="A6737" s="508">
        <v>104412</v>
      </c>
      <c r="B6737" s="509" t="s">
        <v>8188</v>
      </c>
      <c r="C6737" s="508" t="s">
        <v>150</v>
      </c>
      <c r="D6737" s="508">
        <v>3.22</v>
      </c>
      <c r="E6737" s="461" t="s">
        <v>174</v>
      </c>
    </row>
    <row r="6738" spans="1:5" ht="27" x14ac:dyDescent="0.25">
      <c r="A6738" s="508">
        <v>104413</v>
      </c>
      <c r="B6738" s="509" t="s">
        <v>8189</v>
      </c>
      <c r="C6738" s="508" t="s">
        <v>150</v>
      </c>
      <c r="D6738" s="508">
        <v>5.69</v>
      </c>
      <c r="E6738" s="461" t="s">
        <v>174</v>
      </c>
    </row>
    <row r="6739" spans="1:5" ht="40.5" x14ac:dyDescent="0.25">
      <c r="A6739" s="508">
        <v>104414</v>
      </c>
      <c r="B6739" s="509" t="s">
        <v>8190</v>
      </c>
      <c r="C6739" s="508" t="s">
        <v>150</v>
      </c>
      <c r="D6739" s="508">
        <v>6.87</v>
      </c>
      <c r="E6739" s="461" t="s">
        <v>174</v>
      </c>
    </row>
    <row r="6740" spans="1:5" ht="40.5" x14ac:dyDescent="0.25">
      <c r="A6740" s="508">
        <v>104415</v>
      </c>
      <c r="B6740" s="509" t="s">
        <v>8191</v>
      </c>
      <c r="C6740" s="508" t="s">
        <v>150</v>
      </c>
      <c r="D6740" s="508">
        <v>12.41</v>
      </c>
      <c r="E6740" s="461" t="s">
        <v>174</v>
      </c>
    </row>
    <row r="6741" spans="1:5" ht="40.5" x14ac:dyDescent="0.25">
      <c r="A6741" s="508">
        <v>104416</v>
      </c>
      <c r="B6741" s="509" t="s">
        <v>8192</v>
      </c>
      <c r="C6741" s="508" t="s">
        <v>150</v>
      </c>
      <c r="D6741" s="508">
        <v>2.2200000000000002</v>
      </c>
      <c r="E6741" s="461" t="s">
        <v>174</v>
      </c>
    </row>
    <row r="6742" spans="1:5" ht="40.5" x14ac:dyDescent="0.25">
      <c r="A6742" s="508">
        <v>104417</v>
      </c>
      <c r="B6742" s="509" t="s">
        <v>8193</v>
      </c>
      <c r="C6742" s="508" t="s">
        <v>150</v>
      </c>
      <c r="D6742" s="508">
        <v>4.6900000000000004</v>
      </c>
      <c r="E6742" s="461" t="s">
        <v>174</v>
      </c>
    </row>
    <row r="6743" spans="1:5" ht="40.5" x14ac:dyDescent="0.25">
      <c r="A6743" s="508">
        <v>104418</v>
      </c>
      <c r="B6743" s="509" t="s">
        <v>8194</v>
      </c>
      <c r="C6743" s="508" t="s">
        <v>150</v>
      </c>
      <c r="D6743" s="508">
        <v>2.99</v>
      </c>
      <c r="E6743" s="461" t="s">
        <v>174</v>
      </c>
    </row>
    <row r="6744" spans="1:5" ht="40.5" x14ac:dyDescent="0.25">
      <c r="A6744" s="508">
        <v>104419</v>
      </c>
      <c r="B6744" s="509" t="s">
        <v>8195</v>
      </c>
      <c r="C6744" s="508" t="s">
        <v>150</v>
      </c>
      <c r="D6744" s="508">
        <v>12.57</v>
      </c>
      <c r="E6744" s="461" t="s">
        <v>174</v>
      </c>
    </row>
    <row r="6745" spans="1:5" ht="40.5" x14ac:dyDescent="0.25">
      <c r="A6745" s="508">
        <v>104420</v>
      </c>
      <c r="B6745" s="509" t="s">
        <v>8196</v>
      </c>
      <c r="C6745" s="508" t="s">
        <v>150</v>
      </c>
      <c r="D6745" s="508">
        <v>11.33</v>
      </c>
      <c r="E6745" s="461" t="s">
        <v>174</v>
      </c>
    </row>
    <row r="6746" spans="1:5" ht="40.5" x14ac:dyDescent="0.25">
      <c r="A6746" s="508">
        <v>104421</v>
      </c>
      <c r="B6746" s="509" t="s">
        <v>8197</v>
      </c>
      <c r="C6746" s="508" t="s">
        <v>150</v>
      </c>
      <c r="D6746" s="508">
        <v>14.9</v>
      </c>
      <c r="E6746" s="461" t="s">
        <v>174</v>
      </c>
    </row>
    <row r="6747" spans="1:5" ht="40.5" x14ac:dyDescent="0.25">
      <c r="A6747" s="508">
        <v>104422</v>
      </c>
      <c r="B6747" s="509" t="s">
        <v>8198</v>
      </c>
      <c r="C6747" s="508" t="s">
        <v>150</v>
      </c>
      <c r="D6747" s="508">
        <v>8.25</v>
      </c>
      <c r="E6747" s="461" t="s">
        <v>174</v>
      </c>
    </row>
    <row r="6748" spans="1:5" ht="40.5" x14ac:dyDescent="0.25">
      <c r="A6748" s="508">
        <v>104423</v>
      </c>
      <c r="B6748" s="509" t="s">
        <v>8199</v>
      </c>
      <c r="C6748" s="508" t="s">
        <v>150</v>
      </c>
      <c r="D6748" s="508">
        <v>24.34</v>
      </c>
      <c r="E6748" s="461" t="s">
        <v>174</v>
      </c>
    </row>
    <row r="6749" spans="1:5" ht="40.5" x14ac:dyDescent="0.25">
      <c r="A6749" s="508">
        <v>104424</v>
      </c>
      <c r="B6749" s="509" t="s">
        <v>8200</v>
      </c>
      <c r="C6749" s="508" t="s">
        <v>150</v>
      </c>
      <c r="D6749" s="508">
        <v>22.33</v>
      </c>
      <c r="E6749" s="461" t="s">
        <v>174</v>
      </c>
    </row>
    <row r="6750" spans="1:5" ht="40.5" x14ac:dyDescent="0.25">
      <c r="A6750" s="508">
        <v>104425</v>
      </c>
      <c r="B6750" s="509" t="s">
        <v>8201</v>
      </c>
      <c r="C6750" s="508" t="s">
        <v>150</v>
      </c>
      <c r="D6750" s="508">
        <v>19</v>
      </c>
      <c r="E6750" s="461" t="s">
        <v>174</v>
      </c>
    </row>
    <row r="6751" spans="1:5" ht="40.5" x14ac:dyDescent="0.25">
      <c r="A6751" s="508">
        <v>87280</v>
      </c>
      <c r="B6751" s="509" t="s">
        <v>1780</v>
      </c>
      <c r="C6751" s="508" t="s">
        <v>163</v>
      </c>
      <c r="D6751" s="508">
        <v>544.63</v>
      </c>
      <c r="E6751" s="461" t="s">
        <v>174</v>
      </c>
    </row>
    <row r="6752" spans="1:5" ht="40.5" x14ac:dyDescent="0.25">
      <c r="A6752" s="508">
        <v>87281</v>
      </c>
      <c r="B6752" s="509" t="s">
        <v>1781</v>
      </c>
      <c r="C6752" s="508" t="s">
        <v>163</v>
      </c>
      <c r="D6752" s="508">
        <v>534.25</v>
      </c>
      <c r="E6752" s="461" t="s">
        <v>174</v>
      </c>
    </row>
    <row r="6753" spans="1:5" ht="40.5" x14ac:dyDescent="0.25">
      <c r="A6753" s="508">
        <v>87283</v>
      </c>
      <c r="B6753" s="509" t="s">
        <v>1782</v>
      </c>
      <c r="C6753" s="508" t="s">
        <v>163</v>
      </c>
      <c r="D6753" s="508">
        <v>552.11</v>
      </c>
      <c r="E6753" s="461" t="s">
        <v>174</v>
      </c>
    </row>
    <row r="6754" spans="1:5" ht="40.5" x14ac:dyDescent="0.25">
      <c r="A6754" s="508">
        <v>87284</v>
      </c>
      <c r="B6754" s="509" t="s">
        <v>1783</v>
      </c>
      <c r="C6754" s="508" t="s">
        <v>163</v>
      </c>
      <c r="D6754" s="508">
        <v>540.98</v>
      </c>
      <c r="E6754" s="461" t="s">
        <v>174</v>
      </c>
    </row>
    <row r="6755" spans="1:5" ht="40.5" x14ac:dyDescent="0.25">
      <c r="A6755" s="508">
        <v>87286</v>
      </c>
      <c r="B6755" s="509" t="s">
        <v>1784</v>
      </c>
      <c r="C6755" s="508" t="s">
        <v>163</v>
      </c>
      <c r="D6755" s="508">
        <v>714.93</v>
      </c>
      <c r="E6755" s="461" t="s">
        <v>174</v>
      </c>
    </row>
    <row r="6756" spans="1:5" ht="40.5" x14ac:dyDescent="0.25">
      <c r="A6756" s="508">
        <v>87287</v>
      </c>
      <c r="B6756" s="509" t="s">
        <v>1785</v>
      </c>
      <c r="C6756" s="508" t="s">
        <v>163</v>
      </c>
      <c r="D6756" s="508">
        <v>692.84</v>
      </c>
      <c r="E6756" s="461" t="s">
        <v>174</v>
      </c>
    </row>
    <row r="6757" spans="1:5" ht="40.5" x14ac:dyDescent="0.25">
      <c r="A6757" s="508">
        <v>87289</v>
      </c>
      <c r="B6757" s="509" t="s">
        <v>1786</v>
      </c>
      <c r="C6757" s="508" t="s">
        <v>163</v>
      </c>
      <c r="D6757" s="510">
        <v>711.67</v>
      </c>
      <c r="E6757" s="461" t="s">
        <v>174</v>
      </c>
    </row>
    <row r="6758" spans="1:5" ht="40.5" x14ac:dyDescent="0.25">
      <c r="A6758" s="508">
        <v>87290</v>
      </c>
      <c r="B6758" s="509" t="s">
        <v>1787</v>
      </c>
      <c r="C6758" s="508" t="s">
        <v>163</v>
      </c>
      <c r="D6758" s="510">
        <v>698.13</v>
      </c>
      <c r="E6758" s="461" t="s">
        <v>174</v>
      </c>
    </row>
    <row r="6759" spans="1:5" ht="40.5" x14ac:dyDescent="0.25">
      <c r="A6759" s="508">
        <v>87292</v>
      </c>
      <c r="B6759" s="509" t="s">
        <v>1788</v>
      </c>
      <c r="C6759" s="508" t="s">
        <v>163</v>
      </c>
      <c r="D6759" s="508">
        <v>737.39</v>
      </c>
      <c r="E6759" s="461" t="s">
        <v>174</v>
      </c>
    </row>
    <row r="6760" spans="1:5" ht="40.5" x14ac:dyDescent="0.25">
      <c r="A6760" s="508">
        <v>87294</v>
      </c>
      <c r="B6760" s="509" t="s">
        <v>1789</v>
      </c>
      <c r="C6760" s="508" t="s">
        <v>163</v>
      </c>
      <c r="D6760" s="508">
        <v>706.72</v>
      </c>
      <c r="E6760" s="461" t="s">
        <v>174</v>
      </c>
    </row>
    <row r="6761" spans="1:5" ht="40.5" x14ac:dyDescent="0.25">
      <c r="A6761" s="508">
        <v>87295</v>
      </c>
      <c r="B6761" s="509" t="s">
        <v>1790</v>
      </c>
      <c r="C6761" s="508" t="s">
        <v>163</v>
      </c>
      <c r="D6761" s="508">
        <v>741.88</v>
      </c>
      <c r="E6761" s="461" t="s">
        <v>174</v>
      </c>
    </row>
    <row r="6762" spans="1:5" ht="40.5" x14ac:dyDescent="0.25">
      <c r="A6762" s="508">
        <v>87296</v>
      </c>
      <c r="B6762" s="509" t="s">
        <v>1791</v>
      </c>
      <c r="C6762" s="508" t="s">
        <v>163</v>
      </c>
      <c r="D6762" s="508">
        <v>707.75</v>
      </c>
      <c r="E6762" s="461" t="s">
        <v>174</v>
      </c>
    </row>
    <row r="6763" spans="1:5" ht="27" x14ac:dyDescent="0.25">
      <c r="A6763" s="508">
        <v>87298</v>
      </c>
      <c r="B6763" s="509" t="s">
        <v>1792</v>
      </c>
      <c r="C6763" s="508" t="s">
        <v>163</v>
      </c>
      <c r="D6763" s="508">
        <v>737.88</v>
      </c>
      <c r="E6763" s="461" t="s">
        <v>174</v>
      </c>
    </row>
    <row r="6764" spans="1:5" ht="27" x14ac:dyDescent="0.25">
      <c r="A6764" s="508">
        <v>87299</v>
      </c>
      <c r="B6764" s="509" t="s">
        <v>1793</v>
      </c>
      <c r="C6764" s="508" t="s">
        <v>163</v>
      </c>
      <c r="D6764" s="508">
        <v>540.36</v>
      </c>
      <c r="E6764" s="461" t="s">
        <v>174</v>
      </c>
    </row>
    <row r="6765" spans="1:5" ht="27" x14ac:dyDescent="0.25">
      <c r="A6765" s="508">
        <v>87301</v>
      </c>
      <c r="B6765" s="509" t="s">
        <v>1794</v>
      </c>
      <c r="C6765" s="508" t="s">
        <v>163</v>
      </c>
      <c r="D6765" s="508">
        <v>694.42</v>
      </c>
      <c r="E6765" s="461" t="s">
        <v>174</v>
      </c>
    </row>
    <row r="6766" spans="1:5" ht="27" x14ac:dyDescent="0.25">
      <c r="A6766" s="508">
        <v>87302</v>
      </c>
      <c r="B6766" s="509" t="s">
        <v>1795</v>
      </c>
      <c r="C6766" s="508" t="s">
        <v>163</v>
      </c>
      <c r="D6766" s="508">
        <v>681.55</v>
      </c>
      <c r="E6766" s="461" t="s">
        <v>174</v>
      </c>
    </row>
    <row r="6767" spans="1:5" ht="27" x14ac:dyDescent="0.25">
      <c r="A6767" s="508">
        <v>87304</v>
      </c>
      <c r="B6767" s="509" t="s">
        <v>1796</v>
      </c>
      <c r="C6767" s="508" t="s">
        <v>163</v>
      </c>
      <c r="D6767" s="508">
        <v>650.04</v>
      </c>
      <c r="E6767" s="461" t="s">
        <v>174</v>
      </c>
    </row>
    <row r="6768" spans="1:5" ht="27" x14ac:dyDescent="0.25">
      <c r="A6768" s="508">
        <v>87305</v>
      </c>
      <c r="B6768" s="509" t="s">
        <v>1797</v>
      </c>
      <c r="C6768" s="508" t="s">
        <v>163</v>
      </c>
      <c r="D6768" s="508">
        <v>650.22</v>
      </c>
      <c r="E6768" s="461" t="s">
        <v>174</v>
      </c>
    </row>
    <row r="6769" spans="1:5" ht="27" x14ac:dyDescent="0.25">
      <c r="A6769" s="508">
        <v>87307</v>
      </c>
      <c r="B6769" s="509" t="s">
        <v>1798</v>
      </c>
      <c r="C6769" s="508" t="s">
        <v>163</v>
      </c>
      <c r="D6769" s="508">
        <v>636.84</v>
      </c>
      <c r="E6769" s="461" t="s">
        <v>174</v>
      </c>
    </row>
    <row r="6770" spans="1:5" ht="27" x14ac:dyDescent="0.25">
      <c r="A6770" s="508">
        <v>87308</v>
      </c>
      <c r="B6770" s="509" t="s">
        <v>1799</v>
      </c>
      <c r="C6770" s="508" t="s">
        <v>163</v>
      </c>
      <c r="D6770" s="508">
        <v>622.1</v>
      </c>
      <c r="E6770" s="461" t="s">
        <v>174</v>
      </c>
    </row>
    <row r="6771" spans="1:5" ht="27" x14ac:dyDescent="0.25">
      <c r="A6771" s="508">
        <v>87310</v>
      </c>
      <c r="B6771" s="509" t="s">
        <v>1800</v>
      </c>
      <c r="C6771" s="508" t="s">
        <v>163</v>
      </c>
      <c r="D6771" s="508">
        <v>515.55999999999995</v>
      </c>
      <c r="E6771" s="461" t="s">
        <v>174</v>
      </c>
    </row>
    <row r="6772" spans="1:5" ht="27" x14ac:dyDescent="0.25">
      <c r="A6772" s="508">
        <v>87311</v>
      </c>
      <c r="B6772" s="509" t="s">
        <v>1801</v>
      </c>
      <c r="C6772" s="508" t="s">
        <v>163</v>
      </c>
      <c r="D6772" s="508">
        <v>501.92</v>
      </c>
      <c r="E6772" s="461" t="s">
        <v>174</v>
      </c>
    </row>
    <row r="6773" spans="1:5" ht="27" x14ac:dyDescent="0.25">
      <c r="A6773" s="508">
        <v>87313</v>
      </c>
      <c r="B6773" s="509" t="s">
        <v>1802</v>
      </c>
      <c r="C6773" s="508" t="s">
        <v>163</v>
      </c>
      <c r="D6773" s="508">
        <v>579.54999999999995</v>
      </c>
      <c r="E6773" s="461" t="s">
        <v>174</v>
      </c>
    </row>
    <row r="6774" spans="1:5" ht="27" x14ac:dyDescent="0.25">
      <c r="A6774" s="508">
        <v>87314</v>
      </c>
      <c r="B6774" s="509" t="s">
        <v>1803</v>
      </c>
      <c r="C6774" s="508" t="s">
        <v>163</v>
      </c>
      <c r="D6774" s="508">
        <v>567.45000000000005</v>
      </c>
      <c r="E6774" s="461" t="s">
        <v>174</v>
      </c>
    </row>
    <row r="6775" spans="1:5" ht="27" x14ac:dyDescent="0.25">
      <c r="A6775" s="508">
        <v>87316</v>
      </c>
      <c r="B6775" s="509" t="s">
        <v>1804</v>
      </c>
      <c r="C6775" s="508" t="s">
        <v>163</v>
      </c>
      <c r="D6775" s="508">
        <v>549.09</v>
      </c>
      <c r="E6775" s="461" t="s">
        <v>174</v>
      </c>
    </row>
    <row r="6776" spans="1:5" ht="27" x14ac:dyDescent="0.25">
      <c r="A6776" s="508">
        <v>87317</v>
      </c>
      <c r="B6776" s="509" t="s">
        <v>1805</v>
      </c>
      <c r="C6776" s="508" t="s">
        <v>163</v>
      </c>
      <c r="D6776" s="508">
        <v>528.69000000000005</v>
      </c>
      <c r="E6776" s="461" t="s">
        <v>174</v>
      </c>
    </row>
    <row r="6777" spans="1:5" ht="27" x14ac:dyDescent="0.25">
      <c r="A6777" s="508">
        <v>87319</v>
      </c>
      <c r="B6777" s="509" t="s">
        <v>1806</v>
      </c>
      <c r="C6777" s="508" t="s">
        <v>163</v>
      </c>
      <c r="D6777" s="508">
        <v>3679.41</v>
      </c>
      <c r="E6777" s="461" t="s">
        <v>174</v>
      </c>
    </row>
    <row r="6778" spans="1:5" ht="27" x14ac:dyDescent="0.25">
      <c r="A6778" s="508">
        <v>87320</v>
      </c>
      <c r="B6778" s="509" t="s">
        <v>1807</v>
      </c>
      <c r="C6778" s="508" t="s">
        <v>163</v>
      </c>
      <c r="D6778" s="508">
        <v>3682.41</v>
      </c>
      <c r="E6778" s="461" t="s">
        <v>174</v>
      </c>
    </row>
    <row r="6779" spans="1:5" ht="27" x14ac:dyDescent="0.25">
      <c r="A6779" s="508">
        <v>87322</v>
      </c>
      <c r="B6779" s="509" t="s">
        <v>1808</v>
      </c>
      <c r="C6779" s="508" t="s">
        <v>163</v>
      </c>
      <c r="D6779" s="508">
        <v>3769.62</v>
      </c>
      <c r="E6779" s="461" t="s">
        <v>174</v>
      </c>
    </row>
    <row r="6780" spans="1:5" ht="27" x14ac:dyDescent="0.25">
      <c r="A6780" s="508">
        <v>87323</v>
      </c>
      <c r="B6780" s="509" t="s">
        <v>1809</v>
      </c>
      <c r="C6780" s="508" t="s">
        <v>163</v>
      </c>
      <c r="D6780" s="508">
        <v>3763.61</v>
      </c>
      <c r="E6780" s="461" t="s">
        <v>174</v>
      </c>
    </row>
    <row r="6781" spans="1:5" ht="27" x14ac:dyDescent="0.25">
      <c r="A6781" s="508">
        <v>87325</v>
      </c>
      <c r="B6781" s="509" t="s">
        <v>1810</v>
      </c>
      <c r="C6781" s="508" t="s">
        <v>163</v>
      </c>
      <c r="D6781" s="508">
        <v>3699.36</v>
      </c>
      <c r="E6781" s="461" t="s">
        <v>174</v>
      </c>
    </row>
    <row r="6782" spans="1:5" ht="27" x14ac:dyDescent="0.25">
      <c r="A6782" s="508">
        <v>87326</v>
      </c>
      <c r="B6782" s="509" t="s">
        <v>1811</v>
      </c>
      <c r="C6782" s="508" t="s">
        <v>163</v>
      </c>
      <c r="D6782" s="508">
        <v>3703.44</v>
      </c>
      <c r="E6782" s="461" t="s">
        <v>174</v>
      </c>
    </row>
    <row r="6783" spans="1:5" ht="40.5" x14ac:dyDescent="0.25">
      <c r="A6783" s="508">
        <v>87327</v>
      </c>
      <c r="B6783" s="509" t="s">
        <v>1812</v>
      </c>
      <c r="C6783" s="508" t="s">
        <v>163</v>
      </c>
      <c r="D6783" s="508">
        <v>568.85</v>
      </c>
      <c r="E6783" s="461" t="s">
        <v>174</v>
      </c>
    </row>
    <row r="6784" spans="1:5" ht="40.5" x14ac:dyDescent="0.25">
      <c r="A6784" s="508">
        <v>87328</v>
      </c>
      <c r="B6784" s="509" t="s">
        <v>1813</v>
      </c>
      <c r="C6784" s="508" t="s">
        <v>163</v>
      </c>
      <c r="D6784" s="508">
        <v>499.97</v>
      </c>
      <c r="E6784" s="461" t="s">
        <v>174</v>
      </c>
    </row>
    <row r="6785" spans="1:5" ht="40.5" x14ac:dyDescent="0.25">
      <c r="A6785" s="508">
        <v>87329</v>
      </c>
      <c r="B6785" s="509" t="s">
        <v>1814</v>
      </c>
      <c r="C6785" s="508" t="s">
        <v>163</v>
      </c>
      <c r="D6785" s="508">
        <v>597.52</v>
      </c>
      <c r="E6785" s="461" t="s">
        <v>174</v>
      </c>
    </row>
    <row r="6786" spans="1:5" ht="40.5" x14ac:dyDescent="0.25">
      <c r="A6786" s="508">
        <v>87330</v>
      </c>
      <c r="B6786" s="509" t="s">
        <v>1815</v>
      </c>
      <c r="C6786" s="508" t="s">
        <v>163</v>
      </c>
      <c r="D6786" s="508">
        <v>519.59</v>
      </c>
      <c r="E6786" s="461" t="s">
        <v>174</v>
      </c>
    </row>
    <row r="6787" spans="1:5" ht="40.5" x14ac:dyDescent="0.25">
      <c r="A6787" s="508">
        <v>87331</v>
      </c>
      <c r="B6787" s="509" t="s">
        <v>1816</v>
      </c>
      <c r="C6787" s="508" t="s">
        <v>163</v>
      </c>
      <c r="D6787" s="508">
        <v>738.05</v>
      </c>
      <c r="E6787" s="461" t="s">
        <v>174</v>
      </c>
    </row>
    <row r="6788" spans="1:5" ht="40.5" x14ac:dyDescent="0.25">
      <c r="A6788" s="508">
        <v>87332</v>
      </c>
      <c r="B6788" s="509" t="s">
        <v>1817</v>
      </c>
      <c r="C6788" s="508" t="s">
        <v>163</v>
      </c>
      <c r="D6788" s="508">
        <v>666.86</v>
      </c>
      <c r="E6788" s="461" t="s">
        <v>174</v>
      </c>
    </row>
    <row r="6789" spans="1:5" ht="40.5" x14ac:dyDescent="0.25">
      <c r="A6789" s="508">
        <v>87333</v>
      </c>
      <c r="B6789" s="509" t="s">
        <v>1818</v>
      </c>
      <c r="C6789" s="508" t="s">
        <v>163</v>
      </c>
      <c r="D6789" s="508">
        <v>712.79</v>
      </c>
      <c r="E6789" s="461" t="s">
        <v>174</v>
      </c>
    </row>
    <row r="6790" spans="1:5" ht="40.5" x14ac:dyDescent="0.25">
      <c r="A6790" s="508">
        <v>87334</v>
      </c>
      <c r="B6790" s="509" t="s">
        <v>1819</v>
      </c>
      <c r="C6790" s="508" t="s">
        <v>163</v>
      </c>
      <c r="D6790" s="508">
        <v>669.44</v>
      </c>
      <c r="E6790" s="461" t="s">
        <v>174</v>
      </c>
    </row>
    <row r="6791" spans="1:5" ht="40.5" x14ac:dyDescent="0.25">
      <c r="A6791" s="508">
        <v>87335</v>
      </c>
      <c r="B6791" s="509" t="s">
        <v>1820</v>
      </c>
      <c r="C6791" s="508" t="s">
        <v>163</v>
      </c>
      <c r="D6791" s="508">
        <v>705.22</v>
      </c>
      <c r="E6791" s="461" t="s">
        <v>174</v>
      </c>
    </row>
    <row r="6792" spans="1:5" ht="40.5" x14ac:dyDescent="0.25">
      <c r="A6792" s="508">
        <v>87336</v>
      </c>
      <c r="B6792" s="509" t="s">
        <v>1821</v>
      </c>
      <c r="C6792" s="508" t="s">
        <v>163</v>
      </c>
      <c r="D6792" s="508">
        <v>700.26</v>
      </c>
      <c r="E6792" s="461" t="s">
        <v>174</v>
      </c>
    </row>
    <row r="6793" spans="1:5" ht="40.5" x14ac:dyDescent="0.25">
      <c r="A6793" s="508">
        <v>87337</v>
      </c>
      <c r="B6793" s="509" t="s">
        <v>1822</v>
      </c>
      <c r="C6793" s="508" t="s">
        <v>163</v>
      </c>
      <c r="D6793" s="508">
        <v>709.4</v>
      </c>
      <c r="E6793" s="461" t="s">
        <v>174</v>
      </c>
    </row>
    <row r="6794" spans="1:5" ht="40.5" x14ac:dyDescent="0.25">
      <c r="A6794" s="508">
        <v>87338</v>
      </c>
      <c r="B6794" s="509" t="s">
        <v>1823</v>
      </c>
      <c r="C6794" s="508" t="s">
        <v>163</v>
      </c>
      <c r="D6794" s="508">
        <v>701.71</v>
      </c>
      <c r="E6794" s="461" t="s">
        <v>174</v>
      </c>
    </row>
    <row r="6795" spans="1:5" ht="27" x14ac:dyDescent="0.25">
      <c r="A6795" s="508">
        <v>87339</v>
      </c>
      <c r="B6795" s="509" t="s">
        <v>1824</v>
      </c>
      <c r="C6795" s="508" t="s">
        <v>163</v>
      </c>
      <c r="D6795" s="508">
        <v>878.94</v>
      </c>
      <c r="E6795" s="461" t="s">
        <v>174</v>
      </c>
    </row>
    <row r="6796" spans="1:5" ht="27" x14ac:dyDescent="0.25">
      <c r="A6796" s="508">
        <v>87340</v>
      </c>
      <c r="B6796" s="509" t="s">
        <v>1825</v>
      </c>
      <c r="C6796" s="508" t="s">
        <v>163</v>
      </c>
      <c r="D6796" s="508">
        <v>736.03</v>
      </c>
      <c r="E6796" s="461" t="s">
        <v>174</v>
      </c>
    </row>
    <row r="6797" spans="1:5" ht="27" x14ac:dyDescent="0.25">
      <c r="A6797" s="508">
        <v>87341</v>
      </c>
      <c r="B6797" s="509" t="s">
        <v>1826</v>
      </c>
      <c r="C6797" s="508" t="s">
        <v>163</v>
      </c>
      <c r="D6797" s="508">
        <v>698.26</v>
      </c>
      <c r="E6797" s="461" t="s">
        <v>174</v>
      </c>
    </row>
    <row r="6798" spans="1:5" ht="27" x14ac:dyDescent="0.25">
      <c r="A6798" s="508">
        <v>87342</v>
      </c>
      <c r="B6798" s="509" t="s">
        <v>1827</v>
      </c>
      <c r="C6798" s="508" t="s">
        <v>163</v>
      </c>
      <c r="D6798" s="508">
        <v>776.2</v>
      </c>
      <c r="E6798" s="461" t="s">
        <v>174</v>
      </c>
    </row>
    <row r="6799" spans="1:5" ht="27" x14ac:dyDescent="0.25">
      <c r="A6799" s="508">
        <v>87343</v>
      </c>
      <c r="B6799" s="509" t="s">
        <v>1828</v>
      </c>
      <c r="C6799" s="508" t="s">
        <v>163</v>
      </c>
      <c r="D6799" s="508">
        <v>695.04</v>
      </c>
      <c r="E6799" s="461" t="s">
        <v>174</v>
      </c>
    </row>
    <row r="6800" spans="1:5" ht="27" x14ac:dyDescent="0.25">
      <c r="A6800" s="508">
        <v>87344</v>
      </c>
      <c r="B6800" s="509" t="s">
        <v>1829</v>
      </c>
      <c r="C6800" s="508" t="s">
        <v>163</v>
      </c>
      <c r="D6800" s="508">
        <v>648.98</v>
      </c>
      <c r="E6800" s="461" t="s">
        <v>174</v>
      </c>
    </row>
    <row r="6801" spans="1:5" ht="27" x14ac:dyDescent="0.25">
      <c r="A6801" s="508">
        <v>87345</v>
      </c>
      <c r="B6801" s="509" t="s">
        <v>1830</v>
      </c>
      <c r="C6801" s="508" t="s">
        <v>163</v>
      </c>
      <c r="D6801" s="508">
        <v>717.67</v>
      </c>
      <c r="E6801" s="461" t="s">
        <v>174</v>
      </c>
    </row>
    <row r="6802" spans="1:5" ht="27" x14ac:dyDescent="0.25">
      <c r="A6802" s="508">
        <v>87346</v>
      </c>
      <c r="B6802" s="509" t="s">
        <v>1831</v>
      </c>
      <c r="C6802" s="508" t="s">
        <v>163</v>
      </c>
      <c r="D6802" s="508">
        <v>650.70000000000005</v>
      </c>
      <c r="E6802" s="461" t="s">
        <v>174</v>
      </c>
    </row>
    <row r="6803" spans="1:5" ht="27" x14ac:dyDescent="0.25">
      <c r="A6803" s="508">
        <v>87347</v>
      </c>
      <c r="B6803" s="509" t="s">
        <v>1832</v>
      </c>
      <c r="C6803" s="508" t="s">
        <v>163</v>
      </c>
      <c r="D6803" s="508">
        <v>614.29</v>
      </c>
      <c r="E6803" s="461" t="s">
        <v>174</v>
      </c>
    </row>
    <row r="6804" spans="1:5" ht="27" x14ac:dyDescent="0.25">
      <c r="A6804" s="508">
        <v>87348</v>
      </c>
      <c r="B6804" s="509" t="s">
        <v>1833</v>
      </c>
      <c r="C6804" s="508" t="s">
        <v>163</v>
      </c>
      <c r="D6804" s="508">
        <v>674.18</v>
      </c>
      <c r="E6804" s="461" t="s">
        <v>174</v>
      </c>
    </row>
    <row r="6805" spans="1:5" ht="27" x14ac:dyDescent="0.25">
      <c r="A6805" s="508">
        <v>87349</v>
      </c>
      <c r="B6805" s="509" t="s">
        <v>1834</v>
      </c>
      <c r="C6805" s="508" t="s">
        <v>163</v>
      </c>
      <c r="D6805" s="508">
        <v>585.61</v>
      </c>
      <c r="E6805" s="461" t="s">
        <v>174</v>
      </c>
    </row>
    <row r="6806" spans="1:5" ht="40.5" x14ac:dyDescent="0.25">
      <c r="A6806" s="508">
        <v>87350</v>
      </c>
      <c r="B6806" s="509" t="s">
        <v>1835</v>
      </c>
      <c r="C6806" s="508" t="s">
        <v>163</v>
      </c>
      <c r="D6806" s="508">
        <v>566.78</v>
      </c>
      <c r="E6806" s="461" t="s">
        <v>174</v>
      </c>
    </row>
    <row r="6807" spans="1:5" ht="40.5" x14ac:dyDescent="0.25">
      <c r="A6807" s="508">
        <v>87351</v>
      </c>
      <c r="B6807" s="509" t="s">
        <v>1836</v>
      </c>
      <c r="C6807" s="508" t="s">
        <v>163</v>
      </c>
      <c r="D6807" s="508">
        <v>483.34</v>
      </c>
      <c r="E6807" s="461" t="s">
        <v>174</v>
      </c>
    </row>
    <row r="6808" spans="1:5" ht="40.5" x14ac:dyDescent="0.25">
      <c r="A6808" s="508">
        <v>87352</v>
      </c>
      <c r="B6808" s="509" t="s">
        <v>1837</v>
      </c>
      <c r="C6808" s="508" t="s">
        <v>163</v>
      </c>
      <c r="D6808" s="508">
        <v>672.94</v>
      </c>
      <c r="E6808" s="461" t="s">
        <v>174</v>
      </c>
    </row>
    <row r="6809" spans="1:5" ht="40.5" x14ac:dyDescent="0.25">
      <c r="A6809" s="508">
        <v>87353</v>
      </c>
      <c r="B6809" s="509" t="s">
        <v>1838</v>
      </c>
      <c r="C6809" s="508" t="s">
        <v>163</v>
      </c>
      <c r="D6809" s="508">
        <v>583.63</v>
      </c>
      <c r="E6809" s="461" t="s">
        <v>174</v>
      </c>
    </row>
    <row r="6810" spans="1:5" ht="40.5" x14ac:dyDescent="0.25">
      <c r="A6810" s="508">
        <v>87354</v>
      </c>
      <c r="B6810" s="509" t="s">
        <v>1839</v>
      </c>
      <c r="C6810" s="508" t="s">
        <v>163</v>
      </c>
      <c r="D6810" s="508">
        <v>542.76</v>
      </c>
      <c r="E6810" s="461" t="s">
        <v>174</v>
      </c>
    </row>
    <row r="6811" spans="1:5" ht="40.5" x14ac:dyDescent="0.25">
      <c r="A6811" s="508">
        <v>87355</v>
      </c>
      <c r="B6811" s="509" t="s">
        <v>1840</v>
      </c>
      <c r="C6811" s="508" t="s">
        <v>163</v>
      </c>
      <c r="D6811" s="508">
        <v>592.51</v>
      </c>
      <c r="E6811" s="461" t="s">
        <v>174</v>
      </c>
    </row>
    <row r="6812" spans="1:5" ht="40.5" x14ac:dyDescent="0.25">
      <c r="A6812" s="508">
        <v>87356</v>
      </c>
      <c r="B6812" s="509" t="s">
        <v>1841</v>
      </c>
      <c r="C6812" s="508" t="s">
        <v>163</v>
      </c>
      <c r="D6812" s="508">
        <v>532.74</v>
      </c>
      <c r="E6812" s="461" t="s">
        <v>174</v>
      </c>
    </row>
    <row r="6813" spans="1:5" ht="40.5" x14ac:dyDescent="0.25">
      <c r="A6813" s="508">
        <v>87357</v>
      </c>
      <c r="B6813" s="509" t="s">
        <v>1842</v>
      </c>
      <c r="C6813" s="508" t="s">
        <v>163</v>
      </c>
      <c r="D6813" s="508">
        <v>502.22</v>
      </c>
      <c r="E6813" s="461" t="s">
        <v>174</v>
      </c>
    </row>
    <row r="6814" spans="1:5" ht="40.5" x14ac:dyDescent="0.25">
      <c r="A6814" s="508">
        <v>87358</v>
      </c>
      <c r="B6814" s="509" t="s">
        <v>1843</v>
      </c>
      <c r="C6814" s="508" t="s">
        <v>163</v>
      </c>
      <c r="D6814" s="508">
        <v>3641.79</v>
      </c>
      <c r="E6814" s="461" t="s">
        <v>174</v>
      </c>
    </row>
    <row r="6815" spans="1:5" ht="40.5" x14ac:dyDescent="0.25">
      <c r="A6815" s="508">
        <v>87359</v>
      </c>
      <c r="B6815" s="509" t="s">
        <v>1844</v>
      </c>
      <c r="C6815" s="508" t="s">
        <v>163</v>
      </c>
      <c r="D6815" s="508">
        <v>3606.45</v>
      </c>
      <c r="E6815" s="461" t="s">
        <v>174</v>
      </c>
    </row>
    <row r="6816" spans="1:5" ht="40.5" x14ac:dyDescent="0.25">
      <c r="A6816" s="508">
        <v>87360</v>
      </c>
      <c r="B6816" s="509" t="s">
        <v>1845</v>
      </c>
      <c r="C6816" s="508" t="s">
        <v>163</v>
      </c>
      <c r="D6816" s="508">
        <v>3731.3</v>
      </c>
      <c r="E6816" s="461" t="s">
        <v>174</v>
      </c>
    </row>
    <row r="6817" spans="1:5" ht="40.5" x14ac:dyDescent="0.25">
      <c r="A6817" s="508">
        <v>87361</v>
      </c>
      <c r="B6817" s="509" t="s">
        <v>1846</v>
      </c>
      <c r="C6817" s="508" t="s">
        <v>163</v>
      </c>
      <c r="D6817" s="508">
        <v>3678.85</v>
      </c>
      <c r="E6817" s="461" t="s">
        <v>174</v>
      </c>
    </row>
    <row r="6818" spans="1:5" ht="40.5" x14ac:dyDescent="0.25">
      <c r="A6818" s="508">
        <v>87362</v>
      </c>
      <c r="B6818" s="509" t="s">
        <v>1847</v>
      </c>
      <c r="C6818" s="508" t="s">
        <v>163</v>
      </c>
      <c r="D6818" s="508">
        <v>3673.44</v>
      </c>
      <c r="E6818" s="461" t="s">
        <v>174</v>
      </c>
    </row>
    <row r="6819" spans="1:5" ht="40.5" x14ac:dyDescent="0.25">
      <c r="A6819" s="508">
        <v>87363</v>
      </c>
      <c r="B6819" s="509" t="s">
        <v>1848</v>
      </c>
      <c r="C6819" s="508" t="s">
        <v>163</v>
      </c>
      <c r="D6819" s="508">
        <v>3671.79</v>
      </c>
      <c r="E6819" s="461" t="s">
        <v>174</v>
      </c>
    </row>
    <row r="6820" spans="1:5" ht="40.5" x14ac:dyDescent="0.25">
      <c r="A6820" s="508">
        <v>87364</v>
      </c>
      <c r="B6820" s="509" t="s">
        <v>1849</v>
      </c>
      <c r="C6820" s="508" t="s">
        <v>163</v>
      </c>
      <c r="D6820" s="508">
        <v>3635.26</v>
      </c>
      <c r="E6820" s="461" t="s">
        <v>174</v>
      </c>
    </row>
    <row r="6821" spans="1:5" ht="40.5" x14ac:dyDescent="0.25">
      <c r="A6821" s="508">
        <v>87365</v>
      </c>
      <c r="B6821" s="509" t="s">
        <v>1850</v>
      </c>
      <c r="C6821" s="508" t="s">
        <v>163</v>
      </c>
      <c r="D6821" s="508">
        <v>666.96</v>
      </c>
      <c r="E6821" s="461" t="s">
        <v>174</v>
      </c>
    </row>
    <row r="6822" spans="1:5" ht="40.5" x14ac:dyDescent="0.25">
      <c r="A6822" s="508">
        <v>87366</v>
      </c>
      <c r="B6822" s="509" t="s">
        <v>1851</v>
      </c>
      <c r="C6822" s="508" t="s">
        <v>163</v>
      </c>
      <c r="D6822" s="508">
        <v>690.97</v>
      </c>
      <c r="E6822" s="461" t="s">
        <v>174</v>
      </c>
    </row>
    <row r="6823" spans="1:5" ht="27" x14ac:dyDescent="0.25">
      <c r="A6823" s="508">
        <v>87367</v>
      </c>
      <c r="B6823" s="509" t="s">
        <v>1852</v>
      </c>
      <c r="C6823" s="508" t="s">
        <v>163</v>
      </c>
      <c r="D6823" s="508">
        <v>836.98</v>
      </c>
      <c r="E6823" s="461" t="s">
        <v>174</v>
      </c>
    </row>
    <row r="6824" spans="1:5" ht="27" x14ac:dyDescent="0.25">
      <c r="A6824" s="508">
        <v>87368</v>
      </c>
      <c r="B6824" s="509" t="s">
        <v>1853</v>
      </c>
      <c r="C6824" s="508" t="s">
        <v>163</v>
      </c>
      <c r="D6824" s="508">
        <v>838</v>
      </c>
      <c r="E6824" s="461" t="s">
        <v>174</v>
      </c>
    </row>
    <row r="6825" spans="1:5" ht="27" x14ac:dyDescent="0.25">
      <c r="A6825" s="508">
        <v>87369</v>
      </c>
      <c r="B6825" s="509" t="s">
        <v>1854</v>
      </c>
      <c r="C6825" s="508" t="s">
        <v>163</v>
      </c>
      <c r="D6825" s="508">
        <v>867.64</v>
      </c>
      <c r="E6825" s="461" t="s">
        <v>174</v>
      </c>
    </row>
    <row r="6826" spans="1:5" ht="27" x14ac:dyDescent="0.25">
      <c r="A6826" s="508">
        <v>87370</v>
      </c>
      <c r="B6826" s="509" t="s">
        <v>1855</v>
      </c>
      <c r="C6826" s="508" t="s">
        <v>163</v>
      </c>
      <c r="D6826" s="508">
        <v>841.37</v>
      </c>
      <c r="E6826" s="461" t="s">
        <v>174</v>
      </c>
    </row>
    <row r="6827" spans="1:5" ht="27" x14ac:dyDescent="0.25">
      <c r="A6827" s="508">
        <v>87371</v>
      </c>
      <c r="B6827" s="509" t="s">
        <v>1856</v>
      </c>
      <c r="C6827" s="508" t="s">
        <v>163</v>
      </c>
      <c r="D6827" s="508">
        <v>844.87</v>
      </c>
      <c r="E6827" s="461" t="s">
        <v>174</v>
      </c>
    </row>
    <row r="6828" spans="1:5" ht="27" x14ac:dyDescent="0.25">
      <c r="A6828" s="508">
        <v>87372</v>
      </c>
      <c r="B6828" s="509" t="s">
        <v>1857</v>
      </c>
      <c r="C6828" s="508" t="s">
        <v>163</v>
      </c>
      <c r="D6828" s="508">
        <v>883.3</v>
      </c>
      <c r="E6828" s="461" t="s">
        <v>174</v>
      </c>
    </row>
    <row r="6829" spans="1:5" ht="27" x14ac:dyDescent="0.25">
      <c r="A6829" s="508">
        <v>87373</v>
      </c>
      <c r="B6829" s="509" t="s">
        <v>1858</v>
      </c>
      <c r="C6829" s="508" t="s">
        <v>163</v>
      </c>
      <c r="D6829" s="508">
        <v>818.79</v>
      </c>
      <c r="E6829" s="461" t="s">
        <v>174</v>
      </c>
    </row>
    <row r="6830" spans="1:5" ht="27" x14ac:dyDescent="0.25">
      <c r="A6830" s="508">
        <v>87374</v>
      </c>
      <c r="B6830" s="509" t="s">
        <v>1859</v>
      </c>
      <c r="C6830" s="508" t="s">
        <v>163</v>
      </c>
      <c r="D6830" s="508">
        <v>785.51</v>
      </c>
      <c r="E6830" s="461" t="s">
        <v>174</v>
      </c>
    </row>
    <row r="6831" spans="1:5" ht="27" x14ac:dyDescent="0.25">
      <c r="A6831" s="508">
        <v>87375</v>
      </c>
      <c r="B6831" s="509" t="s">
        <v>1860</v>
      </c>
      <c r="C6831" s="508" t="s">
        <v>163</v>
      </c>
      <c r="D6831" s="508">
        <v>766.42</v>
      </c>
      <c r="E6831" s="461" t="s">
        <v>174</v>
      </c>
    </row>
    <row r="6832" spans="1:5" ht="27" x14ac:dyDescent="0.25">
      <c r="A6832" s="508">
        <v>87376</v>
      </c>
      <c r="B6832" s="509" t="s">
        <v>1861</v>
      </c>
      <c r="C6832" s="508" t="s">
        <v>163</v>
      </c>
      <c r="D6832" s="508">
        <v>649.86</v>
      </c>
      <c r="E6832" s="461" t="s">
        <v>174</v>
      </c>
    </row>
    <row r="6833" spans="1:5" ht="27" x14ac:dyDescent="0.25">
      <c r="A6833" s="508">
        <v>87377</v>
      </c>
      <c r="B6833" s="509" t="s">
        <v>1862</v>
      </c>
      <c r="C6833" s="508" t="s">
        <v>163</v>
      </c>
      <c r="D6833" s="508">
        <v>718.79</v>
      </c>
      <c r="E6833" s="461" t="s">
        <v>174</v>
      </c>
    </row>
    <row r="6834" spans="1:5" ht="27" x14ac:dyDescent="0.25">
      <c r="A6834" s="508">
        <v>87378</v>
      </c>
      <c r="B6834" s="509" t="s">
        <v>1863</v>
      </c>
      <c r="C6834" s="508" t="s">
        <v>163</v>
      </c>
      <c r="D6834" s="508">
        <v>671.93</v>
      </c>
      <c r="E6834" s="461" t="s">
        <v>174</v>
      </c>
    </row>
    <row r="6835" spans="1:5" ht="27" x14ac:dyDescent="0.25">
      <c r="A6835" s="508">
        <v>87379</v>
      </c>
      <c r="B6835" s="509" t="s">
        <v>1864</v>
      </c>
      <c r="C6835" s="508" t="s">
        <v>163</v>
      </c>
      <c r="D6835" s="508">
        <v>3791.94</v>
      </c>
      <c r="E6835" s="461" t="s">
        <v>174</v>
      </c>
    </row>
    <row r="6836" spans="1:5" ht="27" x14ac:dyDescent="0.25">
      <c r="A6836" s="508">
        <v>87380</v>
      </c>
      <c r="B6836" s="509" t="s">
        <v>1865</v>
      </c>
      <c r="C6836" s="508" t="s">
        <v>163</v>
      </c>
      <c r="D6836" s="508">
        <v>3865.51</v>
      </c>
      <c r="E6836" s="461" t="s">
        <v>174</v>
      </c>
    </row>
    <row r="6837" spans="1:5" ht="27" x14ac:dyDescent="0.25">
      <c r="A6837" s="508">
        <v>87381</v>
      </c>
      <c r="B6837" s="509" t="s">
        <v>1866</v>
      </c>
      <c r="C6837" s="508" t="s">
        <v>163</v>
      </c>
      <c r="D6837" s="508">
        <v>3815.45</v>
      </c>
      <c r="E6837" s="461" t="s">
        <v>174</v>
      </c>
    </row>
    <row r="6838" spans="1:5" ht="27" x14ac:dyDescent="0.25">
      <c r="A6838" s="508">
        <v>87382</v>
      </c>
      <c r="B6838" s="509" t="s">
        <v>1867</v>
      </c>
      <c r="C6838" s="508" t="s">
        <v>163</v>
      </c>
      <c r="D6838" s="508">
        <v>1427.76</v>
      </c>
      <c r="E6838" s="461" t="s">
        <v>174</v>
      </c>
    </row>
    <row r="6839" spans="1:5" ht="27" x14ac:dyDescent="0.25">
      <c r="A6839" s="508">
        <v>87383</v>
      </c>
      <c r="B6839" s="509" t="s">
        <v>1868</v>
      </c>
      <c r="C6839" s="508" t="s">
        <v>163</v>
      </c>
      <c r="D6839" s="508">
        <v>1415.86</v>
      </c>
      <c r="E6839" s="461" t="s">
        <v>174</v>
      </c>
    </row>
    <row r="6840" spans="1:5" ht="27" x14ac:dyDescent="0.25">
      <c r="A6840" s="508">
        <v>87384</v>
      </c>
      <c r="B6840" s="509" t="s">
        <v>1869</v>
      </c>
      <c r="C6840" s="508" t="s">
        <v>163</v>
      </c>
      <c r="D6840" s="508">
        <v>1400.85</v>
      </c>
      <c r="E6840" s="461" t="s">
        <v>174</v>
      </c>
    </row>
    <row r="6841" spans="1:5" ht="27" x14ac:dyDescent="0.25">
      <c r="A6841" s="508">
        <v>87385</v>
      </c>
      <c r="B6841" s="509" t="s">
        <v>1870</v>
      </c>
      <c r="C6841" s="508" t="s">
        <v>163</v>
      </c>
      <c r="D6841" s="508">
        <v>1654.71</v>
      </c>
      <c r="E6841" s="461" t="s">
        <v>174</v>
      </c>
    </row>
    <row r="6842" spans="1:5" ht="27" x14ac:dyDescent="0.25">
      <c r="A6842" s="508">
        <v>87386</v>
      </c>
      <c r="B6842" s="509" t="s">
        <v>1871</v>
      </c>
      <c r="C6842" s="508" t="s">
        <v>163</v>
      </c>
      <c r="D6842" s="508">
        <v>1635.71</v>
      </c>
      <c r="E6842" s="461" t="s">
        <v>174</v>
      </c>
    </row>
    <row r="6843" spans="1:5" ht="27" x14ac:dyDescent="0.25">
      <c r="A6843" s="508">
        <v>87387</v>
      </c>
      <c r="B6843" s="509" t="s">
        <v>1872</v>
      </c>
      <c r="C6843" s="508" t="s">
        <v>163</v>
      </c>
      <c r="D6843" s="508">
        <v>1621.55</v>
      </c>
      <c r="E6843" s="461" t="s">
        <v>174</v>
      </c>
    </row>
    <row r="6844" spans="1:5" ht="27" x14ac:dyDescent="0.25">
      <c r="A6844" s="508">
        <v>87388</v>
      </c>
      <c r="B6844" s="509" t="s">
        <v>1873</v>
      </c>
      <c r="C6844" s="508" t="s">
        <v>163</v>
      </c>
      <c r="D6844" s="508">
        <v>3892.68</v>
      </c>
      <c r="E6844" s="461" t="s">
        <v>174</v>
      </c>
    </row>
    <row r="6845" spans="1:5" ht="27" x14ac:dyDescent="0.25">
      <c r="A6845" s="508">
        <v>87389</v>
      </c>
      <c r="B6845" s="509" t="s">
        <v>1874</v>
      </c>
      <c r="C6845" s="508" t="s">
        <v>163</v>
      </c>
      <c r="D6845" s="508">
        <v>3897.72</v>
      </c>
      <c r="E6845" s="461" t="s">
        <v>174</v>
      </c>
    </row>
    <row r="6846" spans="1:5" ht="27" x14ac:dyDescent="0.25">
      <c r="A6846" s="508">
        <v>87390</v>
      </c>
      <c r="B6846" s="509" t="s">
        <v>1875</v>
      </c>
      <c r="C6846" s="508" t="s">
        <v>163</v>
      </c>
      <c r="D6846" s="508">
        <v>3908.47</v>
      </c>
      <c r="E6846" s="461" t="s">
        <v>174</v>
      </c>
    </row>
    <row r="6847" spans="1:5" ht="27" x14ac:dyDescent="0.25">
      <c r="A6847" s="508">
        <v>87391</v>
      </c>
      <c r="B6847" s="509" t="s">
        <v>1876</v>
      </c>
      <c r="C6847" s="508" t="s">
        <v>163</v>
      </c>
      <c r="D6847" s="508">
        <v>4322.79</v>
      </c>
      <c r="E6847" s="461" t="s">
        <v>174</v>
      </c>
    </row>
    <row r="6848" spans="1:5" ht="27" x14ac:dyDescent="0.25">
      <c r="A6848" s="508">
        <v>87393</v>
      </c>
      <c r="B6848" s="509" t="s">
        <v>1877</v>
      </c>
      <c r="C6848" s="508" t="s">
        <v>163</v>
      </c>
      <c r="D6848" s="508">
        <v>4350.08</v>
      </c>
      <c r="E6848" s="461" t="s">
        <v>174</v>
      </c>
    </row>
    <row r="6849" spans="1:5" ht="27" x14ac:dyDescent="0.25">
      <c r="A6849" s="508">
        <v>87394</v>
      </c>
      <c r="B6849" s="509" t="s">
        <v>1878</v>
      </c>
      <c r="C6849" s="508" t="s">
        <v>163</v>
      </c>
      <c r="D6849" s="508">
        <v>4377.51</v>
      </c>
      <c r="E6849" s="461" t="s">
        <v>174</v>
      </c>
    </row>
    <row r="6850" spans="1:5" ht="27" x14ac:dyDescent="0.25">
      <c r="A6850" s="508">
        <v>87395</v>
      </c>
      <c r="B6850" s="509" t="s">
        <v>1879</v>
      </c>
      <c r="C6850" s="508" t="s">
        <v>163</v>
      </c>
      <c r="D6850" s="508">
        <v>2739.27</v>
      </c>
      <c r="E6850" s="461" t="s">
        <v>174</v>
      </c>
    </row>
    <row r="6851" spans="1:5" ht="27" x14ac:dyDescent="0.25">
      <c r="A6851" s="508">
        <v>87396</v>
      </c>
      <c r="B6851" s="509" t="s">
        <v>1880</v>
      </c>
      <c r="C6851" s="508" t="s">
        <v>163</v>
      </c>
      <c r="D6851" s="508">
        <v>2745.29</v>
      </c>
      <c r="E6851" s="461" t="s">
        <v>174</v>
      </c>
    </row>
    <row r="6852" spans="1:5" ht="27" x14ac:dyDescent="0.25">
      <c r="A6852" s="508">
        <v>87397</v>
      </c>
      <c r="B6852" s="509" t="s">
        <v>1881</v>
      </c>
      <c r="C6852" s="508" t="s">
        <v>163</v>
      </c>
      <c r="D6852" s="508">
        <v>2752.39</v>
      </c>
      <c r="E6852" s="461" t="s">
        <v>174</v>
      </c>
    </row>
    <row r="6853" spans="1:5" ht="27" x14ac:dyDescent="0.25">
      <c r="A6853" s="508">
        <v>87398</v>
      </c>
      <c r="B6853" s="509" t="s">
        <v>1882</v>
      </c>
      <c r="C6853" s="508" t="s">
        <v>163</v>
      </c>
      <c r="D6853" s="508">
        <v>1636.5</v>
      </c>
      <c r="E6853" s="461" t="s">
        <v>174</v>
      </c>
    </row>
    <row r="6854" spans="1:5" ht="15" x14ac:dyDescent="0.25">
      <c r="A6854" s="508">
        <v>87399</v>
      </c>
      <c r="B6854" s="509" t="s">
        <v>1883</v>
      </c>
      <c r="C6854" s="508" t="s">
        <v>163</v>
      </c>
      <c r="D6854" s="508">
        <v>1864.3</v>
      </c>
      <c r="E6854" s="461" t="s">
        <v>174</v>
      </c>
    </row>
    <row r="6855" spans="1:5" ht="15" x14ac:dyDescent="0.25">
      <c r="A6855" s="508">
        <v>87401</v>
      </c>
      <c r="B6855" s="509" t="s">
        <v>1884</v>
      </c>
      <c r="C6855" s="508" t="s">
        <v>163</v>
      </c>
      <c r="D6855" s="508">
        <v>4618.6000000000004</v>
      </c>
      <c r="E6855" s="461" t="s">
        <v>174</v>
      </c>
    </row>
    <row r="6856" spans="1:5" ht="15" x14ac:dyDescent="0.25">
      <c r="A6856" s="508">
        <v>87402</v>
      </c>
      <c r="B6856" s="509" t="s">
        <v>1885</v>
      </c>
      <c r="C6856" s="508" t="s">
        <v>163</v>
      </c>
      <c r="D6856" s="508">
        <v>3002.65</v>
      </c>
      <c r="E6856" s="461" t="s">
        <v>174</v>
      </c>
    </row>
    <row r="6857" spans="1:5" ht="27" x14ac:dyDescent="0.25">
      <c r="A6857" s="508">
        <v>87404</v>
      </c>
      <c r="B6857" s="509" t="s">
        <v>1886</v>
      </c>
      <c r="C6857" s="508" t="s">
        <v>163</v>
      </c>
      <c r="D6857" s="508">
        <v>4072.85</v>
      </c>
      <c r="E6857" s="461" t="s">
        <v>174</v>
      </c>
    </row>
    <row r="6858" spans="1:5" ht="27" x14ac:dyDescent="0.25">
      <c r="A6858" s="508">
        <v>87405</v>
      </c>
      <c r="B6858" s="509" t="s">
        <v>13057</v>
      </c>
      <c r="C6858" s="508" t="s">
        <v>163</v>
      </c>
      <c r="D6858" s="508">
        <v>4067.5</v>
      </c>
      <c r="E6858" s="461" t="s">
        <v>174</v>
      </c>
    </row>
    <row r="6859" spans="1:5" ht="27" x14ac:dyDescent="0.25">
      <c r="A6859" s="508">
        <v>87407</v>
      </c>
      <c r="B6859" s="509" t="s">
        <v>1887</v>
      </c>
      <c r="C6859" s="508" t="s">
        <v>163</v>
      </c>
      <c r="D6859" s="508">
        <v>1462.22</v>
      </c>
      <c r="E6859" s="461" t="s">
        <v>174</v>
      </c>
    </row>
    <row r="6860" spans="1:5" ht="27" x14ac:dyDescent="0.25">
      <c r="A6860" s="508">
        <v>87408</v>
      </c>
      <c r="B6860" s="509" t="s">
        <v>13058</v>
      </c>
      <c r="C6860" s="508" t="s">
        <v>163</v>
      </c>
      <c r="D6860" s="508">
        <v>1442.92</v>
      </c>
      <c r="E6860" s="461" t="s">
        <v>174</v>
      </c>
    </row>
    <row r="6861" spans="1:5" ht="15" x14ac:dyDescent="0.25">
      <c r="A6861" s="508">
        <v>87410</v>
      </c>
      <c r="B6861" s="509" t="s">
        <v>1888</v>
      </c>
      <c r="C6861" s="508" t="s">
        <v>163</v>
      </c>
      <c r="D6861" s="508">
        <v>800.25</v>
      </c>
      <c r="E6861" s="461" t="s">
        <v>174</v>
      </c>
    </row>
    <row r="6862" spans="1:5" ht="27" x14ac:dyDescent="0.25">
      <c r="A6862" s="508">
        <v>88626</v>
      </c>
      <c r="B6862" s="509" t="s">
        <v>1889</v>
      </c>
      <c r="C6862" s="508" t="s">
        <v>163</v>
      </c>
      <c r="D6862" s="508">
        <v>659.04</v>
      </c>
      <c r="E6862" s="461" t="s">
        <v>174</v>
      </c>
    </row>
    <row r="6863" spans="1:5" ht="27" x14ac:dyDescent="0.25">
      <c r="A6863" s="508">
        <v>88627</v>
      </c>
      <c r="B6863" s="509" t="s">
        <v>1890</v>
      </c>
      <c r="C6863" s="508" t="s">
        <v>163</v>
      </c>
      <c r="D6863" s="508">
        <v>762</v>
      </c>
      <c r="E6863" s="461" t="s">
        <v>174</v>
      </c>
    </row>
    <row r="6864" spans="1:5" ht="27" x14ac:dyDescent="0.25">
      <c r="A6864" s="508">
        <v>88628</v>
      </c>
      <c r="B6864" s="509" t="s">
        <v>1891</v>
      </c>
      <c r="C6864" s="508" t="s">
        <v>163</v>
      </c>
      <c r="D6864" s="508">
        <v>613.91</v>
      </c>
      <c r="E6864" s="461" t="s">
        <v>174</v>
      </c>
    </row>
    <row r="6865" spans="1:5" ht="27" x14ac:dyDescent="0.25">
      <c r="A6865" s="508">
        <v>88629</v>
      </c>
      <c r="B6865" s="509" t="s">
        <v>1892</v>
      </c>
      <c r="C6865" s="508" t="s">
        <v>163</v>
      </c>
      <c r="D6865" s="508">
        <v>723.62</v>
      </c>
      <c r="E6865" s="461" t="s">
        <v>174</v>
      </c>
    </row>
    <row r="6866" spans="1:5" ht="27" x14ac:dyDescent="0.25">
      <c r="A6866" s="508">
        <v>88630</v>
      </c>
      <c r="B6866" s="509" t="s">
        <v>13059</v>
      </c>
      <c r="C6866" s="508" t="s">
        <v>163</v>
      </c>
      <c r="D6866" s="508">
        <v>561.97</v>
      </c>
      <c r="E6866" s="461" t="s">
        <v>174</v>
      </c>
    </row>
    <row r="6867" spans="1:5" ht="27" x14ac:dyDescent="0.25">
      <c r="A6867" s="508">
        <v>88631</v>
      </c>
      <c r="B6867" s="509" t="s">
        <v>1893</v>
      </c>
      <c r="C6867" s="508" t="s">
        <v>163</v>
      </c>
      <c r="D6867" s="508">
        <v>673.28</v>
      </c>
      <c r="E6867" s="461" t="s">
        <v>174</v>
      </c>
    </row>
    <row r="6868" spans="1:5" ht="40.5" x14ac:dyDescent="0.25">
      <c r="A6868" s="508">
        <v>88715</v>
      </c>
      <c r="B6868" s="509" t="s">
        <v>1894</v>
      </c>
      <c r="C6868" s="508" t="s">
        <v>163</v>
      </c>
      <c r="D6868" s="508">
        <v>703.39</v>
      </c>
      <c r="E6868" s="461" t="s">
        <v>174</v>
      </c>
    </row>
    <row r="6869" spans="1:5" ht="27" x14ac:dyDescent="0.25">
      <c r="A6869" s="508">
        <v>100464</v>
      </c>
      <c r="B6869" s="509" t="s">
        <v>1895</v>
      </c>
      <c r="C6869" s="508" t="s">
        <v>163</v>
      </c>
      <c r="D6869" s="508">
        <v>687.08</v>
      </c>
      <c r="E6869" s="461" t="s">
        <v>174</v>
      </c>
    </row>
    <row r="6870" spans="1:5" ht="27" x14ac:dyDescent="0.25">
      <c r="A6870" s="508">
        <v>100465</v>
      </c>
      <c r="B6870" s="509" t="s">
        <v>1896</v>
      </c>
      <c r="C6870" s="508" t="s">
        <v>163</v>
      </c>
      <c r="D6870" s="508">
        <v>643.02</v>
      </c>
      <c r="E6870" s="461" t="s">
        <v>174</v>
      </c>
    </row>
    <row r="6871" spans="1:5" ht="27" x14ac:dyDescent="0.25">
      <c r="A6871" s="508">
        <v>100466</v>
      </c>
      <c r="B6871" s="509" t="s">
        <v>1897</v>
      </c>
      <c r="C6871" s="508" t="s">
        <v>163</v>
      </c>
      <c r="D6871" s="508">
        <v>620.67999999999995</v>
      </c>
      <c r="E6871" s="461" t="s">
        <v>174</v>
      </c>
    </row>
    <row r="6872" spans="1:5" ht="27" x14ac:dyDescent="0.25">
      <c r="A6872" s="508">
        <v>100468</v>
      </c>
      <c r="B6872" s="509" t="s">
        <v>1898</v>
      </c>
      <c r="C6872" s="508" t="s">
        <v>163</v>
      </c>
      <c r="D6872" s="508">
        <v>740.91</v>
      </c>
      <c r="E6872" s="461" t="s">
        <v>174</v>
      </c>
    </row>
    <row r="6873" spans="1:5" ht="27" x14ac:dyDescent="0.25">
      <c r="A6873" s="508">
        <v>100469</v>
      </c>
      <c r="B6873" s="509" t="s">
        <v>1899</v>
      </c>
      <c r="C6873" s="508" t="s">
        <v>163</v>
      </c>
      <c r="D6873" s="508">
        <v>602.61</v>
      </c>
      <c r="E6873" s="461" t="s">
        <v>174</v>
      </c>
    </row>
    <row r="6874" spans="1:5" ht="27" x14ac:dyDescent="0.25">
      <c r="A6874" s="508">
        <v>100470</v>
      </c>
      <c r="B6874" s="509" t="s">
        <v>1900</v>
      </c>
      <c r="C6874" s="508" t="s">
        <v>163</v>
      </c>
      <c r="D6874" s="508">
        <v>570.22</v>
      </c>
      <c r="E6874" s="461" t="s">
        <v>174</v>
      </c>
    </row>
    <row r="6875" spans="1:5" ht="27" x14ac:dyDescent="0.25">
      <c r="A6875" s="508">
        <v>100472</v>
      </c>
      <c r="B6875" s="509" t="s">
        <v>1901</v>
      </c>
      <c r="C6875" s="508" t="s">
        <v>163</v>
      </c>
      <c r="D6875" s="508">
        <v>623.07000000000005</v>
      </c>
      <c r="E6875" s="461" t="s">
        <v>174</v>
      </c>
    </row>
    <row r="6876" spans="1:5" ht="27" x14ac:dyDescent="0.25">
      <c r="A6876" s="508">
        <v>100473</v>
      </c>
      <c r="B6876" s="509" t="s">
        <v>1902</v>
      </c>
      <c r="C6876" s="508" t="s">
        <v>163</v>
      </c>
      <c r="D6876" s="508">
        <v>566.98</v>
      </c>
      <c r="E6876" s="461" t="s">
        <v>174</v>
      </c>
    </row>
    <row r="6877" spans="1:5" ht="27" x14ac:dyDescent="0.25">
      <c r="A6877" s="508">
        <v>100474</v>
      </c>
      <c r="B6877" s="509" t="s">
        <v>1903</v>
      </c>
      <c r="C6877" s="508" t="s">
        <v>163</v>
      </c>
      <c r="D6877" s="508">
        <v>541.51</v>
      </c>
      <c r="E6877" s="461" t="s">
        <v>174</v>
      </c>
    </row>
    <row r="6878" spans="1:5" ht="27" x14ac:dyDescent="0.25">
      <c r="A6878" s="508">
        <v>100475</v>
      </c>
      <c r="B6878" s="509" t="s">
        <v>1904</v>
      </c>
      <c r="C6878" s="508" t="s">
        <v>163</v>
      </c>
      <c r="D6878" s="508">
        <v>781.82</v>
      </c>
      <c r="E6878" s="461" t="s">
        <v>174</v>
      </c>
    </row>
    <row r="6879" spans="1:5" ht="40.5" x14ac:dyDescent="0.25">
      <c r="A6879" s="508">
        <v>100477</v>
      </c>
      <c r="B6879" s="509" t="s">
        <v>1905</v>
      </c>
      <c r="C6879" s="508" t="s">
        <v>163</v>
      </c>
      <c r="D6879" s="508">
        <v>853.35</v>
      </c>
      <c r="E6879" s="461" t="s">
        <v>174</v>
      </c>
    </row>
    <row r="6880" spans="1:5" ht="40.5" x14ac:dyDescent="0.25">
      <c r="A6880" s="508">
        <v>100478</v>
      </c>
      <c r="B6880" s="509" t="s">
        <v>1906</v>
      </c>
      <c r="C6880" s="508" t="s">
        <v>163</v>
      </c>
      <c r="D6880" s="508">
        <v>766.65</v>
      </c>
      <c r="E6880" s="461" t="s">
        <v>174</v>
      </c>
    </row>
    <row r="6881" spans="1:5" ht="40.5" x14ac:dyDescent="0.25">
      <c r="A6881" s="508">
        <v>100479</v>
      </c>
      <c r="B6881" s="509" t="s">
        <v>1907</v>
      </c>
      <c r="C6881" s="508" t="s">
        <v>163</v>
      </c>
      <c r="D6881" s="508">
        <v>746.38</v>
      </c>
      <c r="E6881" s="461" t="s">
        <v>174</v>
      </c>
    </row>
    <row r="6882" spans="1:5" ht="27" x14ac:dyDescent="0.25">
      <c r="A6882" s="508">
        <v>100480</v>
      </c>
      <c r="B6882" s="509" t="s">
        <v>1908</v>
      </c>
      <c r="C6882" s="508" t="s">
        <v>163</v>
      </c>
      <c r="D6882" s="508">
        <v>889.75</v>
      </c>
      <c r="E6882" s="461" t="s">
        <v>174</v>
      </c>
    </row>
    <row r="6883" spans="1:5" ht="27" x14ac:dyDescent="0.25">
      <c r="A6883" s="508">
        <v>100481</v>
      </c>
      <c r="B6883" s="509" t="s">
        <v>1909</v>
      </c>
      <c r="C6883" s="508" t="s">
        <v>163</v>
      </c>
      <c r="D6883" s="508">
        <v>699.75</v>
      </c>
      <c r="E6883" s="461" t="s">
        <v>174</v>
      </c>
    </row>
    <row r="6884" spans="1:5" ht="40.5" x14ac:dyDescent="0.25">
      <c r="A6884" s="508">
        <v>100483</v>
      </c>
      <c r="B6884" s="509" t="s">
        <v>1910</v>
      </c>
      <c r="C6884" s="508" t="s">
        <v>163</v>
      </c>
      <c r="D6884" s="508">
        <v>752.16</v>
      </c>
      <c r="E6884" s="461" t="s">
        <v>174</v>
      </c>
    </row>
    <row r="6885" spans="1:5" ht="40.5" x14ac:dyDescent="0.25">
      <c r="A6885" s="508">
        <v>100484</v>
      </c>
      <c r="B6885" s="509" t="s">
        <v>1911</v>
      </c>
      <c r="C6885" s="508" t="s">
        <v>163</v>
      </c>
      <c r="D6885" s="508">
        <v>697.15</v>
      </c>
      <c r="E6885" s="461" t="s">
        <v>174</v>
      </c>
    </row>
    <row r="6886" spans="1:5" ht="40.5" x14ac:dyDescent="0.25">
      <c r="A6886" s="508">
        <v>100485</v>
      </c>
      <c r="B6886" s="509" t="s">
        <v>1912</v>
      </c>
      <c r="C6886" s="508" t="s">
        <v>163</v>
      </c>
      <c r="D6886" s="508">
        <v>673.66</v>
      </c>
      <c r="E6886" s="461" t="s">
        <v>174</v>
      </c>
    </row>
    <row r="6887" spans="1:5" ht="27" x14ac:dyDescent="0.25">
      <c r="A6887" s="508">
        <v>100486</v>
      </c>
      <c r="B6887" s="509" t="s">
        <v>1913</v>
      </c>
      <c r="C6887" s="508" t="s">
        <v>163</v>
      </c>
      <c r="D6887" s="508">
        <v>813.18</v>
      </c>
      <c r="E6887" s="461" t="s">
        <v>174</v>
      </c>
    </row>
    <row r="6888" spans="1:5" ht="40.5" x14ac:dyDescent="0.25">
      <c r="A6888" s="508">
        <v>100487</v>
      </c>
      <c r="B6888" s="509" t="s">
        <v>1914</v>
      </c>
      <c r="C6888" s="508" t="s">
        <v>163</v>
      </c>
      <c r="D6888" s="508">
        <v>669.61</v>
      </c>
      <c r="E6888" s="461" t="s">
        <v>174</v>
      </c>
    </row>
    <row r="6889" spans="1:5" ht="27" x14ac:dyDescent="0.25">
      <c r="A6889" s="508">
        <v>100488</v>
      </c>
      <c r="B6889" s="509" t="s">
        <v>1915</v>
      </c>
      <c r="C6889" s="508" t="s">
        <v>163</v>
      </c>
      <c r="D6889" s="510">
        <v>647.65</v>
      </c>
      <c r="E6889" s="461" t="s">
        <v>174</v>
      </c>
    </row>
    <row r="6890" spans="1:5" ht="27" x14ac:dyDescent="0.25">
      <c r="A6890" s="508">
        <v>100489</v>
      </c>
      <c r="B6890" s="509" t="s">
        <v>1916</v>
      </c>
      <c r="C6890" s="508" t="s">
        <v>163</v>
      </c>
      <c r="D6890" s="508">
        <v>609.79999999999995</v>
      </c>
      <c r="E6890" s="461" t="s">
        <v>174</v>
      </c>
    </row>
    <row r="6891" spans="1:5" ht="27" x14ac:dyDescent="0.25">
      <c r="A6891" s="508">
        <v>100490</v>
      </c>
      <c r="B6891" s="509" t="s">
        <v>1917</v>
      </c>
      <c r="C6891" s="508" t="s">
        <v>163</v>
      </c>
      <c r="D6891" s="510">
        <v>563.04999999999995</v>
      </c>
      <c r="E6891" s="461" t="s">
        <v>174</v>
      </c>
    </row>
    <row r="6892" spans="1:5" ht="27" x14ac:dyDescent="0.25">
      <c r="A6892" s="508">
        <v>100491</v>
      </c>
      <c r="B6892" s="509" t="s">
        <v>1918</v>
      </c>
      <c r="C6892" s="508" t="s">
        <v>163</v>
      </c>
      <c r="D6892" s="510">
        <v>778.74</v>
      </c>
      <c r="E6892" s="461" t="s">
        <v>174</v>
      </c>
    </row>
    <row r="6893" spans="1:5" ht="27" x14ac:dyDescent="0.25">
      <c r="A6893" s="508">
        <v>100492</v>
      </c>
      <c r="B6893" s="509" t="s">
        <v>1919</v>
      </c>
      <c r="C6893" s="508" t="s">
        <v>163</v>
      </c>
      <c r="D6893" s="508">
        <v>697.16</v>
      </c>
      <c r="E6893" s="461" t="s">
        <v>174</v>
      </c>
    </row>
    <row r="6894" spans="1:5" ht="15" x14ac:dyDescent="0.25">
      <c r="A6894" s="508">
        <v>92121</v>
      </c>
      <c r="B6894" s="509" t="s">
        <v>924</v>
      </c>
      <c r="C6894" s="508" t="s">
        <v>163</v>
      </c>
      <c r="D6894" s="510">
        <v>33.36</v>
      </c>
      <c r="E6894" s="461" t="s">
        <v>174</v>
      </c>
    </row>
    <row r="6895" spans="1:5" ht="15" x14ac:dyDescent="0.25">
      <c r="A6895" s="508">
        <v>92122</v>
      </c>
      <c r="B6895" s="509" t="s">
        <v>925</v>
      </c>
      <c r="C6895" s="508" t="s">
        <v>163</v>
      </c>
      <c r="D6895" s="508">
        <v>56.11</v>
      </c>
      <c r="E6895" s="461" t="s">
        <v>174</v>
      </c>
    </row>
    <row r="6896" spans="1:5" ht="15" x14ac:dyDescent="0.25">
      <c r="A6896" s="508">
        <v>92123</v>
      </c>
      <c r="B6896" s="509" t="s">
        <v>926</v>
      </c>
      <c r="C6896" s="508" t="s">
        <v>163</v>
      </c>
      <c r="D6896" s="508">
        <v>58.78</v>
      </c>
      <c r="E6896" s="461" t="s">
        <v>174</v>
      </c>
    </row>
    <row r="6897" spans="1:5" ht="15" x14ac:dyDescent="0.25">
      <c r="A6897" s="508">
        <v>100195</v>
      </c>
      <c r="B6897" s="509" t="s">
        <v>1361</v>
      </c>
      <c r="C6897" s="508" t="s">
        <v>1362</v>
      </c>
      <c r="D6897" s="508">
        <v>0.85</v>
      </c>
      <c r="E6897" s="461" t="s">
        <v>174</v>
      </c>
    </row>
    <row r="6898" spans="1:5" ht="15" x14ac:dyDescent="0.25">
      <c r="A6898" s="508">
        <v>100196</v>
      </c>
      <c r="B6898" s="509" t="s">
        <v>1363</v>
      </c>
      <c r="C6898" s="508" t="s">
        <v>1362</v>
      </c>
      <c r="D6898" s="508">
        <v>1.43</v>
      </c>
      <c r="E6898" s="461" t="s">
        <v>174</v>
      </c>
    </row>
    <row r="6899" spans="1:5" ht="15" x14ac:dyDescent="0.25">
      <c r="A6899" s="508">
        <v>100197</v>
      </c>
      <c r="B6899" s="509" t="s">
        <v>1364</v>
      </c>
      <c r="C6899" s="508" t="s">
        <v>1362</v>
      </c>
      <c r="D6899" s="508">
        <v>2.14</v>
      </c>
      <c r="E6899" s="461" t="s">
        <v>174</v>
      </c>
    </row>
    <row r="6900" spans="1:5" ht="27" x14ac:dyDescent="0.25">
      <c r="A6900" s="508">
        <v>100198</v>
      </c>
      <c r="B6900" s="509" t="s">
        <v>1365</v>
      </c>
      <c r="C6900" s="508" t="s">
        <v>1362</v>
      </c>
      <c r="D6900" s="508">
        <v>0.28999999999999998</v>
      </c>
      <c r="E6900" s="461" t="s">
        <v>174</v>
      </c>
    </row>
    <row r="6901" spans="1:5" ht="27" x14ac:dyDescent="0.25">
      <c r="A6901" s="508">
        <v>100199</v>
      </c>
      <c r="B6901" s="509" t="s">
        <v>1366</v>
      </c>
      <c r="C6901" s="508" t="s">
        <v>1362</v>
      </c>
      <c r="D6901" s="508">
        <v>0.36</v>
      </c>
      <c r="E6901" s="461" t="s">
        <v>174</v>
      </c>
    </row>
    <row r="6902" spans="1:5" ht="27" x14ac:dyDescent="0.25">
      <c r="A6902" s="508">
        <v>100200</v>
      </c>
      <c r="B6902" s="509" t="s">
        <v>1367</v>
      </c>
      <c r="C6902" s="508" t="s">
        <v>1362</v>
      </c>
      <c r="D6902" s="508">
        <v>0.43</v>
      </c>
      <c r="E6902" s="461" t="s">
        <v>174</v>
      </c>
    </row>
    <row r="6903" spans="1:5" ht="27" x14ac:dyDescent="0.25">
      <c r="A6903" s="508">
        <v>100201</v>
      </c>
      <c r="B6903" s="509" t="s">
        <v>1368</v>
      </c>
      <c r="C6903" s="508" t="s">
        <v>1362</v>
      </c>
      <c r="D6903" s="508">
        <v>0.87</v>
      </c>
      <c r="E6903" s="461" t="s">
        <v>174</v>
      </c>
    </row>
    <row r="6904" spans="1:5" ht="27" x14ac:dyDescent="0.25">
      <c r="A6904" s="508">
        <v>100202</v>
      </c>
      <c r="B6904" s="509" t="s">
        <v>1369</v>
      </c>
      <c r="C6904" s="508" t="s">
        <v>1362</v>
      </c>
      <c r="D6904" s="508">
        <v>1.02</v>
      </c>
      <c r="E6904" s="461" t="s">
        <v>174</v>
      </c>
    </row>
    <row r="6905" spans="1:5" ht="27" x14ac:dyDescent="0.25">
      <c r="A6905" s="508">
        <v>100203</v>
      </c>
      <c r="B6905" s="509" t="s">
        <v>1370</v>
      </c>
      <c r="C6905" s="508" t="s">
        <v>1362</v>
      </c>
      <c r="D6905" s="508">
        <v>1.2</v>
      </c>
      <c r="E6905" s="461" t="s">
        <v>174</v>
      </c>
    </row>
    <row r="6906" spans="1:5" ht="27" x14ac:dyDescent="0.25">
      <c r="A6906" s="508">
        <v>100204</v>
      </c>
      <c r="B6906" s="509" t="s">
        <v>1371</v>
      </c>
      <c r="C6906" s="508" t="s">
        <v>1362</v>
      </c>
      <c r="D6906" s="508">
        <v>0.11</v>
      </c>
      <c r="E6906" s="461" t="s">
        <v>174</v>
      </c>
    </row>
    <row r="6907" spans="1:5" ht="27" x14ac:dyDescent="0.25">
      <c r="A6907" s="508">
        <v>100205</v>
      </c>
      <c r="B6907" s="509" t="s">
        <v>1372</v>
      </c>
      <c r="C6907" s="508" t="s">
        <v>178</v>
      </c>
      <c r="D6907" s="508">
        <v>1598.37</v>
      </c>
      <c r="E6907" s="461" t="s">
        <v>174</v>
      </c>
    </row>
    <row r="6908" spans="1:5" ht="27" x14ac:dyDescent="0.25">
      <c r="A6908" s="508">
        <v>100206</v>
      </c>
      <c r="B6908" s="509" t="s">
        <v>1373</v>
      </c>
      <c r="C6908" s="508" t="s">
        <v>178</v>
      </c>
      <c r="D6908" s="508">
        <v>1155.3499999999999</v>
      </c>
      <c r="E6908" s="461" t="s">
        <v>174</v>
      </c>
    </row>
    <row r="6909" spans="1:5" ht="15" x14ac:dyDescent="0.25">
      <c r="A6909" s="508">
        <v>100207</v>
      </c>
      <c r="B6909" s="509" t="s">
        <v>1374</v>
      </c>
      <c r="C6909" s="508" t="s">
        <v>178</v>
      </c>
      <c r="D6909" s="508">
        <v>489.26</v>
      </c>
      <c r="E6909" s="461" t="s">
        <v>174</v>
      </c>
    </row>
    <row r="6910" spans="1:5" ht="27" x14ac:dyDescent="0.25">
      <c r="A6910" s="508">
        <v>100208</v>
      </c>
      <c r="B6910" s="509" t="s">
        <v>1375</v>
      </c>
      <c r="C6910" s="508" t="s">
        <v>1376</v>
      </c>
      <c r="D6910" s="508">
        <v>21.14</v>
      </c>
      <c r="E6910" s="461" t="s">
        <v>174</v>
      </c>
    </row>
    <row r="6911" spans="1:5" ht="27" x14ac:dyDescent="0.25">
      <c r="A6911" s="508">
        <v>100209</v>
      </c>
      <c r="B6911" s="509" t="s">
        <v>1377</v>
      </c>
      <c r="C6911" s="508" t="s">
        <v>1376</v>
      </c>
      <c r="D6911" s="508">
        <v>10.57</v>
      </c>
      <c r="E6911" s="461" t="s">
        <v>174</v>
      </c>
    </row>
    <row r="6912" spans="1:5" ht="27" x14ac:dyDescent="0.25">
      <c r="A6912" s="508">
        <v>100210</v>
      </c>
      <c r="B6912" s="509" t="s">
        <v>1378</v>
      </c>
      <c r="C6912" s="508" t="s">
        <v>1376</v>
      </c>
      <c r="D6912" s="508">
        <v>19.48</v>
      </c>
      <c r="E6912" s="461" t="s">
        <v>174</v>
      </c>
    </row>
    <row r="6913" spans="1:5" ht="27" x14ac:dyDescent="0.25">
      <c r="A6913" s="508">
        <v>100211</v>
      </c>
      <c r="B6913" s="509" t="s">
        <v>1379</v>
      </c>
      <c r="C6913" s="508" t="s">
        <v>1376</v>
      </c>
      <c r="D6913" s="508">
        <v>7.51</v>
      </c>
      <c r="E6913" s="461" t="s">
        <v>174</v>
      </c>
    </row>
    <row r="6914" spans="1:5" ht="27" x14ac:dyDescent="0.25">
      <c r="A6914" s="508">
        <v>100212</v>
      </c>
      <c r="B6914" s="509" t="s">
        <v>1380</v>
      </c>
      <c r="C6914" s="508" t="s">
        <v>1376</v>
      </c>
      <c r="D6914" s="508">
        <v>8.3000000000000007</v>
      </c>
      <c r="E6914" s="461" t="s">
        <v>174</v>
      </c>
    </row>
    <row r="6915" spans="1:5" ht="27" x14ac:dyDescent="0.25">
      <c r="A6915" s="508">
        <v>100213</v>
      </c>
      <c r="B6915" s="509" t="s">
        <v>1381</v>
      </c>
      <c r="C6915" s="508" t="s">
        <v>1376</v>
      </c>
      <c r="D6915" s="508">
        <v>2.98</v>
      </c>
      <c r="E6915" s="461" t="s">
        <v>174</v>
      </c>
    </row>
    <row r="6916" spans="1:5" ht="27" x14ac:dyDescent="0.25">
      <c r="A6916" s="508">
        <v>100214</v>
      </c>
      <c r="B6916" s="509" t="s">
        <v>1382</v>
      </c>
      <c r="C6916" s="508" t="s">
        <v>1376</v>
      </c>
      <c r="D6916" s="508">
        <v>4.57</v>
      </c>
      <c r="E6916" s="461" t="s">
        <v>174</v>
      </c>
    </row>
    <row r="6917" spans="1:5" ht="27" x14ac:dyDescent="0.25">
      <c r="A6917" s="508">
        <v>100215</v>
      </c>
      <c r="B6917" s="509" t="s">
        <v>1383</v>
      </c>
      <c r="C6917" s="508" t="s">
        <v>1376</v>
      </c>
      <c r="D6917" s="508">
        <v>3.92</v>
      </c>
      <c r="E6917" s="461" t="s">
        <v>174</v>
      </c>
    </row>
    <row r="6918" spans="1:5" ht="27" x14ac:dyDescent="0.25">
      <c r="A6918" s="508">
        <v>100216</v>
      </c>
      <c r="B6918" s="509" t="s">
        <v>1384</v>
      </c>
      <c r="C6918" s="508" t="s">
        <v>1376</v>
      </c>
      <c r="D6918" s="508">
        <v>1.05</v>
      </c>
      <c r="E6918" s="461" t="s">
        <v>174</v>
      </c>
    </row>
    <row r="6919" spans="1:5" ht="27" x14ac:dyDescent="0.25">
      <c r="A6919" s="508">
        <v>100217</v>
      </c>
      <c r="B6919" s="509" t="s">
        <v>1385</v>
      </c>
      <c r="C6919" s="508" t="s">
        <v>1376</v>
      </c>
      <c r="D6919" s="508">
        <v>3.01</v>
      </c>
      <c r="E6919" s="461" t="s">
        <v>174</v>
      </c>
    </row>
    <row r="6920" spans="1:5" ht="27" x14ac:dyDescent="0.25">
      <c r="A6920" s="508">
        <v>100218</v>
      </c>
      <c r="B6920" s="509" t="s">
        <v>1386</v>
      </c>
      <c r="C6920" s="508" t="s">
        <v>1376</v>
      </c>
      <c r="D6920" s="508">
        <v>2.06</v>
      </c>
      <c r="E6920" s="461" t="s">
        <v>174</v>
      </c>
    </row>
    <row r="6921" spans="1:5" ht="27" x14ac:dyDescent="0.25">
      <c r="A6921" s="508">
        <v>100219</v>
      </c>
      <c r="B6921" s="509" t="s">
        <v>1387</v>
      </c>
      <c r="C6921" s="508" t="s">
        <v>1376</v>
      </c>
      <c r="D6921" s="508">
        <v>0.45</v>
      </c>
      <c r="E6921" s="461" t="s">
        <v>174</v>
      </c>
    </row>
    <row r="6922" spans="1:5" ht="27" x14ac:dyDescent="0.25">
      <c r="A6922" s="508">
        <v>100220</v>
      </c>
      <c r="B6922" s="509" t="s">
        <v>1388</v>
      </c>
      <c r="C6922" s="508" t="s">
        <v>1389</v>
      </c>
      <c r="D6922" s="508">
        <v>30.37</v>
      </c>
      <c r="E6922" s="461" t="s">
        <v>174</v>
      </c>
    </row>
    <row r="6923" spans="1:5" ht="27" x14ac:dyDescent="0.25">
      <c r="A6923" s="508">
        <v>100221</v>
      </c>
      <c r="B6923" s="509" t="s">
        <v>1390</v>
      </c>
      <c r="C6923" s="508" t="s">
        <v>1389</v>
      </c>
      <c r="D6923" s="508">
        <v>34.43</v>
      </c>
      <c r="E6923" s="461" t="s">
        <v>174</v>
      </c>
    </row>
    <row r="6924" spans="1:5" ht="27" x14ac:dyDescent="0.25">
      <c r="A6924" s="508">
        <v>100222</v>
      </c>
      <c r="B6924" s="509" t="s">
        <v>1391</v>
      </c>
      <c r="C6924" s="508" t="s">
        <v>1389</v>
      </c>
      <c r="D6924" s="508">
        <v>13.04</v>
      </c>
      <c r="E6924" s="461" t="s">
        <v>174</v>
      </c>
    </row>
    <row r="6925" spans="1:5" ht="27" x14ac:dyDescent="0.25">
      <c r="A6925" s="508">
        <v>100223</v>
      </c>
      <c r="B6925" s="509" t="s">
        <v>1392</v>
      </c>
      <c r="C6925" s="508" t="s">
        <v>1389</v>
      </c>
      <c r="D6925" s="508">
        <v>6.1</v>
      </c>
      <c r="E6925" s="461" t="s">
        <v>174</v>
      </c>
    </row>
    <row r="6926" spans="1:5" ht="27" x14ac:dyDescent="0.25">
      <c r="A6926" s="508">
        <v>100224</v>
      </c>
      <c r="B6926" s="509" t="s">
        <v>1393</v>
      </c>
      <c r="C6926" s="508" t="s">
        <v>1389</v>
      </c>
      <c r="D6926" s="508">
        <v>3.01</v>
      </c>
      <c r="E6926" s="461" t="s">
        <v>174</v>
      </c>
    </row>
    <row r="6927" spans="1:5" ht="15" x14ac:dyDescent="0.25">
      <c r="A6927" s="508">
        <v>100225</v>
      </c>
      <c r="B6927" s="509" t="s">
        <v>1394</v>
      </c>
      <c r="C6927" s="508" t="s">
        <v>1395</v>
      </c>
      <c r="D6927" s="508">
        <v>2.38</v>
      </c>
      <c r="E6927" s="461" t="s">
        <v>174</v>
      </c>
    </row>
    <row r="6928" spans="1:5" ht="27" x14ac:dyDescent="0.25">
      <c r="A6928" s="508">
        <v>100226</v>
      </c>
      <c r="B6928" s="509" t="s">
        <v>1396</v>
      </c>
      <c r="C6928" s="508" t="s">
        <v>1395</v>
      </c>
      <c r="D6928" s="508">
        <v>0.75</v>
      </c>
      <c r="E6928" s="461" t="s">
        <v>174</v>
      </c>
    </row>
    <row r="6929" spans="1:5" ht="27" x14ac:dyDescent="0.25">
      <c r="A6929" s="508">
        <v>100227</v>
      </c>
      <c r="B6929" s="509" t="s">
        <v>1397</v>
      </c>
      <c r="C6929" s="508" t="s">
        <v>1395</v>
      </c>
      <c r="D6929" s="508">
        <v>1.1000000000000001</v>
      </c>
      <c r="E6929" s="461" t="s">
        <v>174</v>
      </c>
    </row>
    <row r="6930" spans="1:5" ht="27" x14ac:dyDescent="0.25">
      <c r="A6930" s="508">
        <v>100228</v>
      </c>
      <c r="B6930" s="509" t="s">
        <v>1398</v>
      </c>
      <c r="C6930" s="508" t="s">
        <v>1395</v>
      </c>
      <c r="D6930" s="508">
        <v>0.28999999999999998</v>
      </c>
      <c r="E6930" s="461" t="s">
        <v>174</v>
      </c>
    </row>
    <row r="6931" spans="1:5" ht="15" x14ac:dyDescent="0.25">
      <c r="A6931" s="508">
        <v>100229</v>
      </c>
      <c r="B6931" s="509" t="s">
        <v>1399</v>
      </c>
      <c r="C6931" s="508" t="s">
        <v>106</v>
      </c>
      <c r="D6931" s="508">
        <v>0.01</v>
      </c>
      <c r="E6931" s="461" t="s">
        <v>174</v>
      </c>
    </row>
    <row r="6932" spans="1:5" ht="15" x14ac:dyDescent="0.25">
      <c r="A6932" s="508">
        <v>100230</v>
      </c>
      <c r="B6932" s="509" t="s">
        <v>1400</v>
      </c>
      <c r="C6932" s="508" t="s">
        <v>106</v>
      </c>
      <c r="D6932" s="508">
        <v>0.02</v>
      </c>
      <c r="E6932" s="461" t="s">
        <v>174</v>
      </c>
    </row>
    <row r="6933" spans="1:5" ht="15" x14ac:dyDescent="0.25">
      <c r="A6933" s="508">
        <v>100231</v>
      </c>
      <c r="B6933" s="509" t="s">
        <v>1401</v>
      </c>
      <c r="C6933" s="508" t="s">
        <v>106</v>
      </c>
      <c r="D6933" s="508">
        <v>0.04</v>
      </c>
      <c r="E6933" s="461" t="s">
        <v>174</v>
      </c>
    </row>
    <row r="6934" spans="1:5" ht="27" x14ac:dyDescent="0.25">
      <c r="A6934" s="508">
        <v>100232</v>
      </c>
      <c r="B6934" s="509" t="s">
        <v>1402</v>
      </c>
      <c r="C6934" s="508" t="s">
        <v>107</v>
      </c>
      <c r="D6934" s="508">
        <v>0.4</v>
      </c>
      <c r="E6934" s="461" t="s">
        <v>174</v>
      </c>
    </row>
    <row r="6935" spans="1:5" ht="27" x14ac:dyDescent="0.25">
      <c r="A6935" s="508">
        <v>100233</v>
      </c>
      <c r="B6935" s="509" t="s">
        <v>1403</v>
      </c>
      <c r="C6935" s="508" t="s">
        <v>107</v>
      </c>
      <c r="D6935" s="508">
        <v>0.2</v>
      </c>
      <c r="E6935" s="461" t="s">
        <v>174</v>
      </c>
    </row>
    <row r="6936" spans="1:5" ht="27" x14ac:dyDescent="0.25">
      <c r="A6936" s="508">
        <v>100234</v>
      </c>
      <c r="B6936" s="509" t="s">
        <v>1404</v>
      </c>
      <c r="C6936" s="508" t="s">
        <v>150</v>
      </c>
      <c r="D6936" s="508">
        <v>0.6</v>
      </c>
      <c r="E6936" s="461" t="s">
        <v>174</v>
      </c>
    </row>
    <row r="6937" spans="1:5" ht="27" x14ac:dyDescent="0.25">
      <c r="A6937" s="508">
        <v>100235</v>
      </c>
      <c r="B6937" s="509" t="s">
        <v>1405</v>
      </c>
      <c r="C6937" s="508" t="s">
        <v>4</v>
      </c>
      <c r="D6937" s="508">
        <v>0.04</v>
      </c>
      <c r="E6937" s="461" t="s">
        <v>174</v>
      </c>
    </row>
    <row r="6938" spans="1:5" ht="27" x14ac:dyDescent="0.25">
      <c r="A6938" s="508">
        <v>100236</v>
      </c>
      <c r="B6938" s="509" t="s">
        <v>1406</v>
      </c>
      <c r="C6938" s="508" t="s">
        <v>1407</v>
      </c>
      <c r="D6938" s="508">
        <v>3.03</v>
      </c>
      <c r="E6938" s="461" t="s">
        <v>174</v>
      </c>
    </row>
    <row r="6939" spans="1:5" ht="27" x14ac:dyDescent="0.25">
      <c r="A6939" s="508">
        <v>100237</v>
      </c>
      <c r="B6939" s="509" t="s">
        <v>1408</v>
      </c>
      <c r="C6939" s="508" t="s">
        <v>1407</v>
      </c>
      <c r="D6939" s="508">
        <v>3.63</v>
      </c>
      <c r="E6939" s="461" t="s">
        <v>174</v>
      </c>
    </row>
    <row r="6940" spans="1:5" ht="27" x14ac:dyDescent="0.25">
      <c r="A6940" s="508">
        <v>100238</v>
      </c>
      <c r="B6940" s="509" t="s">
        <v>1409</v>
      </c>
      <c r="C6940" s="508" t="s">
        <v>1407</v>
      </c>
      <c r="D6940" s="508">
        <v>5.81</v>
      </c>
      <c r="E6940" s="461" t="s">
        <v>174</v>
      </c>
    </row>
    <row r="6941" spans="1:5" ht="27" x14ac:dyDescent="0.25">
      <c r="A6941" s="508">
        <v>100239</v>
      </c>
      <c r="B6941" s="509" t="s">
        <v>1410</v>
      </c>
      <c r="C6941" s="508" t="s">
        <v>1407</v>
      </c>
      <c r="D6941" s="508">
        <v>7.26</v>
      </c>
      <c r="E6941" s="461" t="s">
        <v>174</v>
      </c>
    </row>
    <row r="6942" spans="1:5" ht="27" x14ac:dyDescent="0.25">
      <c r="A6942" s="508">
        <v>100240</v>
      </c>
      <c r="B6942" s="509" t="s">
        <v>1411</v>
      </c>
      <c r="C6942" s="508" t="s">
        <v>1407</v>
      </c>
      <c r="D6942" s="508">
        <v>4.3499999999999996</v>
      </c>
      <c r="E6942" s="461" t="s">
        <v>174</v>
      </c>
    </row>
    <row r="6943" spans="1:5" ht="27" x14ac:dyDescent="0.25">
      <c r="A6943" s="508">
        <v>100241</v>
      </c>
      <c r="B6943" s="509" t="s">
        <v>1412</v>
      </c>
      <c r="C6943" s="508" t="s">
        <v>1407</v>
      </c>
      <c r="D6943" s="508">
        <v>7.26</v>
      </c>
      <c r="E6943" s="461" t="s">
        <v>174</v>
      </c>
    </row>
    <row r="6944" spans="1:5" ht="27" x14ac:dyDescent="0.25">
      <c r="A6944" s="508">
        <v>100242</v>
      </c>
      <c r="B6944" s="509" t="s">
        <v>1413</v>
      </c>
      <c r="C6944" s="508" t="s">
        <v>1407</v>
      </c>
      <c r="D6944" s="508">
        <v>21.47</v>
      </c>
      <c r="E6944" s="461" t="s">
        <v>174</v>
      </c>
    </row>
    <row r="6945" spans="1:5" ht="27" x14ac:dyDescent="0.25">
      <c r="A6945" s="508">
        <v>100243</v>
      </c>
      <c r="B6945" s="509" t="s">
        <v>1414</v>
      </c>
      <c r="C6945" s="508" t="s">
        <v>1407</v>
      </c>
      <c r="D6945" s="508">
        <v>3.48</v>
      </c>
      <c r="E6945" s="461" t="s">
        <v>174</v>
      </c>
    </row>
    <row r="6946" spans="1:5" ht="27" x14ac:dyDescent="0.25">
      <c r="A6946" s="508">
        <v>100244</v>
      </c>
      <c r="B6946" s="509" t="s">
        <v>1415</v>
      </c>
      <c r="C6946" s="508" t="s">
        <v>1407</v>
      </c>
      <c r="D6946" s="508">
        <v>4.3499999999999996</v>
      </c>
      <c r="E6946" s="461" t="s">
        <v>174</v>
      </c>
    </row>
    <row r="6947" spans="1:5" ht="27" x14ac:dyDescent="0.25">
      <c r="A6947" s="508">
        <v>100245</v>
      </c>
      <c r="B6947" s="509" t="s">
        <v>1416</v>
      </c>
      <c r="C6947" s="508" t="s">
        <v>1407</v>
      </c>
      <c r="D6947" s="508">
        <v>8.7200000000000006</v>
      </c>
      <c r="E6947" s="461" t="s">
        <v>174</v>
      </c>
    </row>
    <row r="6948" spans="1:5" ht="40.5" x14ac:dyDescent="0.25">
      <c r="A6948" s="508">
        <v>100246</v>
      </c>
      <c r="B6948" s="509" t="s">
        <v>1417</v>
      </c>
      <c r="C6948" s="508" t="s">
        <v>1407</v>
      </c>
      <c r="D6948" s="508">
        <v>2.9</v>
      </c>
      <c r="E6948" s="461" t="s">
        <v>174</v>
      </c>
    </row>
    <row r="6949" spans="1:5" ht="40.5" x14ac:dyDescent="0.25">
      <c r="A6949" s="508">
        <v>100247</v>
      </c>
      <c r="B6949" s="509" t="s">
        <v>1418</v>
      </c>
      <c r="C6949" s="508" t="s">
        <v>1407</v>
      </c>
      <c r="D6949" s="508">
        <v>3.63</v>
      </c>
      <c r="E6949" s="461" t="s">
        <v>174</v>
      </c>
    </row>
    <row r="6950" spans="1:5" ht="40.5" x14ac:dyDescent="0.25">
      <c r="A6950" s="508">
        <v>100248</v>
      </c>
      <c r="B6950" s="509" t="s">
        <v>1419</v>
      </c>
      <c r="C6950" s="508" t="s">
        <v>1407</v>
      </c>
      <c r="D6950" s="508">
        <v>14.31</v>
      </c>
      <c r="E6950" s="461" t="s">
        <v>174</v>
      </c>
    </row>
    <row r="6951" spans="1:5" ht="27" x14ac:dyDescent="0.25">
      <c r="A6951" s="508">
        <v>100249</v>
      </c>
      <c r="B6951" s="509" t="s">
        <v>1420</v>
      </c>
      <c r="C6951" s="508" t="s">
        <v>1407</v>
      </c>
      <c r="D6951" s="508">
        <v>2.9</v>
      </c>
      <c r="E6951" s="461" t="s">
        <v>174</v>
      </c>
    </row>
    <row r="6952" spans="1:5" ht="40.5" x14ac:dyDescent="0.25">
      <c r="A6952" s="508">
        <v>100250</v>
      </c>
      <c r="B6952" s="509" t="s">
        <v>1421</v>
      </c>
      <c r="C6952" s="508" t="s">
        <v>1407</v>
      </c>
      <c r="D6952" s="508">
        <v>4.84</v>
      </c>
      <c r="E6952" s="461" t="s">
        <v>174</v>
      </c>
    </row>
    <row r="6953" spans="1:5" ht="40.5" x14ac:dyDescent="0.25">
      <c r="A6953" s="508">
        <v>100251</v>
      </c>
      <c r="B6953" s="509" t="s">
        <v>1422</v>
      </c>
      <c r="C6953" s="508" t="s">
        <v>1407</v>
      </c>
      <c r="D6953" s="508">
        <v>14.31</v>
      </c>
      <c r="E6953" s="461" t="s">
        <v>174</v>
      </c>
    </row>
    <row r="6954" spans="1:5" ht="40.5" x14ac:dyDescent="0.25">
      <c r="A6954" s="508">
        <v>100252</v>
      </c>
      <c r="B6954" s="509" t="s">
        <v>1423</v>
      </c>
      <c r="C6954" s="508" t="s">
        <v>1407</v>
      </c>
      <c r="D6954" s="508">
        <v>21.47</v>
      </c>
      <c r="E6954" s="461" t="s">
        <v>174</v>
      </c>
    </row>
    <row r="6955" spans="1:5" ht="40.5" x14ac:dyDescent="0.25">
      <c r="A6955" s="508">
        <v>100253</v>
      </c>
      <c r="B6955" s="509" t="s">
        <v>1424</v>
      </c>
      <c r="C6955" s="508" t="s">
        <v>1407</v>
      </c>
      <c r="D6955" s="508">
        <v>28.63</v>
      </c>
      <c r="E6955" s="461" t="s">
        <v>174</v>
      </c>
    </row>
    <row r="6956" spans="1:5" ht="40.5" x14ac:dyDescent="0.25">
      <c r="A6956" s="508">
        <v>100254</v>
      </c>
      <c r="B6956" s="509" t="s">
        <v>1425</v>
      </c>
      <c r="C6956" s="508" t="s">
        <v>1407</v>
      </c>
      <c r="D6956" s="508">
        <v>42.94</v>
      </c>
      <c r="E6956" s="461" t="s">
        <v>174</v>
      </c>
    </row>
    <row r="6957" spans="1:5" ht="27" x14ac:dyDescent="0.25">
      <c r="A6957" s="508">
        <v>100255</v>
      </c>
      <c r="B6957" s="509" t="s">
        <v>1426</v>
      </c>
      <c r="C6957" s="508" t="s">
        <v>1407</v>
      </c>
      <c r="D6957" s="508">
        <v>14.53</v>
      </c>
      <c r="E6957" s="461" t="s">
        <v>174</v>
      </c>
    </row>
    <row r="6958" spans="1:5" ht="27" x14ac:dyDescent="0.25">
      <c r="A6958" s="508">
        <v>100256</v>
      </c>
      <c r="B6958" s="509" t="s">
        <v>1427</v>
      </c>
      <c r="C6958" s="508" t="s">
        <v>1407</v>
      </c>
      <c r="D6958" s="508">
        <v>9.68</v>
      </c>
      <c r="E6958" s="461" t="s">
        <v>174</v>
      </c>
    </row>
    <row r="6959" spans="1:5" ht="27" x14ac:dyDescent="0.25">
      <c r="A6959" s="508">
        <v>100257</v>
      </c>
      <c r="B6959" s="509" t="s">
        <v>1428</v>
      </c>
      <c r="C6959" s="508" t="s">
        <v>1407</v>
      </c>
      <c r="D6959" s="508">
        <v>5.81</v>
      </c>
      <c r="E6959" s="461" t="s">
        <v>174</v>
      </c>
    </row>
    <row r="6960" spans="1:5" ht="27" x14ac:dyDescent="0.25">
      <c r="A6960" s="508">
        <v>100258</v>
      </c>
      <c r="B6960" s="509" t="s">
        <v>1429</v>
      </c>
      <c r="C6960" s="508" t="s">
        <v>1407</v>
      </c>
      <c r="D6960" s="508">
        <v>14.53</v>
      </c>
      <c r="E6960" s="461" t="s">
        <v>174</v>
      </c>
    </row>
    <row r="6961" spans="1:5" ht="27" x14ac:dyDescent="0.25">
      <c r="A6961" s="508">
        <v>100259</v>
      </c>
      <c r="B6961" s="509" t="s">
        <v>1430</v>
      </c>
      <c r="C6961" s="508" t="s">
        <v>1407</v>
      </c>
      <c r="D6961" s="508">
        <v>28.63</v>
      </c>
      <c r="E6961" s="461" t="s">
        <v>174</v>
      </c>
    </row>
    <row r="6962" spans="1:5" ht="27" x14ac:dyDescent="0.25">
      <c r="A6962" s="508">
        <v>100260</v>
      </c>
      <c r="B6962" s="509" t="s">
        <v>1431</v>
      </c>
      <c r="C6962" s="508" t="s">
        <v>1362</v>
      </c>
      <c r="D6962" s="508">
        <v>9.43</v>
      </c>
      <c r="E6962" s="461" t="s">
        <v>174</v>
      </c>
    </row>
    <row r="6963" spans="1:5" ht="27" x14ac:dyDescent="0.25">
      <c r="A6963" s="508">
        <v>100261</v>
      </c>
      <c r="B6963" s="509" t="s">
        <v>1432</v>
      </c>
      <c r="C6963" s="508" t="s">
        <v>1362</v>
      </c>
      <c r="D6963" s="508">
        <v>5.93</v>
      </c>
      <c r="E6963" s="461" t="s">
        <v>174</v>
      </c>
    </row>
    <row r="6964" spans="1:5" ht="27" x14ac:dyDescent="0.25">
      <c r="A6964" s="508">
        <v>100262</v>
      </c>
      <c r="B6964" s="509" t="s">
        <v>1433</v>
      </c>
      <c r="C6964" s="508" t="s">
        <v>1362</v>
      </c>
      <c r="D6964" s="508">
        <v>3.67</v>
      </c>
      <c r="E6964" s="461" t="s">
        <v>174</v>
      </c>
    </row>
    <row r="6965" spans="1:5" ht="27" x14ac:dyDescent="0.25">
      <c r="A6965" s="508">
        <v>100263</v>
      </c>
      <c r="B6965" s="509" t="s">
        <v>1434</v>
      </c>
      <c r="C6965" s="508" t="s">
        <v>1362</v>
      </c>
      <c r="D6965" s="508">
        <v>2.35</v>
      </c>
      <c r="E6965" s="461" t="s">
        <v>174</v>
      </c>
    </row>
    <row r="6966" spans="1:5" ht="15" x14ac:dyDescent="0.25">
      <c r="A6966" s="508">
        <v>100264</v>
      </c>
      <c r="B6966" s="509" t="s">
        <v>1435</v>
      </c>
      <c r="C6966" s="508" t="s">
        <v>1389</v>
      </c>
      <c r="D6966" s="508">
        <v>42.88</v>
      </c>
      <c r="E6966" s="461" t="s">
        <v>174</v>
      </c>
    </row>
    <row r="6967" spans="1:5" ht="15" x14ac:dyDescent="0.25">
      <c r="A6967" s="508">
        <v>100265</v>
      </c>
      <c r="B6967" s="509" t="s">
        <v>1436</v>
      </c>
      <c r="C6967" s="508" t="s">
        <v>150</v>
      </c>
      <c r="D6967" s="508">
        <v>0.9</v>
      </c>
      <c r="E6967" s="461" t="s">
        <v>174</v>
      </c>
    </row>
    <row r="6968" spans="1:5" ht="15" x14ac:dyDescent="0.25">
      <c r="A6968" s="508">
        <v>100266</v>
      </c>
      <c r="B6968" s="509" t="s">
        <v>1437</v>
      </c>
      <c r="C6968" s="508" t="s">
        <v>1376</v>
      </c>
      <c r="D6968" s="508">
        <v>91.13</v>
      </c>
      <c r="E6968" s="461" t="s">
        <v>174</v>
      </c>
    </row>
    <row r="6969" spans="1:5" ht="15" x14ac:dyDescent="0.25">
      <c r="A6969" s="508">
        <v>100267</v>
      </c>
      <c r="B6969" s="509" t="s">
        <v>1438</v>
      </c>
      <c r="C6969" s="508" t="s">
        <v>107</v>
      </c>
      <c r="D6969" s="508">
        <v>1.8</v>
      </c>
      <c r="E6969" s="461" t="s">
        <v>174</v>
      </c>
    </row>
    <row r="6970" spans="1:5" ht="27" x14ac:dyDescent="0.25">
      <c r="A6970" s="508">
        <v>100268</v>
      </c>
      <c r="B6970" s="509" t="s">
        <v>1439</v>
      </c>
      <c r="C6970" s="508" t="s">
        <v>1376</v>
      </c>
      <c r="D6970" s="508">
        <v>91.13</v>
      </c>
      <c r="E6970" s="461" t="s">
        <v>174</v>
      </c>
    </row>
    <row r="6971" spans="1:5" ht="27" x14ac:dyDescent="0.25">
      <c r="A6971" s="508">
        <v>100269</v>
      </c>
      <c r="B6971" s="509" t="s">
        <v>1440</v>
      </c>
      <c r="C6971" s="508" t="s">
        <v>107</v>
      </c>
      <c r="D6971" s="508">
        <v>1.8</v>
      </c>
      <c r="E6971" s="461" t="s">
        <v>174</v>
      </c>
    </row>
    <row r="6972" spans="1:5" ht="40.5" x14ac:dyDescent="0.25">
      <c r="A6972" s="508">
        <v>100270</v>
      </c>
      <c r="B6972" s="509" t="s">
        <v>1441</v>
      </c>
      <c r="C6972" s="508" t="s">
        <v>1376</v>
      </c>
      <c r="D6972" s="508">
        <v>68.31</v>
      </c>
      <c r="E6972" s="461" t="s">
        <v>174</v>
      </c>
    </row>
    <row r="6973" spans="1:5" ht="15" x14ac:dyDescent="0.25">
      <c r="A6973" s="508">
        <v>100271</v>
      </c>
      <c r="B6973" s="509" t="s">
        <v>1442</v>
      </c>
      <c r="C6973" s="508" t="s">
        <v>1389</v>
      </c>
      <c r="D6973" s="508">
        <v>68.349999999999994</v>
      </c>
      <c r="E6973" s="461" t="s">
        <v>174</v>
      </c>
    </row>
    <row r="6974" spans="1:5" ht="15" x14ac:dyDescent="0.25">
      <c r="A6974" s="508">
        <v>100272</v>
      </c>
      <c r="B6974" s="509" t="s">
        <v>1443</v>
      </c>
      <c r="C6974" s="508" t="s">
        <v>150</v>
      </c>
      <c r="D6974" s="508">
        <v>1.35</v>
      </c>
      <c r="E6974" s="461" t="s">
        <v>174</v>
      </c>
    </row>
    <row r="6975" spans="1:5" ht="15" x14ac:dyDescent="0.25">
      <c r="A6975" s="508">
        <v>100273</v>
      </c>
      <c r="B6975" s="509" t="s">
        <v>1444</v>
      </c>
      <c r="C6975" s="508" t="s">
        <v>1362</v>
      </c>
      <c r="D6975" s="508">
        <v>3.56</v>
      </c>
      <c r="E6975" s="461" t="s">
        <v>174</v>
      </c>
    </row>
    <row r="6976" spans="1:5" ht="15" x14ac:dyDescent="0.25">
      <c r="A6976" s="508">
        <v>100274</v>
      </c>
      <c r="B6976" s="509" t="s">
        <v>1445</v>
      </c>
      <c r="C6976" s="508" t="s">
        <v>1389</v>
      </c>
      <c r="D6976" s="508">
        <v>30.39</v>
      </c>
      <c r="E6976" s="461" t="s">
        <v>174</v>
      </c>
    </row>
    <row r="6977" spans="1:5" ht="27" x14ac:dyDescent="0.25">
      <c r="A6977" s="508">
        <v>100275</v>
      </c>
      <c r="B6977" s="509" t="s">
        <v>1446</v>
      </c>
      <c r="C6977" s="508" t="s">
        <v>1389</v>
      </c>
      <c r="D6977" s="508">
        <v>19.649999999999999</v>
      </c>
      <c r="E6977" s="461" t="s">
        <v>174</v>
      </c>
    </row>
    <row r="6978" spans="1:5" ht="27" x14ac:dyDescent="0.25">
      <c r="A6978" s="508">
        <v>100276</v>
      </c>
      <c r="B6978" s="509" t="s">
        <v>1447</v>
      </c>
      <c r="C6978" s="508" t="s">
        <v>1389</v>
      </c>
      <c r="D6978" s="508">
        <v>35.86</v>
      </c>
      <c r="E6978" s="461" t="s">
        <v>174</v>
      </c>
    </row>
    <row r="6979" spans="1:5" ht="40.5" x14ac:dyDescent="0.25">
      <c r="A6979" s="508">
        <v>100277</v>
      </c>
      <c r="B6979" s="509" t="s">
        <v>1448</v>
      </c>
      <c r="C6979" s="508" t="s">
        <v>1389</v>
      </c>
      <c r="D6979" s="508">
        <v>1.91</v>
      </c>
      <c r="E6979" s="461" t="s">
        <v>174</v>
      </c>
    </row>
    <row r="6980" spans="1:5" ht="27" x14ac:dyDescent="0.25">
      <c r="A6980" s="508">
        <v>100278</v>
      </c>
      <c r="B6980" s="509" t="s">
        <v>1449</v>
      </c>
      <c r="C6980" s="508" t="s">
        <v>1376</v>
      </c>
      <c r="D6980" s="508">
        <v>43.6</v>
      </c>
      <c r="E6980" s="461" t="s">
        <v>174</v>
      </c>
    </row>
    <row r="6981" spans="1:5" ht="27" x14ac:dyDescent="0.25">
      <c r="A6981" s="508">
        <v>100279</v>
      </c>
      <c r="B6981" s="509" t="s">
        <v>1450</v>
      </c>
      <c r="C6981" s="508" t="s">
        <v>107</v>
      </c>
      <c r="D6981" s="508">
        <v>0.84</v>
      </c>
      <c r="E6981" s="461" t="s">
        <v>174</v>
      </c>
    </row>
    <row r="6982" spans="1:5" ht="27" x14ac:dyDescent="0.25">
      <c r="A6982" s="508">
        <v>100280</v>
      </c>
      <c r="B6982" s="509" t="s">
        <v>1451</v>
      </c>
      <c r="C6982" s="508" t="s">
        <v>1376</v>
      </c>
      <c r="D6982" s="508">
        <v>20.02</v>
      </c>
      <c r="E6982" s="461" t="s">
        <v>174</v>
      </c>
    </row>
    <row r="6983" spans="1:5" ht="27" x14ac:dyDescent="0.25">
      <c r="A6983" s="508">
        <v>100281</v>
      </c>
      <c r="B6983" s="509" t="s">
        <v>1452</v>
      </c>
      <c r="C6983" s="508" t="s">
        <v>1376</v>
      </c>
      <c r="D6983" s="508">
        <v>3.69</v>
      </c>
      <c r="E6983" s="461" t="s">
        <v>174</v>
      </c>
    </row>
    <row r="6984" spans="1:5" ht="27" x14ac:dyDescent="0.25">
      <c r="A6984" s="508">
        <v>100282</v>
      </c>
      <c r="B6984" s="509" t="s">
        <v>1453</v>
      </c>
      <c r="C6984" s="508" t="s">
        <v>1389</v>
      </c>
      <c r="D6984" s="508">
        <v>170.74</v>
      </c>
      <c r="E6984" s="461" t="s">
        <v>174</v>
      </c>
    </row>
    <row r="6985" spans="1:5" ht="27" x14ac:dyDescent="0.25">
      <c r="A6985" s="508">
        <v>100283</v>
      </c>
      <c r="B6985" s="509" t="s">
        <v>1454</v>
      </c>
      <c r="C6985" s="508" t="s">
        <v>1389</v>
      </c>
      <c r="D6985" s="508">
        <v>27.58</v>
      </c>
      <c r="E6985" s="461" t="s">
        <v>174</v>
      </c>
    </row>
    <row r="6986" spans="1:5" ht="27" x14ac:dyDescent="0.25">
      <c r="A6986" s="508">
        <v>100284</v>
      </c>
      <c r="B6986" s="509" t="s">
        <v>1455</v>
      </c>
      <c r="C6986" s="508" t="s">
        <v>1389</v>
      </c>
      <c r="D6986" s="508">
        <v>10.79</v>
      </c>
      <c r="E6986" s="461" t="s">
        <v>174</v>
      </c>
    </row>
    <row r="6987" spans="1:5" ht="15" x14ac:dyDescent="0.25">
      <c r="A6987" s="508">
        <v>100285</v>
      </c>
      <c r="B6987" s="509" t="s">
        <v>1456</v>
      </c>
      <c r="C6987" s="508" t="s">
        <v>1407</v>
      </c>
      <c r="D6987" s="508">
        <v>45.87</v>
      </c>
      <c r="E6987" s="461" t="s">
        <v>174</v>
      </c>
    </row>
    <row r="6988" spans="1:5" ht="27" x14ac:dyDescent="0.25">
      <c r="A6988" s="508">
        <v>100286</v>
      </c>
      <c r="B6988" s="509" t="s">
        <v>1457</v>
      </c>
      <c r="C6988" s="508" t="s">
        <v>1407</v>
      </c>
      <c r="D6988" s="508">
        <v>14.95</v>
      </c>
      <c r="E6988" s="461" t="s">
        <v>174</v>
      </c>
    </row>
    <row r="6989" spans="1:5" ht="27" x14ac:dyDescent="0.25">
      <c r="A6989" s="508">
        <v>100287</v>
      </c>
      <c r="B6989" s="509" t="s">
        <v>8202</v>
      </c>
      <c r="C6989" s="508" t="s">
        <v>1407</v>
      </c>
      <c r="D6989" s="508">
        <v>14.31</v>
      </c>
      <c r="E6989" s="461" t="s">
        <v>174</v>
      </c>
    </row>
    <row r="6990" spans="1:5" ht="15" x14ac:dyDescent="0.25">
      <c r="A6990" s="508">
        <v>99802</v>
      </c>
      <c r="B6990" s="509" t="s">
        <v>1458</v>
      </c>
      <c r="C6990" s="508" t="s">
        <v>150</v>
      </c>
      <c r="D6990" s="508">
        <v>0.57999999999999996</v>
      </c>
      <c r="E6990" s="461" t="s">
        <v>174</v>
      </c>
    </row>
    <row r="6991" spans="1:5" ht="15" x14ac:dyDescent="0.25">
      <c r="A6991" s="508">
        <v>99803</v>
      </c>
      <c r="B6991" s="509" t="s">
        <v>1459</v>
      </c>
      <c r="C6991" s="508" t="s">
        <v>150</v>
      </c>
      <c r="D6991" s="508">
        <v>2.2599999999999998</v>
      </c>
      <c r="E6991" s="461" t="s">
        <v>174</v>
      </c>
    </row>
    <row r="6992" spans="1:5" ht="27" x14ac:dyDescent="0.25">
      <c r="A6992" s="508">
        <v>99804</v>
      </c>
      <c r="B6992" s="509" t="s">
        <v>4144</v>
      </c>
      <c r="C6992" s="508" t="s">
        <v>150</v>
      </c>
      <c r="D6992" s="508">
        <v>5.86</v>
      </c>
      <c r="E6992" s="461" t="s">
        <v>174</v>
      </c>
    </row>
    <row r="6993" spans="1:5" ht="27" x14ac:dyDescent="0.25">
      <c r="A6993" s="508">
        <v>99805</v>
      </c>
      <c r="B6993" s="509" t="s">
        <v>1460</v>
      </c>
      <c r="C6993" s="508" t="s">
        <v>150</v>
      </c>
      <c r="D6993" s="508">
        <v>12.14</v>
      </c>
      <c r="E6993" s="461" t="s">
        <v>174</v>
      </c>
    </row>
    <row r="6994" spans="1:5" ht="15" x14ac:dyDescent="0.25">
      <c r="A6994" s="508">
        <v>99806</v>
      </c>
      <c r="B6994" s="509" t="s">
        <v>1461</v>
      </c>
      <c r="C6994" s="508" t="s">
        <v>150</v>
      </c>
      <c r="D6994" s="508">
        <v>0.93</v>
      </c>
      <c r="E6994" s="461" t="s">
        <v>174</v>
      </c>
    </row>
    <row r="6995" spans="1:5" ht="27" x14ac:dyDescent="0.25">
      <c r="A6995" s="508">
        <v>99807</v>
      </c>
      <c r="B6995" s="509" t="s">
        <v>4145</v>
      </c>
      <c r="C6995" s="508" t="s">
        <v>150</v>
      </c>
      <c r="D6995" s="508">
        <v>1.76</v>
      </c>
      <c r="E6995" s="461" t="s">
        <v>174</v>
      </c>
    </row>
    <row r="6996" spans="1:5" ht="15" x14ac:dyDescent="0.25">
      <c r="A6996" s="508">
        <v>99808</v>
      </c>
      <c r="B6996" s="509" t="s">
        <v>1462</v>
      </c>
      <c r="C6996" s="508" t="s">
        <v>150</v>
      </c>
      <c r="D6996" s="508">
        <v>4.1900000000000004</v>
      </c>
      <c r="E6996" s="461" t="s">
        <v>174</v>
      </c>
    </row>
    <row r="6997" spans="1:5" ht="15" x14ac:dyDescent="0.25">
      <c r="A6997" s="508">
        <v>99809</v>
      </c>
      <c r="B6997" s="509" t="s">
        <v>1463</v>
      </c>
      <c r="C6997" s="508" t="s">
        <v>150</v>
      </c>
      <c r="D6997" s="508">
        <v>6.45</v>
      </c>
      <c r="E6997" s="461" t="s">
        <v>174</v>
      </c>
    </row>
    <row r="6998" spans="1:5" ht="27" x14ac:dyDescent="0.25">
      <c r="A6998" s="508">
        <v>99810</v>
      </c>
      <c r="B6998" s="509" t="s">
        <v>4146</v>
      </c>
      <c r="C6998" s="508" t="s">
        <v>150</v>
      </c>
      <c r="D6998" s="508">
        <v>8.01</v>
      </c>
      <c r="E6998" s="461" t="s">
        <v>174</v>
      </c>
    </row>
    <row r="6999" spans="1:5" ht="15" x14ac:dyDescent="0.25">
      <c r="A6999" s="508">
        <v>99811</v>
      </c>
      <c r="B6999" s="509" t="s">
        <v>1464</v>
      </c>
      <c r="C6999" s="508" t="s">
        <v>150</v>
      </c>
      <c r="D6999" s="508">
        <v>3.86</v>
      </c>
      <c r="E6999" s="461" t="s">
        <v>174</v>
      </c>
    </row>
    <row r="7000" spans="1:5" ht="15" x14ac:dyDescent="0.25">
      <c r="A7000" s="508">
        <v>99812</v>
      </c>
      <c r="B7000" s="509" t="s">
        <v>1465</v>
      </c>
      <c r="C7000" s="508" t="s">
        <v>150</v>
      </c>
      <c r="D7000" s="508">
        <v>1.24</v>
      </c>
      <c r="E7000" s="461" t="s">
        <v>174</v>
      </c>
    </row>
    <row r="7001" spans="1:5" ht="27" x14ac:dyDescent="0.25">
      <c r="A7001" s="508">
        <v>99813</v>
      </c>
      <c r="B7001" s="509" t="s">
        <v>4147</v>
      </c>
      <c r="C7001" s="508" t="s">
        <v>150</v>
      </c>
      <c r="D7001" s="508">
        <v>1.04</v>
      </c>
      <c r="E7001" s="461" t="s">
        <v>174</v>
      </c>
    </row>
    <row r="7002" spans="1:5" ht="15" x14ac:dyDescent="0.25">
      <c r="A7002" s="508">
        <v>99814</v>
      </c>
      <c r="B7002" s="509" t="s">
        <v>1466</v>
      </c>
      <c r="C7002" s="508" t="s">
        <v>150</v>
      </c>
      <c r="D7002" s="508">
        <v>2.1</v>
      </c>
      <c r="E7002" s="461" t="s">
        <v>174</v>
      </c>
    </row>
    <row r="7003" spans="1:5" ht="27" x14ac:dyDescent="0.25">
      <c r="A7003" s="508">
        <v>99815</v>
      </c>
      <c r="B7003" s="509" t="s">
        <v>4148</v>
      </c>
      <c r="C7003" s="508" t="s">
        <v>107</v>
      </c>
      <c r="D7003" s="508">
        <v>8.9700000000000006</v>
      </c>
      <c r="E7003" s="461" t="s">
        <v>174</v>
      </c>
    </row>
    <row r="7004" spans="1:5" ht="27" x14ac:dyDescent="0.25">
      <c r="A7004" s="508">
        <v>99816</v>
      </c>
      <c r="B7004" s="509" t="s">
        <v>4149</v>
      </c>
      <c r="C7004" s="508" t="s">
        <v>107</v>
      </c>
      <c r="D7004" s="508">
        <v>9.56</v>
      </c>
      <c r="E7004" s="461" t="s">
        <v>174</v>
      </c>
    </row>
    <row r="7005" spans="1:5" ht="27" x14ac:dyDescent="0.25">
      <c r="A7005" s="508">
        <v>99817</v>
      </c>
      <c r="B7005" s="509" t="s">
        <v>4150</v>
      </c>
      <c r="C7005" s="508" t="s">
        <v>107</v>
      </c>
      <c r="D7005" s="508">
        <v>5.49</v>
      </c>
      <c r="E7005" s="461" t="s">
        <v>174</v>
      </c>
    </row>
    <row r="7006" spans="1:5" ht="27" x14ac:dyDescent="0.25">
      <c r="A7006" s="508">
        <v>99818</v>
      </c>
      <c r="B7006" s="509" t="s">
        <v>4151</v>
      </c>
      <c r="C7006" s="508" t="s">
        <v>107</v>
      </c>
      <c r="D7006" s="508">
        <v>5.49</v>
      </c>
      <c r="E7006" s="461" t="s">
        <v>174</v>
      </c>
    </row>
    <row r="7007" spans="1:5" ht="15" x14ac:dyDescent="0.25">
      <c r="A7007" s="508">
        <v>99819</v>
      </c>
      <c r="B7007" s="509" t="s">
        <v>4152</v>
      </c>
      <c r="C7007" s="508" t="s">
        <v>150</v>
      </c>
      <c r="D7007" s="508">
        <v>18.350000000000001</v>
      </c>
      <c r="E7007" s="461" t="s">
        <v>174</v>
      </c>
    </row>
    <row r="7008" spans="1:5" ht="15" x14ac:dyDescent="0.25">
      <c r="A7008" s="508">
        <v>99820</v>
      </c>
      <c r="B7008" s="509" t="s">
        <v>4153</v>
      </c>
      <c r="C7008" s="508" t="s">
        <v>150</v>
      </c>
      <c r="D7008" s="508">
        <v>2.0299999999999998</v>
      </c>
      <c r="E7008" s="461" t="s">
        <v>174</v>
      </c>
    </row>
    <row r="7009" spans="1:5" ht="15" x14ac:dyDescent="0.25">
      <c r="A7009" s="508">
        <v>99821</v>
      </c>
      <c r="B7009" s="509" t="s">
        <v>4154</v>
      </c>
      <c r="C7009" s="508" t="s">
        <v>150</v>
      </c>
      <c r="D7009" s="508">
        <v>3.13</v>
      </c>
      <c r="E7009" s="461" t="s">
        <v>174</v>
      </c>
    </row>
    <row r="7010" spans="1:5" ht="15" x14ac:dyDescent="0.25">
      <c r="A7010" s="508">
        <v>99822</v>
      </c>
      <c r="B7010" s="509" t="s">
        <v>1467</v>
      </c>
      <c r="C7010" s="508" t="s">
        <v>150</v>
      </c>
      <c r="D7010" s="508">
        <v>1.0900000000000001</v>
      </c>
      <c r="E7010" s="461" t="s">
        <v>174</v>
      </c>
    </row>
    <row r="7011" spans="1:5" ht="15" x14ac:dyDescent="0.25">
      <c r="A7011" s="508">
        <v>99823</v>
      </c>
      <c r="B7011" s="509" t="s">
        <v>4155</v>
      </c>
      <c r="C7011" s="508" t="s">
        <v>150</v>
      </c>
      <c r="D7011" s="508">
        <v>2.4</v>
      </c>
      <c r="E7011" s="461" t="s">
        <v>174</v>
      </c>
    </row>
    <row r="7012" spans="1:5" ht="15" x14ac:dyDescent="0.25">
      <c r="A7012" s="508">
        <v>99824</v>
      </c>
      <c r="B7012" s="509" t="s">
        <v>4156</v>
      </c>
      <c r="C7012" s="508" t="s">
        <v>150</v>
      </c>
      <c r="D7012" s="508">
        <v>2.65</v>
      </c>
      <c r="E7012" s="461" t="s">
        <v>174</v>
      </c>
    </row>
    <row r="7013" spans="1:5" ht="15" x14ac:dyDescent="0.25">
      <c r="A7013" s="508">
        <v>99825</v>
      </c>
      <c r="B7013" s="509" t="s">
        <v>4157</v>
      </c>
      <c r="C7013" s="508" t="s">
        <v>150</v>
      </c>
      <c r="D7013" s="508">
        <v>3.69</v>
      </c>
      <c r="E7013" s="461" t="s">
        <v>174</v>
      </c>
    </row>
    <row r="7014" spans="1:5" ht="15" x14ac:dyDescent="0.25">
      <c r="A7014" s="508">
        <v>99826</v>
      </c>
      <c r="B7014" s="509" t="s">
        <v>1468</v>
      </c>
      <c r="C7014" s="508" t="s">
        <v>150</v>
      </c>
      <c r="D7014" s="508">
        <v>1.68</v>
      </c>
      <c r="E7014" s="461" t="s">
        <v>174</v>
      </c>
    </row>
    <row r="7015" spans="1:5" ht="27" x14ac:dyDescent="0.25">
      <c r="A7015" s="508">
        <v>97013</v>
      </c>
      <c r="B7015" s="509" t="s">
        <v>8203</v>
      </c>
      <c r="C7015" s="508" t="s">
        <v>5</v>
      </c>
      <c r="D7015" s="508">
        <v>85.11</v>
      </c>
      <c r="E7015" s="461" t="s">
        <v>174</v>
      </c>
    </row>
    <row r="7016" spans="1:5" ht="27" x14ac:dyDescent="0.25">
      <c r="A7016" s="508">
        <v>97014</v>
      </c>
      <c r="B7016" s="509" t="s">
        <v>8204</v>
      </c>
      <c r="C7016" s="508" t="s">
        <v>5</v>
      </c>
      <c r="D7016" s="508">
        <v>63.69</v>
      </c>
      <c r="E7016" s="461" t="s">
        <v>174</v>
      </c>
    </row>
    <row r="7017" spans="1:5" ht="40.5" x14ac:dyDescent="0.25">
      <c r="A7017" s="508">
        <v>97015</v>
      </c>
      <c r="B7017" s="509" t="s">
        <v>8205</v>
      </c>
      <c r="C7017" s="508" t="s">
        <v>5</v>
      </c>
      <c r="D7017" s="508">
        <v>52.99</v>
      </c>
      <c r="E7017" s="461" t="s">
        <v>174</v>
      </c>
    </row>
    <row r="7018" spans="1:5" ht="27" x14ac:dyDescent="0.25">
      <c r="A7018" s="508">
        <v>97016</v>
      </c>
      <c r="B7018" s="509" t="s">
        <v>8206</v>
      </c>
      <c r="C7018" s="508" t="s">
        <v>5</v>
      </c>
      <c r="D7018" s="508">
        <v>66.69</v>
      </c>
      <c r="E7018" s="461" t="s">
        <v>174</v>
      </c>
    </row>
    <row r="7019" spans="1:5" ht="27" x14ac:dyDescent="0.25">
      <c r="A7019" s="508">
        <v>97017</v>
      </c>
      <c r="B7019" s="509" t="s">
        <v>8207</v>
      </c>
      <c r="C7019" s="508" t="s">
        <v>5</v>
      </c>
      <c r="D7019" s="508">
        <v>49.78</v>
      </c>
      <c r="E7019" s="461" t="s">
        <v>174</v>
      </c>
    </row>
    <row r="7020" spans="1:5" ht="27" x14ac:dyDescent="0.25">
      <c r="A7020" s="508">
        <v>97018</v>
      </c>
      <c r="B7020" s="509" t="s">
        <v>8208</v>
      </c>
      <c r="C7020" s="508" t="s">
        <v>5</v>
      </c>
      <c r="D7020" s="508">
        <v>41.39</v>
      </c>
      <c r="E7020" s="461" t="s">
        <v>174</v>
      </c>
    </row>
    <row r="7021" spans="1:5" ht="40.5" x14ac:dyDescent="0.25">
      <c r="A7021" s="508">
        <v>97031</v>
      </c>
      <c r="B7021" s="509" t="s">
        <v>8209</v>
      </c>
      <c r="C7021" s="508" t="s">
        <v>5</v>
      </c>
      <c r="D7021" s="508">
        <v>98.14</v>
      </c>
      <c r="E7021" s="461" t="s">
        <v>174</v>
      </c>
    </row>
    <row r="7022" spans="1:5" ht="40.5" x14ac:dyDescent="0.25">
      <c r="A7022" s="508">
        <v>97032</v>
      </c>
      <c r="B7022" s="509" t="s">
        <v>8210</v>
      </c>
      <c r="C7022" s="508" t="s">
        <v>5</v>
      </c>
      <c r="D7022" s="508">
        <v>60.08</v>
      </c>
      <c r="E7022" s="461" t="s">
        <v>174</v>
      </c>
    </row>
    <row r="7023" spans="1:5" ht="40.5" x14ac:dyDescent="0.25">
      <c r="A7023" s="508">
        <v>97033</v>
      </c>
      <c r="B7023" s="509" t="s">
        <v>8211</v>
      </c>
      <c r="C7023" s="508" t="s">
        <v>5</v>
      </c>
      <c r="D7023" s="508">
        <v>93.4</v>
      </c>
      <c r="E7023" s="461" t="s">
        <v>174</v>
      </c>
    </row>
    <row r="7024" spans="1:5" ht="40.5" x14ac:dyDescent="0.25">
      <c r="A7024" s="508">
        <v>97034</v>
      </c>
      <c r="B7024" s="509" t="s">
        <v>8212</v>
      </c>
      <c r="C7024" s="508" t="s">
        <v>5</v>
      </c>
      <c r="D7024" s="508">
        <v>60.77</v>
      </c>
      <c r="E7024" s="461" t="s">
        <v>174</v>
      </c>
    </row>
    <row r="7025" spans="1:5" ht="27" x14ac:dyDescent="0.25">
      <c r="A7025" s="508">
        <v>97039</v>
      </c>
      <c r="B7025" s="509" t="s">
        <v>8213</v>
      </c>
      <c r="C7025" s="508" t="s">
        <v>150</v>
      </c>
      <c r="D7025" s="508">
        <v>74.62</v>
      </c>
      <c r="E7025" s="461" t="s">
        <v>174</v>
      </c>
    </row>
    <row r="7026" spans="1:5" ht="27" x14ac:dyDescent="0.25">
      <c r="A7026" s="508">
        <v>97040</v>
      </c>
      <c r="B7026" s="509" t="s">
        <v>8214</v>
      </c>
      <c r="C7026" s="508" t="s">
        <v>150</v>
      </c>
      <c r="D7026" s="508">
        <v>17.98</v>
      </c>
      <c r="E7026" s="461" t="s">
        <v>174</v>
      </c>
    </row>
    <row r="7027" spans="1:5" ht="15" x14ac:dyDescent="0.25">
      <c r="A7027" s="508">
        <v>97041</v>
      </c>
      <c r="B7027" s="509" t="s">
        <v>8215</v>
      </c>
      <c r="C7027" s="508" t="s">
        <v>150</v>
      </c>
      <c r="D7027" s="508">
        <v>137.04</v>
      </c>
      <c r="E7027" s="461" t="s">
        <v>174</v>
      </c>
    </row>
    <row r="7028" spans="1:5" ht="15" x14ac:dyDescent="0.25">
      <c r="A7028" s="508">
        <v>97046</v>
      </c>
      <c r="B7028" s="509" t="s">
        <v>8216</v>
      </c>
      <c r="C7028" s="508" t="s">
        <v>150</v>
      </c>
      <c r="D7028" s="508">
        <v>0.33</v>
      </c>
      <c r="E7028" s="461" t="s">
        <v>174</v>
      </c>
    </row>
    <row r="7029" spans="1:5" ht="27" x14ac:dyDescent="0.25">
      <c r="A7029" s="508">
        <v>97047</v>
      </c>
      <c r="B7029" s="509" t="s">
        <v>8217</v>
      </c>
      <c r="C7029" s="508" t="s">
        <v>150</v>
      </c>
      <c r="D7029" s="508">
        <v>0.13</v>
      </c>
      <c r="E7029" s="461" t="s">
        <v>174</v>
      </c>
    </row>
    <row r="7030" spans="1:5" ht="27" x14ac:dyDescent="0.25">
      <c r="A7030" s="508">
        <v>97048</v>
      </c>
      <c r="B7030" s="509" t="s">
        <v>8218</v>
      </c>
      <c r="C7030" s="508" t="s">
        <v>150</v>
      </c>
      <c r="D7030" s="508">
        <v>0.09</v>
      </c>
      <c r="E7030" s="461" t="s">
        <v>174</v>
      </c>
    </row>
    <row r="7031" spans="1:5" ht="15" x14ac:dyDescent="0.25">
      <c r="A7031" s="508">
        <v>97054</v>
      </c>
      <c r="B7031" s="509" t="s">
        <v>8219</v>
      </c>
      <c r="C7031" s="508" t="s">
        <v>107</v>
      </c>
      <c r="D7031" s="508">
        <v>24.95</v>
      </c>
      <c r="E7031" s="461" t="s">
        <v>174</v>
      </c>
    </row>
    <row r="7032" spans="1:5" ht="15" x14ac:dyDescent="0.25">
      <c r="A7032" s="508">
        <v>97062</v>
      </c>
      <c r="B7032" s="509" t="s">
        <v>8220</v>
      </c>
      <c r="C7032" s="508" t="s">
        <v>150</v>
      </c>
      <c r="D7032" s="508">
        <v>7.12</v>
      </c>
      <c r="E7032" s="461" t="s">
        <v>174</v>
      </c>
    </row>
    <row r="7033" spans="1:5" ht="27" x14ac:dyDescent="0.25">
      <c r="A7033" s="508">
        <v>97063</v>
      </c>
      <c r="B7033" s="509" t="s">
        <v>8221</v>
      </c>
      <c r="C7033" s="508" t="s">
        <v>150</v>
      </c>
      <c r="D7033" s="508">
        <v>18.920000000000002</v>
      </c>
      <c r="E7033" s="461" t="s">
        <v>174</v>
      </c>
    </row>
    <row r="7034" spans="1:5" ht="27" x14ac:dyDescent="0.25">
      <c r="A7034" s="508">
        <v>97064</v>
      </c>
      <c r="B7034" s="509" t="s">
        <v>8222</v>
      </c>
      <c r="C7034" s="508" t="s">
        <v>5</v>
      </c>
      <c r="D7034" s="508">
        <v>26.55</v>
      </c>
      <c r="E7034" s="461" t="s">
        <v>174</v>
      </c>
    </row>
    <row r="7035" spans="1:5" ht="27" x14ac:dyDescent="0.25">
      <c r="A7035" s="508">
        <v>97065</v>
      </c>
      <c r="B7035" s="509" t="s">
        <v>8223</v>
      </c>
      <c r="C7035" s="508" t="s">
        <v>163</v>
      </c>
      <c r="D7035" s="508">
        <v>12.75</v>
      </c>
      <c r="E7035" s="461" t="s">
        <v>174</v>
      </c>
    </row>
    <row r="7036" spans="1:5" ht="15" x14ac:dyDescent="0.25">
      <c r="A7036" s="508">
        <v>97066</v>
      </c>
      <c r="B7036" s="509" t="s">
        <v>8224</v>
      </c>
      <c r="C7036" s="508" t="s">
        <v>150</v>
      </c>
      <c r="D7036" s="508">
        <v>339.9</v>
      </c>
      <c r="E7036" s="461" t="s">
        <v>174</v>
      </c>
    </row>
    <row r="7037" spans="1:5" ht="27" x14ac:dyDescent="0.25">
      <c r="A7037" s="508">
        <v>97067</v>
      </c>
      <c r="B7037" s="509" t="s">
        <v>8225</v>
      </c>
      <c r="C7037" s="508" t="s">
        <v>5</v>
      </c>
      <c r="D7037" s="508">
        <v>684.24</v>
      </c>
      <c r="E7037" s="461" t="s">
        <v>174</v>
      </c>
    </row>
    <row r="7038" spans="1:5" ht="15" x14ac:dyDescent="0.25">
      <c r="A7038" s="508">
        <v>105103</v>
      </c>
      <c r="B7038" s="509" t="s">
        <v>8226</v>
      </c>
      <c r="C7038" s="508" t="s">
        <v>5</v>
      </c>
      <c r="D7038" s="508">
        <v>84.21</v>
      </c>
      <c r="E7038" s="461" t="s">
        <v>174</v>
      </c>
    </row>
    <row r="7039" spans="1:5" ht="15" x14ac:dyDescent="0.25">
      <c r="A7039" s="508">
        <v>105104</v>
      </c>
      <c r="B7039" s="509" t="s">
        <v>8227</v>
      </c>
      <c r="C7039" s="508" t="s">
        <v>107</v>
      </c>
      <c r="D7039" s="508">
        <v>4291.49</v>
      </c>
      <c r="E7039" s="461" t="s">
        <v>174</v>
      </c>
    </row>
    <row r="7040" spans="1:5" ht="15" x14ac:dyDescent="0.25">
      <c r="A7040" s="508">
        <v>105105</v>
      </c>
      <c r="B7040" s="509" t="s">
        <v>8228</v>
      </c>
      <c r="C7040" s="508" t="s">
        <v>5</v>
      </c>
      <c r="D7040" s="508">
        <v>59.13</v>
      </c>
      <c r="E7040" s="461" t="s">
        <v>174</v>
      </c>
    </row>
    <row r="7041" spans="1:5" ht="27" x14ac:dyDescent="0.25">
      <c r="A7041" s="508">
        <v>105106</v>
      </c>
      <c r="B7041" s="509" t="s">
        <v>8229</v>
      </c>
      <c r="C7041" s="508" t="s">
        <v>107</v>
      </c>
      <c r="D7041" s="508">
        <v>1916.79</v>
      </c>
      <c r="E7041" s="461" t="s">
        <v>174</v>
      </c>
    </row>
    <row r="7042" spans="1:5" ht="27" x14ac:dyDescent="0.25">
      <c r="A7042" s="508">
        <v>105107</v>
      </c>
      <c r="B7042" s="509" t="s">
        <v>8230</v>
      </c>
      <c r="C7042" s="508" t="s">
        <v>107</v>
      </c>
      <c r="D7042" s="508">
        <v>2830.32</v>
      </c>
      <c r="E7042" s="461" t="s">
        <v>174</v>
      </c>
    </row>
    <row r="7043" spans="1:5" ht="15" x14ac:dyDescent="0.25">
      <c r="A7043" s="508">
        <v>105110</v>
      </c>
      <c r="B7043" s="509" t="s">
        <v>8231</v>
      </c>
      <c r="C7043" s="508" t="s">
        <v>5</v>
      </c>
      <c r="D7043" s="508">
        <v>183.59</v>
      </c>
      <c r="E7043" s="461" t="s">
        <v>174</v>
      </c>
    </row>
    <row r="7044" spans="1:5" ht="27" x14ac:dyDescent="0.25">
      <c r="A7044" s="508">
        <v>105111</v>
      </c>
      <c r="B7044" s="509" t="s">
        <v>8232</v>
      </c>
      <c r="C7044" s="508" t="s">
        <v>107</v>
      </c>
      <c r="D7044" s="508">
        <v>16712.650000000001</v>
      </c>
      <c r="E7044" s="461" t="s">
        <v>174</v>
      </c>
    </row>
    <row r="7045" spans="1:5" ht="15" x14ac:dyDescent="0.25">
      <c r="A7045" s="508">
        <v>105112</v>
      </c>
      <c r="B7045" s="509" t="s">
        <v>8233</v>
      </c>
      <c r="C7045" s="508" t="s">
        <v>5</v>
      </c>
      <c r="D7045" s="508">
        <v>153.29</v>
      </c>
      <c r="E7045" s="461" t="s">
        <v>174</v>
      </c>
    </row>
    <row r="7046" spans="1:5" ht="27" x14ac:dyDescent="0.25">
      <c r="A7046" s="508">
        <v>97621</v>
      </c>
      <c r="B7046" s="509" t="s">
        <v>8234</v>
      </c>
      <c r="C7046" s="508" t="s">
        <v>163</v>
      </c>
      <c r="D7046" s="508">
        <v>127.99</v>
      </c>
      <c r="E7046" s="461" t="s">
        <v>174</v>
      </c>
    </row>
    <row r="7047" spans="1:5" ht="27" x14ac:dyDescent="0.25">
      <c r="A7047" s="508">
        <v>97622</v>
      </c>
      <c r="B7047" s="509" t="s">
        <v>8235</v>
      </c>
      <c r="C7047" s="508" t="s">
        <v>163</v>
      </c>
      <c r="D7047" s="508">
        <v>62.38</v>
      </c>
      <c r="E7047" s="461" t="s">
        <v>174</v>
      </c>
    </row>
    <row r="7048" spans="1:5" ht="27" x14ac:dyDescent="0.25">
      <c r="A7048" s="508">
        <v>97623</v>
      </c>
      <c r="B7048" s="509" t="s">
        <v>8236</v>
      </c>
      <c r="C7048" s="508" t="s">
        <v>163</v>
      </c>
      <c r="D7048" s="508">
        <v>191.1</v>
      </c>
      <c r="E7048" s="461" t="s">
        <v>174</v>
      </c>
    </row>
    <row r="7049" spans="1:5" ht="27" x14ac:dyDescent="0.25">
      <c r="A7049" s="508">
        <v>97624</v>
      </c>
      <c r="B7049" s="509" t="s">
        <v>8237</v>
      </c>
      <c r="C7049" s="508" t="s">
        <v>163</v>
      </c>
      <c r="D7049" s="508">
        <v>117.29</v>
      </c>
      <c r="E7049" s="461" t="s">
        <v>174</v>
      </c>
    </row>
    <row r="7050" spans="1:5" ht="27" x14ac:dyDescent="0.25">
      <c r="A7050" s="508">
        <v>97625</v>
      </c>
      <c r="B7050" s="509" t="s">
        <v>8238</v>
      </c>
      <c r="C7050" s="508" t="s">
        <v>163</v>
      </c>
      <c r="D7050" s="508">
        <v>51.55</v>
      </c>
      <c r="E7050" s="461" t="s">
        <v>174</v>
      </c>
    </row>
    <row r="7051" spans="1:5" ht="27" x14ac:dyDescent="0.25">
      <c r="A7051" s="508">
        <v>97626</v>
      </c>
      <c r="B7051" s="509" t="s">
        <v>8239</v>
      </c>
      <c r="C7051" s="508" t="s">
        <v>163</v>
      </c>
      <c r="D7051" s="508">
        <v>626.95000000000005</v>
      </c>
      <c r="E7051" s="461" t="s">
        <v>174</v>
      </c>
    </row>
    <row r="7052" spans="1:5" ht="27" x14ac:dyDescent="0.25">
      <c r="A7052" s="508">
        <v>97627</v>
      </c>
      <c r="B7052" s="509" t="s">
        <v>8240</v>
      </c>
      <c r="C7052" s="508" t="s">
        <v>163</v>
      </c>
      <c r="D7052" s="508">
        <v>195.64</v>
      </c>
      <c r="E7052" s="461" t="s">
        <v>174</v>
      </c>
    </row>
    <row r="7053" spans="1:5" ht="27" x14ac:dyDescent="0.25">
      <c r="A7053" s="508">
        <v>97628</v>
      </c>
      <c r="B7053" s="509" t="s">
        <v>8241</v>
      </c>
      <c r="C7053" s="508" t="s">
        <v>163</v>
      </c>
      <c r="D7053" s="508">
        <v>291.99</v>
      </c>
      <c r="E7053" s="461" t="s">
        <v>174</v>
      </c>
    </row>
    <row r="7054" spans="1:5" ht="27" x14ac:dyDescent="0.25">
      <c r="A7054" s="508">
        <v>97629</v>
      </c>
      <c r="B7054" s="509" t="s">
        <v>8242</v>
      </c>
      <c r="C7054" s="508" t="s">
        <v>163</v>
      </c>
      <c r="D7054" s="508">
        <v>91.11</v>
      </c>
      <c r="E7054" s="461" t="s">
        <v>174</v>
      </c>
    </row>
    <row r="7055" spans="1:5" ht="15" x14ac:dyDescent="0.25">
      <c r="A7055" s="508">
        <v>97631</v>
      </c>
      <c r="B7055" s="509" t="s">
        <v>8243</v>
      </c>
      <c r="C7055" s="508" t="s">
        <v>150</v>
      </c>
      <c r="D7055" s="508">
        <v>12.63</v>
      </c>
      <c r="E7055" s="461" t="s">
        <v>174</v>
      </c>
    </row>
    <row r="7056" spans="1:5" ht="15" x14ac:dyDescent="0.25">
      <c r="A7056" s="508">
        <v>97632</v>
      </c>
      <c r="B7056" s="509" t="s">
        <v>8244</v>
      </c>
      <c r="C7056" s="508" t="s">
        <v>5</v>
      </c>
      <c r="D7056" s="508">
        <v>2.88</v>
      </c>
      <c r="E7056" s="461" t="s">
        <v>174</v>
      </c>
    </row>
    <row r="7057" spans="1:5" ht="15" x14ac:dyDescent="0.25">
      <c r="A7057" s="508">
        <v>97633</v>
      </c>
      <c r="B7057" s="509" t="s">
        <v>8245</v>
      </c>
      <c r="C7057" s="508" t="s">
        <v>150</v>
      </c>
      <c r="D7057" s="508">
        <v>25.22</v>
      </c>
      <c r="E7057" s="461" t="s">
        <v>174</v>
      </c>
    </row>
    <row r="7058" spans="1:5" ht="27" x14ac:dyDescent="0.25">
      <c r="A7058" s="508">
        <v>97634</v>
      </c>
      <c r="B7058" s="509" t="s">
        <v>8246</v>
      </c>
      <c r="C7058" s="508" t="s">
        <v>150</v>
      </c>
      <c r="D7058" s="508">
        <v>7.38</v>
      </c>
      <c r="E7058" s="461" t="s">
        <v>174</v>
      </c>
    </row>
    <row r="7059" spans="1:5" ht="27" x14ac:dyDescent="0.25">
      <c r="A7059" s="508">
        <v>97635</v>
      </c>
      <c r="B7059" s="509" t="s">
        <v>8247</v>
      </c>
      <c r="C7059" s="508" t="s">
        <v>150</v>
      </c>
      <c r="D7059" s="508">
        <v>18.79</v>
      </c>
      <c r="E7059" s="461" t="s">
        <v>174</v>
      </c>
    </row>
    <row r="7060" spans="1:5" ht="27" x14ac:dyDescent="0.25">
      <c r="A7060" s="508">
        <v>97636</v>
      </c>
      <c r="B7060" s="509" t="s">
        <v>8248</v>
      </c>
      <c r="C7060" s="508" t="s">
        <v>150</v>
      </c>
      <c r="D7060" s="508">
        <v>22.72</v>
      </c>
      <c r="E7060" s="461" t="s">
        <v>174</v>
      </c>
    </row>
    <row r="7061" spans="1:5" ht="27" x14ac:dyDescent="0.25">
      <c r="A7061" s="508">
        <v>97637</v>
      </c>
      <c r="B7061" s="509" t="s">
        <v>8249</v>
      </c>
      <c r="C7061" s="508" t="s">
        <v>150</v>
      </c>
      <c r="D7061" s="508">
        <v>3.07</v>
      </c>
      <c r="E7061" s="461" t="s">
        <v>174</v>
      </c>
    </row>
    <row r="7062" spans="1:5" ht="27" x14ac:dyDescent="0.25">
      <c r="A7062" s="508">
        <v>97638</v>
      </c>
      <c r="B7062" s="509" t="s">
        <v>8250</v>
      </c>
      <c r="C7062" s="508" t="s">
        <v>150</v>
      </c>
      <c r="D7062" s="508">
        <v>8.9499999999999993</v>
      </c>
      <c r="E7062" s="461" t="s">
        <v>174</v>
      </c>
    </row>
    <row r="7063" spans="1:5" ht="27" x14ac:dyDescent="0.25">
      <c r="A7063" s="508">
        <v>97639</v>
      </c>
      <c r="B7063" s="509" t="s">
        <v>8251</v>
      </c>
      <c r="C7063" s="508" t="s">
        <v>150</v>
      </c>
      <c r="D7063" s="508">
        <v>22.81</v>
      </c>
      <c r="E7063" s="461" t="s">
        <v>174</v>
      </c>
    </row>
    <row r="7064" spans="1:5" ht="27" x14ac:dyDescent="0.25">
      <c r="A7064" s="508">
        <v>97640</v>
      </c>
      <c r="B7064" s="509" t="s">
        <v>8252</v>
      </c>
      <c r="C7064" s="508" t="s">
        <v>150</v>
      </c>
      <c r="D7064" s="508">
        <v>2.09</v>
      </c>
      <c r="E7064" s="461" t="s">
        <v>174</v>
      </c>
    </row>
    <row r="7065" spans="1:5" ht="15" x14ac:dyDescent="0.25">
      <c r="A7065" s="508">
        <v>97641</v>
      </c>
      <c r="B7065" s="509" t="s">
        <v>8253</v>
      </c>
      <c r="C7065" s="508" t="s">
        <v>150</v>
      </c>
      <c r="D7065" s="508">
        <v>3.25</v>
      </c>
      <c r="E7065" s="461" t="s">
        <v>174</v>
      </c>
    </row>
    <row r="7066" spans="1:5" ht="27" x14ac:dyDescent="0.25">
      <c r="A7066" s="508">
        <v>97642</v>
      </c>
      <c r="B7066" s="509" t="s">
        <v>8254</v>
      </c>
      <c r="C7066" s="508" t="s">
        <v>150</v>
      </c>
      <c r="D7066" s="508">
        <v>2.99</v>
      </c>
      <c r="E7066" s="461" t="s">
        <v>174</v>
      </c>
    </row>
    <row r="7067" spans="1:5" ht="27" x14ac:dyDescent="0.25">
      <c r="A7067" s="508">
        <v>97643</v>
      </c>
      <c r="B7067" s="509" t="s">
        <v>8255</v>
      </c>
      <c r="C7067" s="508" t="s">
        <v>150</v>
      </c>
      <c r="D7067" s="508">
        <v>27.99</v>
      </c>
      <c r="E7067" s="461" t="s">
        <v>174</v>
      </c>
    </row>
    <row r="7068" spans="1:5" ht="15" x14ac:dyDescent="0.25">
      <c r="A7068" s="508">
        <v>97644</v>
      </c>
      <c r="B7068" s="509" t="s">
        <v>8256</v>
      </c>
      <c r="C7068" s="508" t="s">
        <v>150</v>
      </c>
      <c r="D7068" s="508">
        <v>10.57</v>
      </c>
      <c r="E7068" s="461" t="s">
        <v>174</v>
      </c>
    </row>
    <row r="7069" spans="1:5" ht="15" x14ac:dyDescent="0.25">
      <c r="A7069" s="508">
        <v>97645</v>
      </c>
      <c r="B7069" s="509" t="s">
        <v>8257</v>
      </c>
      <c r="C7069" s="508" t="s">
        <v>150</v>
      </c>
      <c r="D7069" s="508">
        <v>27.29</v>
      </c>
      <c r="E7069" s="461" t="s">
        <v>174</v>
      </c>
    </row>
    <row r="7070" spans="1:5" ht="27" x14ac:dyDescent="0.25">
      <c r="A7070" s="508">
        <v>97647</v>
      </c>
      <c r="B7070" s="509" t="s">
        <v>8258</v>
      </c>
      <c r="C7070" s="508" t="s">
        <v>150</v>
      </c>
      <c r="D7070" s="508">
        <v>3.93</v>
      </c>
      <c r="E7070" s="461" t="s">
        <v>174</v>
      </c>
    </row>
    <row r="7071" spans="1:5" ht="27" x14ac:dyDescent="0.25">
      <c r="A7071" s="508">
        <v>97648</v>
      </c>
      <c r="B7071" s="509" t="s">
        <v>8259</v>
      </c>
      <c r="C7071" s="508" t="s">
        <v>150</v>
      </c>
      <c r="D7071" s="508">
        <v>2.2599999999999998</v>
      </c>
      <c r="E7071" s="461" t="s">
        <v>174</v>
      </c>
    </row>
    <row r="7072" spans="1:5" ht="27" x14ac:dyDescent="0.25">
      <c r="A7072" s="508">
        <v>97649</v>
      </c>
      <c r="B7072" s="509" t="s">
        <v>8260</v>
      </c>
      <c r="C7072" s="508" t="s">
        <v>150</v>
      </c>
      <c r="D7072" s="508">
        <v>4.88</v>
      </c>
      <c r="E7072" s="461" t="s">
        <v>174</v>
      </c>
    </row>
    <row r="7073" spans="1:5" ht="27" x14ac:dyDescent="0.25">
      <c r="A7073" s="508">
        <v>97650</v>
      </c>
      <c r="B7073" s="509" t="s">
        <v>8261</v>
      </c>
      <c r="C7073" s="508" t="s">
        <v>150</v>
      </c>
      <c r="D7073" s="508">
        <v>8.48</v>
      </c>
      <c r="E7073" s="461" t="s">
        <v>174</v>
      </c>
    </row>
    <row r="7074" spans="1:5" ht="27" x14ac:dyDescent="0.25">
      <c r="A7074" s="508">
        <v>97651</v>
      </c>
      <c r="B7074" s="509" t="s">
        <v>8262</v>
      </c>
      <c r="C7074" s="508" t="s">
        <v>107</v>
      </c>
      <c r="D7074" s="508">
        <v>92.46</v>
      </c>
      <c r="E7074" s="461" t="s">
        <v>174</v>
      </c>
    </row>
    <row r="7075" spans="1:5" ht="27" x14ac:dyDescent="0.25">
      <c r="A7075" s="508">
        <v>97652</v>
      </c>
      <c r="B7075" s="509" t="s">
        <v>8263</v>
      </c>
      <c r="C7075" s="508" t="s">
        <v>107</v>
      </c>
      <c r="D7075" s="508">
        <v>209.62</v>
      </c>
      <c r="E7075" s="461" t="s">
        <v>174</v>
      </c>
    </row>
    <row r="7076" spans="1:5" ht="27" x14ac:dyDescent="0.25">
      <c r="A7076" s="508">
        <v>97653</v>
      </c>
      <c r="B7076" s="509" t="s">
        <v>8264</v>
      </c>
      <c r="C7076" s="508" t="s">
        <v>107</v>
      </c>
      <c r="D7076" s="508">
        <v>140.27000000000001</v>
      </c>
      <c r="E7076" s="461" t="s">
        <v>174</v>
      </c>
    </row>
    <row r="7077" spans="1:5" ht="27" x14ac:dyDescent="0.25">
      <c r="A7077" s="508">
        <v>97654</v>
      </c>
      <c r="B7077" s="509" t="s">
        <v>8265</v>
      </c>
      <c r="C7077" s="508" t="s">
        <v>107</v>
      </c>
      <c r="D7077" s="508">
        <v>178.61</v>
      </c>
      <c r="E7077" s="461" t="s">
        <v>174</v>
      </c>
    </row>
    <row r="7078" spans="1:5" ht="27" x14ac:dyDescent="0.25">
      <c r="A7078" s="508">
        <v>97655</v>
      </c>
      <c r="B7078" s="509" t="s">
        <v>8266</v>
      </c>
      <c r="C7078" s="508" t="s">
        <v>150</v>
      </c>
      <c r="D7078" s="508">
        <v>36.6</v>
      </c>
      <c r="E7078" s="461" t="s">
        <v>174</v>
      </c>
    </row>
    <row r="7079" spans="1:5" ht="27" x14ac:dyDescent="0.25">
      <c r="A7079" s="508">
        <v>97656</v>
      </c>
      <c r="B7079" s="509" t="s">
        <v>8267</v>
      </c>
      <c r="C7079" s="508" t="s">
        <v>107</v>
      </c>
      <c r="D7079" s="508">
        <v>338.51</v>
      </c>
      <c r="E7079" s="461" t="s">
        <v>174</v>
      </c>
    </row>
    <row r="7080" spans="1:5" ht="27" x14ac:dyDescent="0.25">
      <c r="A7080" s="508">
        <v>97657</v>
      </c>
      <c r="B7080" s="509" t="s">
        <v>8268</v>
      </c>
      <c r="C7080" s="508" t="s">
        <v>107</v>
      </c>
      <c r="D7080" s="508">
        <v>670.94</v>
      </c>
      <c r="E7080" s="461" t="s">
        <v>174</v>
      </c>
    </row>
    <row r="7081" spans="1:5" ht="27" x14ac:dyDescent="0.25">
      <c r="A7081" s="508">
        <v>97658</v>
      </c>
      <c r="B7081" s="509" t="s">
        <v>8269</v>
      </c>
      <c r="C7081" s="508" t="s">
        <v>107</v>
      </c>
      <c r="D7081" s="508">
        <v>219.25</v>
      </c>
      <c r="E7081" s="461" t="s">
        <v>174</v>
      </c>
    </row>
    <row r="7082" spans="1:5" ht="27" x14ac:dyDescent="0.25">
      <c r="A7082" s="508">
        <v>97659</v>
      </c>
      <c r="B7082" s="509" t="s">
        <v>8270</v>
      </c>
      <c r="C7082" s="508" t="s">
        <v>107</v>
      </c>
      <c r="D7082" s="508">
        <v>307.33999999999997</v>
      </c>
      <c r="E7082" s="461" t="s">
        <v>174</v>
      </c>
    </row>
    <row r="7083" spans="1:5" ht="27" x14ac:dyDescent="0.25">
      <c r="A7083" s="508">
        <v>97660</v>
      </c>
      <c r="B7083" s="509" t="s">
        <v>8271</v>
      </c>
      <c r="C7083" s="508" t="s">
        <v>107</v>
      </c>
      <c r="D7083" s="508">
        <v>0.73</v>
      </c>
      <c r="E7083" s="461" t="s">
        <v>174</v>
      </c>
    </row>
    <row r="7084" spans="1:5" ht="27" x14ac:dyDescent="0.25">
      <c r="A7084" s="508">
        <v>97661</v>
      </c>
      <c r="B7084" s="509" t="s">
        <v>8272</v>
      </c>
      <c r="C7084" s="508" t="s">
        <v>5</v>
      </c>
      <c r="D7084" s="508">
        <v>0.78</v>
      </c>
      <c r="E7084" s="461" t="s">
        <v>174</v>
      </c>
    </row>
    <row r="7085" spans="1:5" ht="27" x14ac:dyDescent="0.25">
      <c r="A7085" s="508">
        <v>97662</v>
      </c>
      <c r="B7085" s="509" t="s">
        <v>8273</v>
      </c>
      <c r="C7085" s="508" t="s">
        <v>5</v>
      </c>
      <c r="D7085" s="508">
        <v>0.55000000000000004</v>
      </c>
      <c r="E7085" s="461" t="s">
        <v>174</v>
      </c>
    </row>
    <row r="7086" spans="1:5" ht="15" x14ac:dyDescent="0.25">
      <c r="A7086" s="508">
        <v>97663</v>
      </c>
      <c r="B7086" s="509" t="s">
        <v>8274</v>
      </c>
      <c r="C7086" s="508" t="s">
        <v>107</v>
      </c>
      <c r="D7086" s="508">
        <v>13.97</v>
      </c>
      <c r="E7086" s="461" t="s">
        <v>174</v>
      </c>
    </row>
    <row r="7087" spans="1:5" ht="15" x14ac:dyDescent="0.25">
      <c r="A7087" s="508">
        <v>97664</v>
      </c>
      <c r="B7087" s="509" t="s">
        <v>8275</v>
      </c>
      <c r="C7087" s="508" t="s">
        <v>107</v>
      </c>
      <c r="D7087" s="508">
        <v>1.73</v>
      </c>
      <c r="E7087" s="461" t="s">
        <v>174</v>
      </c>
    </row>
    <row r="7088" spans="1:5" ht="15" x14ac:dyDescent="0.25">
      <c r="A7088" s="508">
        <v>97665</v>
      </c>
      <c r="B7088" s="509" t="s">
        <v>8276</v>
      </c>
      <c r="C7088" s="508" t="s">
        <v>107</v>
      </c>
      <c r="D7088" s="508">
        <v>1.99</v>
      </c>
      <c r="E7088" s="461" t="s">
        <v>174</v>
      </c>
    </row>
    <row r="7089" spans="1:5" ht="15" x14ac:dyDescent="0.25">
      <c r="A7089" s="508">
        <v>97666</v>
      </c>
      <c r="B7089" s="509" t="s">
        <v>8277</v>
      </c>
      <c r="C7089" s="508" t="s">
        <v>107</v>
      </c>
      <c r="D7089" s="508">
        <v>10.18</v>
      </c>
      <c r="E7089" s="461" t="s">
        <v>174</v>
      </c>
    </row>
    <row r="7090" spans="1:5" ht="27" x14ac:dyDescent="0.25">
      <c r="A7090" s="508">
        <v>104789</v>
      </c>
      <c r="B7090" s="509" t="s">
        <v>8278</v>
      </c>
      <c r="C7090" s="508" t="s">
        <v>163</v>
      </c>
      <c r="D7090" s="508">
        <v>219.55</v>
      </c>
      <c r="E7090" s="461" t="s">
        <v>174</v>
      </c>
    </row>
    <row r="7091" spans="1:5" ht="27" x14ac:dyDescent="0.25">
      <c r="A7091" s="508">
        <v>104790</v>
      </c>
      <c r="B7091" s="509" t="s">
        <v>8279</v>
      </c>
      <c r="C7091" s="508" t="s">
        <v>163</v>
      </c>
      <c r="D7091" s="508">
        <v>113.68</v>
      </c>
      <c r="E7091" s="461" t="s">
        <v>174</v>
      </c>
    </row>
    <row r="7092" spans="1:5" ht="27" x14ac:dyDescent="0.25">
      <c r="A7092" s="508">
        <v>104791</v>
      </c>
      <c r="B7092" s="509" t="s">
        <v>8280</v>
      </c>
      <c r="C7092" s="508" t="s">
        <v>150</v>
      </c>
      <c r="D7092" s="508">
        <v>6.57</v>
      </c>
      <c r="E7092" s="461" t="s">
        <v>174</v>
      </c>
    </row>
    <row r="7093" spans="1:5" ht="27" x14ac:dyDescent="0.25">
      <c r="A7093" s="508">
        <v>104792</v>
      </c>
      <c r="B7093" s="509" t="s">
        <v>8281</v>
      </c>
      <c r="C7093" s="508" t="s">
        <v>5</v>
      </c>
      <c r="D7093" s="508">
        <v>0.43</v>
      </c>
      <c r="E7093" s="461" t="s">
        <v>174</v>
      </c>
    </row>
    <row r="7094" spans="1:5" ht="27" x14ac:dyDescent="0.25">
      <c r="A7094" s="508">
        <v>104793</v>
      </c>
      <c r="B7094" s="509" t="s">
        <v>8282</v>
      </c>
      <c r="C7094" s="508" t="s">
        <v>5</v>
      </c>
      <c r="D7094" s="508">
        <v>0.6</v>
      </c>
      <c r="E7094" s="461" t="s">
        <v>174</v>
      </c>
    </row>
    <row r="7095" spans="1:5" ht="27" x14ac:dyDescent="0.25">
      <c r="A7095" s="508">
        <v>104794</v>
      </c>
      <c r="B7095" s="509" t="s">
        <v>8283</v>
      </c>
      <c r="C7095" s="508" t="s">
        <v>5</v>
      </c>
      <c r="D7095" s="508">
        <v>1.07</v>
      </c>
      <c r="E7095" s="461" t="s">
        <v>174</v>
      </c>
    </row>
    <row r="7096" spans="1:5" ht="27" x14ac:dyDescent="0.25">
      <c r="A7096" s="508">
        <v>104795</v>
      </c>
      <c r="B7096" s="509" t="s">
        <v>8284</v>
      </c>
      <c r="C7096" s="508" t="s">
        <v>5</v>
      </c>
      <c r="D7096" s="508">
        <v>1.49</v>
      </c>
      <c r="E7096" s="461" t="s">
        <v>174</v>
      </c>
    </row>
    <row r="7097" spans="1:5" ht="27" x14ac:dyDescent="0.25">
      <c r="A7097" s="508">
        <v>104796</v>
      </c>
      <c r="B7097" s="509" t="s">
        <v>8285</v>
      </c>
      <c r="C7097" s="508" t="s">
        <v>5</v>
      </c>
      <c r="D7097" s="508">
        <v>15.06</v>
      </c>
      <c r="E7097" s="461" t="s">
        <v>174</v>
      </c>
    </row>
    <row r="7098" spans="1:5" ht="27" x14ac:dyDescent="0.25">
      <c r="A7098" s="508">
        <v>104797</v>
      </c>
      <c r="B7098" s="509" t="s">
        <v>8286</v>
      </c>
      <c r="C7098" s="508" t="s">
        <v>5</v>
      </c>
      <c r="D7098" s="508">
        <v>18.809999999999999</v>
      </c>
      <c r="E7098" s="461" t="s">
        <v>174</v>
      </c>
    </row>
    <row r="7099" spans="1:5" ht="27" x14ac:dyDescent="0.25">
      <c r="A7099" s="508">
        <v>104798</v>
      </c>
      <c r="B7099" s="509" t="s">
        <v>8287</v>
      </c>
      <c r="C7099" s="508" t="s">
        <v>107</v>
      </c>
      <c r="D7099" s="508">
        <v>14.71</v>
      </c>
      <c r="E7099" s="461" t="s">
        <v>174</v>
      </c>
    </row>
    <row r="7100" spans="1:5" ht="27" x14ac:dyDescent="0.25">
      <c r="A7100" s="508">
        <v>104799</v>
      </c>
      <c r="B7100" s="509" t="s">
        <v>8288</v>
      </c>
      <c r="C7100" s="508" t="s">
        <v>150</v>
      </c>
      <c r="D7100" s="508">
        <v>11.55</v>
      </c>
      <c r="E7100" s="461" t="s">
        <v>174</v>
      </c>
    </row>
    <row r="7101" spans="1:5" ht="15" x14ac:dyDescent="0.25">
      <c r="A7101" s="508">
        <v>104800</v>
      </c>
      <c r="B7101" s="509" t="s">
        <v>8289</v>
      </c>
      <c r="C7101" s="508" t="s">
        <v>5</v>
      </c>
      <c r="D7101" s="508">
        <v>10.44</v>
      </c>
      <c r="E7101" s="461" t="s">
        <v>174</v>
      </c>
    </row>
    <row r="7102" spans="1:5" ht="40.5" x14ac:dyDescent="0.25">
      <c r="A7102" s="508">
        <v>104801</v>
      </c>
      <c r="B7102" s="509" t="s">
        <v>8290</v>
      </c>
      <c r="C7102" s="508" t="s">
        <v>150</v>
      </c>
      <c r="D7102" s="508">
        <v>15.84</v>
      </c>
      <c r="E7102" s="461" t="s">
        <v>174</v>
      </c>
    </row>
    <row r="7103" spans="1:5" ht="40.5" x14ac:dyDescent="0.25">
      <c r="A7103" s="508">
        <v>104802</v>
      </c>
      <c r="B7103" s="509" t="s">
        <v>8291</v>
      </c>
      <c r="C7103" s="508" t="s">
        <v>150</v>
      </c>
      <c r="D7103" s="508">
        <v>10.55</v>
      </c>
      <c r="E7103" s="461" t="s">
        <v>174</v>
      </c>
    </row>
    <row r="7104" spans="1:5" ht="15" x14ac:dyDescent="0.25">
      <c r="A7104" s="508">
        <v>104803</v>
      </c>
      <c r="B7104" s="509" t="s">
        <v>8292</v>
      </c>
      <c r="C7104" s="508" t="s">
        <v>5</v>
      </c>
      <c r="D7104" s="508">
        <v>5.1100000000000003</v>
      </c>
      <c r="E7104" s="461" t="s">
        <v>174</v>
      </c>
    </row>
    <row r="7105" spans="1:5" ht="27" x14ac:dyDescent="0.25">
      <c r="A7105" s="508">
        <v>95967</v>
      </c>
      <c r="B7105" s="509" t="s">
        <v>927</v>
      </c>
      <c r="C7105" s="508" t="s">
        <v>160</v>
      </c>
      <c r="D7105" s="508">
        <v>165.16</v>
      </c>
      <c r="E7105" s="461" t="s">
        <v>4455</v>
      </c>
    </row>
    <row r="7106" spans="1:5" ht="27" x14ac:dyDescent="0.25">
      <c r="A7106" s="508">
        <v>99059</v>
      </c>
      <c r="B7106" s="509" t="s">
        <v>8293</v>
      </c>
      <c r="C7106" s="508" t="s">
        <v>5</v>
      </c>
      <c r="D7106" s="508">
        <v>68</v>
      </c>
      <c r="E7106" s="461" t="s">
        <v>174</v>
      </c>
    </row>
    <row r="7107" spans="1:5" ht="15" x14ac:dyDescent="0.25">
      <c r="A7107" s="508">
        <v>99060</v>
      </c>
      <c r="B7107" s="509" t="s">
        <v>8294</v>
      </c>
      <c r="C7107" s="508" t="s">
        <v>107</v>
      </c>
      <c r="D7107" s="508">
        <v>201.89</v>
      </c>
      <c r="E7107" s="461" t="s">
        <v>174</v>
      </c>
    </row>
    <row r="7108" spans="1:5" ht="15" x14ac:dyDescent="0.25">
      <c r="A7108" s="508">
        <v>99061</v>
      </c>
      <c r="B7108" s="509" t="s">
        <v>8295</v>
      </c>
      <c r="C7108" s="508" t="s">
        <v>107</v>
      </c>
      <c r="D7108" s="508">
        <v>124.05</v>
      </c>
      <c r="E7108" s="461" t="s">
        <v>174</v>
      </c>
    </row>
    <row r="7109" spans="1:5" ht="15" x14ac:dyDescent="0.25">
      <c r="A7109" s="508">
        <v>99062</v>
      </c>
      <c r="B7109" s="509" t="s">
        <v>8296</v>
      </c>
      <c r="C7109" s="508" t="s">
        <v>107</v>
      </c>
      <c r="D7109" s="508">
        <v>2.2000000000000002</v>
      </c>
      <c r="E7109" s="461" t="s">
        <v>174</v>
      </c>
    </row>
    <row r="7110" spans="1:5" ht="15" x14ac:dyDescent="0.25">
      <c r="A7110" s="508">
        <v>99063</v>
      </c>
      <c r="B7110" s="509" t="s">
        <v>8297</v>
      </c>
      <c r="C7110" s="508" t="s">
        <v>5</v>
      </c>
      <c r="D7110" s="508">
        <v>9.8699999999999992</v>
      </c>
      <c r="E7110" s="461" t="s">
        <v>174</v>
      </c>
    </row>
    <row r="7111" spans="1:5" ht="15" x14ac:dyDescent="0.25">
      <c r="A7111" s="508">
        <v>105007</v>
      </c>
      <c r="B7111" s="509" t="s">
        <v>8298</v>
      </c>
      <c r="C7111" s="508" t="s">
        <v>107</v>
      </c>
      <c r="D7111" s="508">
        <v>40.47</v>
      </c>
      <c r="E7111" s="461" t="s">
        <v>174</v>
      </c>
    </row>
    <row r="7112" spans="1:5" ht="27" x14ac:dyDescent="0.25">
      <c r="A7112" s="508">
        <v>105009</v>
      </c>
      <c r="B7112" s="509" t="s">
        <v>8299</v>
      </c>
      <c r="C7112" s="508" t="s">
        <v>5</v>
      </c>
      <c r="D7112" s="508">
        <v>83.49</v>
      </c>
      <c r="E7112" s="461" t="s">
        <v>174</v>
      </c>
    </row>
    <row r="7113" spans="1:5" ht="15" x14ac:dyDescent="0.25">
      <c r="A7113" s="508">
        <v>105011</v>
      </c>
      <c r="B7113" s="509" t="s">
        <v>8300</v>
      </c>
      <c r="C7113" s="508" t="s">
        <v>5</v>
      </c>
      <c r="D7113" s="508">
        <v>0.56000000000000005</v>
      </c>
      <c r="E7113" s="461" t="s">
        <v>174</v>
      </c>
    </row>
    <row r="7114" spans="1:5" ht="27" x14ac:dyDescent="0.25">
      <c r="A7114" s="508">
        <v>93588</v>
      </c>
      <c r="B7114" s="509" t="s">
        <v>3166</v>
      </c>
      <c r="C7114" s="508" t="s">
        <v>178</v>
      </c>
      <c r="D7114" s="508">
        <v>3.09</v>
      </c>
      <c r="E7114" s="461" t="s">
        <v>174</v>
      </c>
    </row>
    <row r="7115" spans="1:5" ht="27" x14ac:dyDescent="0.25">
      <c r="A7115" s="508">
        <v>93589</v>
      </c>
      <c r="B7115" s="509" t="s">
        <v>3167</v>
      </c>
      <c r="C7115" s="508" t="s">
        <v>178</v>
      </c>
      <c r="D7115" s="508">
        <v>2.65</v>
      </c>
      <c r="E7115" s="461" t="s">
        <v>174</v>
      </c>
    </row>
    <row r="7116" spans="1:5" ht="27" x14ac:dyDescent="0.25">
      <c r="A7116" s="508">
        <v>93590</v>
      </c>
      <c r="B7116" s="509" t="s">
        <v>3168</v>
      </c>
      <c r="C7116" s="508" t="s">
        <v>178</v>
      </c>
      <c r="D7116" s="508">
        <v>0.96</v>
      </c>
      <c r="E7116" s="461" t="s">
        <v>174</v>
      </c>
    </row>
    <row r="7117" spans="1:5" ht="27" x14ac:dyDescent="0.25">
      <c r="A7117" s="508">
        <v>93591</v>
      </c>
      <c r="B7117" s="509" t="s">
        <v>3169</v>
      </c>
      <c r="C7117" s="508" t="s">
        <v>178</v>
      </c>
      <c r="D7117" s="508">
        <v>2.69</v>
      </c>
      <c r="E7117" s="461" t="s">
        <v>174</v>
      </c>
    </row>
    <row r="7118" spans="1:5" ht="27" x14ac:dyDescent="0.25">
      <c r="A7118" s="508">
        <v>93592</v>
      </c>
      <c r="B7118" s="509" t="s">
        <v>3170</v>
      </c>
      <c r="C7118" s="508" t="s">
        <v>178</v>
      </c>
      <c r="D7118" s="508">
        <v>2.34</v>
      </c>
      <c r="E7118" s="461" t="s">
        <v>174</v>
      </c>
    </row>
    <row r="7119" spans="1:5" ht="27" x14ac:dyDescent="0.25">
      <c r="A7119" s="508">
        <v>93593</v>
      </c>
      <c r="B7119" s="509" t="s">
        <v>3171</v>
      </c>
      <c r="C7119" s="508" t="s">
        <v>178</v>
      </c>
      <c r="D7119" s="508">
        <v>0.85</v>
      </c>
      <c r="E7119" s="461" t="s">
        <v>174</v>
      </c>
    </row>
    <row r="7120" spans="1:5" ht="27" x14ac:dyDescent="0.25">
      <c r="A7120" s="508">
        <v>93594</v>
      </c>
      <c r="B7120" s="509" t="s">
        <v>3172</v>
      </c>
      <c r="C7120" s="508" t="s">
        <v>922</v>
      </c>
      <c r="D7120" s="508">
        <v>2.06</v>
      </c>
      <c r="E7120" s="461" t="s">
        <v>174</v>
      </c>
    </row>
    <row r="7121" spans="1:5" ht="27" x14ac:dyDescent="0.25">
      <c r="A7121" s="508">
        <v>93595</v>
      </c>
      <c r="B7121" s="509" t="s">
        <v>3173</v>
      </c>
      <c r="C7121" s="508" t="s">
        <v>922</v>
      </c>
      <c r="D7121" s="508">
        <v>1.79</v>
      </c>
      <c r="E7121" s="461" t="s">
        <v>174</v>
      </c>
    </row>
    <row r="7122" spans="1:5" ht="27" x14ac:dyDescent="0.25">
      <c r="A7122" s="508">
        <v>93596</v>
      </c>
      <c r="B7122" s="509" t="s">
        <v>3174</v>
      </c>
      <c r="C7122" s="508" t="s">
        <v>922</v>
      </c>
      <c r="D7122" s="508">
        <v>0.64</v>
      </c>
      <c r="E7122" s="461" t="s">
        <v>174</v>
      </c>
    </row>
    <row r="7123" spans="1:5" ht="27" x14ac:dyDescent="0.25">
      <c r="A7123" s="508">
        <v>93597</v>
      </c>
      <c r="B7123" s="509" t="s">
        <v>3175</v>
      </c>
      <c r="C7123" s="508" t="s">
        <v>922</v>
      </c>
      <c r="D7123" s="508">
        <v>1.79</v>
      </c>
      <c r="E7123" s="461" t="s">
        <v>174</v>
      </c>
    </row>
    <row r="7124" spans="1:5" ht="27" x14ac:dyDescent="0.25">
      <c r="A7124" s="508">
        <v>93598</v>
      </c>
      <c r="B7124" s="509" t="s">
        <v>3176</v>
      </c>
      <c r="C7124" s="508" t="s">
        <v>922</v>
      </c>
      <c r="D7124" s="508">
        <v>1.55</v>
      </c>
      <c r="E7124" s="461" t="s">
        <v>174</v>
      </c>
    </row>
    <row r="7125" spans="1:5" ht="27" x14ac:dyDescent="0.25">
      <c r="A7125" s="508">
        <v>93599</v>
      </c>
      <c r="B7125" s="509" t="s">
        <v>3177</v>
      </c>
      <c r="C7125" s="508" t="s">
        <v>922</v>
      </c>
      <c r="D7125" s="508">
        <v>0.56999999999999995</v>
      </c>
      <c r="E7125" s="461" t="s">
        <v>174</v>
      </c>
    </row>
    <row r="7126" spans="1:5" ht="27" x14ac:dyDescent="0.25">
      <c r="A7126" s="508">
        <v>95425</v>
      </c>
      <c r="B7126" s="509" t="s">
        <v>3178</v>
      </c>
      <c r="C7126" s="508" t="s">
        <v>178</v>
      </c>
      <c r="D7126" s="508">
        <v>2.29</v>
      </c>
      <c r="E7126" s="461" t="s">
        <v>174</v>
      </c>
    </row>
    <row r="7127" spans="1:5" ht="27" x14ac:dyDescent="0.25">
      <c r="A7127" s="508">
        <v>95426</v>
      </c>
      <c r="B7127" s="509" t="s">
        <v>3179</v>
      </c>
      <c r="C7127" s="508" t="s">
        <v>178</v>
      </c>
      <c r="D7127" s="508">
        <v>1.97</v>
      </c>
      <c r="E7127" s="461" t="s">
        <v>174</v>
      </c>
    </row>
    <row r="7128" spans="1:5" ht="27" x14ac:dyDescent="0.25">
      <c r="A7128" s="508">
        <v>95427</v>
      </c>
      <c r="B7128" s="509" t="s">
        <v>3180</v>
      </c>
      <c r="C7128" s="508" t="s">
        <v>178</v>
      </c>
      <c r="D7128" s="508">
        <v>0.74</v>
      </c>
      <c r="E7128" s="461" t="s">
        <v>174</v>
      </c>
    </row>
    <row r="7129" spans="1:5" ht="27" x14ac:dyDescent="0.25">
      <c r="A7129" s="508">
        <v>95428</v>
      </c>
      <c r="B7129" s="509" t="s">
        <v>3181</v>
      </c>
      <c r="C7129" s="508" t="s">
        <v>922</v>
      </c>
      <c r="D7129" s="508">
        <v>1.54</v>
      </c>
      <c r="E7129" s="461" t="s">
        <v>174</v>
      </c>
    </row>
    <row r="7130" spans="1:5" ht="27" x14ac:dyDescent="0.25">
      <c r="A7130" s="508">
        <v>95429</v>
      </c>
      <c r="B7130" s="509" t="s">
        <v>3182</v>
      </c>
      <c r="C7130" s="508" t="s">
        <v>922</v>
      </c>
      <c r="D7130" s="508">
        <v>1.33</v>
      </c>
      <c r="E7130" s="461" t="s">
        <v>174</v>
      </c>
    </row>
    <row r="7131" spans="1:5" ht="27" x14ac:dyDescent="0.25">
      <c r="A7131" s="508">
        <v>95430</v>
      </c>
      <c r="B7131" s="509" t="s">
        <v>3183</v>
      </c>
      <c r="C7131" s="508" t="s">
        <v>922</v>
      </c>
      <c r="D7131" s="508">
        <v>0.46</v>
      </c>
      <c r="E7131" s="461" t="s">
        <v>174</v>
      </c>
    </row>
    <row r="7132" spans="1:5" ht="27" x14ac:dyDescent="0.25">
      <c r="A7132" s="508">
        <v>95875</v>
      </c>
      <c r="B7132" s="509" t="s">
        <v>3184</v>
      </c>
      <c r="C7132" s="508" t="s">
        <v>178</v>
      </c>
      <c r="D7132" s="510">
        <v>2.44</v>
      </c>
      <c r="E7132" s="461" t="s">
        <v>174</v>
      </c>
    </row>
    <row r="7133" spans="1:5" ht="27" x14ac:dyDescent="0.25">
      <c r="A7133" s="508">
        <v>95876</v>
      </c>
      <c r="B7133" s="509" t="s">
        <v>3185</v>
      </c>
      <c r="C7133" s="508" t="s">
        <v>178</v>
      </c>
      <c r="D7133" s="510">
        <v>2.11</v>
      </c>
      <c r="E7133" s="461" t="s">
        <v>174</v>
      </c>
    </row>
    <row r="7134" spans="1:5" ht="27" x14ac:dyDescent="0.25">
      <c r="A7134" s="508">
        <v>95877</v>
      </c>
      <c r="B7134" s="509" t="s">
        <v>3186</v>
      </c>
      <c r="C7134" s="508" t="s">
        <v>178</v>
      </c>
      <c r="D7134" s="508">
        <v>1.82</v>
      </c>
      <c r="E7134" s="461" t="s">
        <v>174</v>
      </c>
    </row>
    <row r="7135" spans="1:5" ht="27" x14ac:dyDescent="0.25">
      <c r="A7135" s="508">
        <v>95878</v>
      </c>
      <c r="B7135" s="509" t="s">
        <v>3187</v>
      </c>
      <c r="C7135" s="508" t="s">
        <v>922</v>
      </c>
      <c r="D7135" s="510">
        <v>1.64</v>
      </c>
      <c r="E7135" s="461" t="s">
        <v>174</v>
      </c>
    </row>
    <row r="7136" spans="1:5" ht="27" x14ac:dyDescent="0.25">
      <c r="A7136" s="508">
        <v>95879</v>
      </c>
      <c r="B7136" s="509" t="s">
        <v>3188</v>
      </c>
      <c r="C7136" s="508" t="s">
        <v>922</v>
      </c>
      <c r="D7136" s="508">
        <v>1.43</v>
      </c>
      <c r="E7136" s="461" t="s">
        <v>174</v>
      </c>
    </row>
    <row r="7137" spans="1:5" ht="27" x14ac:dyDescent="0.25">
      <c r="A7137" s="508">
        <v>95880</v>
      </c>
      <c r="B7137" s="509" t="s">
        <v>3189</v>
      </c>
      <c r="C7137" s="508" t="s">
        <v>922</v>
      </c>
      <c r="D7137" s="508">
        <v>1.21</v>
      </c>
      <c r="E7137" s="461" t="s">
        <v>174</v>
      </c>
    </row>
    <row r="7138" spans="1:5" ht="27" x14ac:dyDescent="0.25">
      <c r="A7138" s="508">
        <v>97912</v>
      </c>
      <c r="B7138" s="509" t="s">
        <v>3190</v>
      </c>
      <c r="C7138" s="508" t="s">
        <v>178</v>
      </c>
      <c r="D7138" s="510">
        <v>3.7</v>
      </c>
      <c r="E7138" s="461" t="s">
        <v>174</v>
      </c>
    </row>
    <row r="7139" spans="1:5" ht="27" x14ac:dyDescent="0.25">
      <c r="A7139" s="508">
        <v>97913</v>
      </c>
      <c r="B7139" s="509" t="s">
        <v>3191</v>
      </c>
      <c r="C7139" s="508" t="s">
        <v>178</v>
      </c>
      <c r="D7139" s="510">
        <v>3.21</v>
      </c>
      <c r="E7139" s="461" t="s">
        <v>174</v>
      </c>
    </row>
    <row r="7140" spans="1:5" ht="27" x14ac:dyDescent="0.25">
      <c r="A7140" s="508">
        <v>97914</v>
      </c>
      <c r="B7140" s="509" t="s">
        <v>3192</v>
      </c>
      <c r="C7140" s="508" t="s">
        <v>178</v>
      </c>
      <c r="D7140" s="510">
        <v>2.94</v>
      </c>
      <c r="E7140" s="461" t="s">
        <v>174</v>
      </c>
    </row>
    <row r="7141" spans="1:5" ht="27" x14ac:dyDescent="0.25">
      <c r="A7141" s="508">
        <v>97915</v>
      </c>
      <c r="B7141" s="509" t="s">
        <v>3193</v>
      </c>
      <c r="C7141" s="508" t="s">
        <v>178</v>
      </c>
      <c r="D7141" s="510">
        <v>1.18</v>
      </c>
      <c r="E7141" s="461" t="s">
        <v>174</v>
      </c>
    </row>
    <row r="7142" spans="1:5" ht="27" x14ac:dyDescent="0.25">
      <c r="A7142" s="508">
        <v>100937</v>
      </c>
      <c r="B7142" s="509" t="s">
        <v>3194</v>
      </c>
      <c r="C7142" s="508" t="s">
        <v>178</v>
      </c>
      <c r="D7142" s="510">
        <v>8.84</v>
      </c>
      <c r="E7142" s="461" t="s">
        <v>174</v>
      </c>
    </row>
    <row r="7143" spans="1:5" ht="27" x14ac:dyDescent="0.25">
      <c r="A7143" s="508">
        <v>100938</v>
      </c>
      <c r="B7143" s="509" t="s">
        <v>3195</v>
      </c>
      <c r="C7143" s="508" t="s">
        <v>178</v>
      </c>
      <c r="D7143" s="510">
        <v>7.37</v>
      </c>
      <c r="E7143" s="461" t="s">
        <v>174</v>
      </c>
    </row>
    <row r="7144" spans="1:5" ht="27" x14ac:dyDescent="0.25">
      <c r="A7144" s="508">
        <v>100939</v>
      </c>
      <c r="B7144" s="509" t="s">
        <v>3196</v>
      </c>
      <c r="C7144" s="508" t="s">
        <v>178</v>
      </c>
      <c r="D7144" s="510">
        <v>6.44</v>
      </c>
      <c r="E7144" s="461" t="s">
        <v>174</v>
      </c>
    </row>
    <row r="7145" spans="1:5" ht="27" x14ac:dyDescent="0.25">
      <c r="A7145" s="508">
        <v>100940</v>
      </c>
      <c r="B7145" s="509" t="s">
        <v>3197</v>
      </c>
      <c r="C7145" s="508" t="s">
        <v>178</v>
      </c>
      <c r="D7145" s="510">
        <v>5.5</v>
      </c>
      <c r="E7145" s="461" t="s">
        <v>174</v>
      </c>
    </row>
    <row r="7146" spans="1:5" ht="27" x14ac:dyDescent="0.25">
      <c r="A7146" s="508">
        <v>100941</v>
      </c>
      <c r="B7146" s="509" t="s">
        <v>3198</v>
      </c>
      <c r="C7146" s="508" t="s">
        <v>922</v>
      </c>
      <c r="D7146" s="510">
        <v>5.88</v>
      </c>
      <c r="E7146" s="461" t="s">
        <v>174</v>
      </c>
    </row>
    <row r="7147" spans="1:5" ht="27" x14ac:dyDescent="0.25">
      <c r="A7147" s="508">
        <v>100942</v>
      </c>
      <c r="B7147" s="509" t="s">
        <v>3199</v>
      </c>
      <c r="C7147" s="508" t="s">
        <v>922</v>
      </c>
      <c r="D7147" s="510">
        <v>4.92</v>
      </c>
      <c r="E7147" s="461" t="s">
        <v>174</v>
      </c>
    </row>
    <row r="7148" spans="1:5" ht="27" x14ac:dyDescent="0.25">
      <c r="A7148" s="508">
        <v>100943</v>
      </c>
      <c r="B7148" s="509" t="s">
        <v>3200</v>
      </c>
      <c r="C7148" s="508" t="s">
        <v>922</v>
      </c>
      <c r="D7148" s="510">
        <v>4.28</v>
      </c>
      <c r="E7148" s="461" t="s">
        <v>174</v>
      </c>
    </row>
    <row r="7149" spans="1:5" ht="27" x14ac:dyDescent="0.25">
      <c r="A7149" s="508">
        <v>100944</v>
      </c>
      <c r="B7149" s="509" t="s">
        <v>3201</v>
      </c>
      <c r="C7149" s="508" t="s">
        <v>922</v>
      </c>
      <c r="D7149" s="510">
        <v>3.68</v>
      </c>
      <c r="E7149" s="461" t="s">
        <v>174</v>
      </c>
    </row>
    <row r="7150" spans="1:5" ht="27" x14ac:dyDescent="0.25">
      <c r="A7150" s="508">
        <v>100945</v>
      </c>
      <c r="B7150" s="509" t="s">
        <v>3202</v>
      </c>
      <c r="C7150" s="508" t="s">
        <v>922</v>
      </c>
      <c r="D7150" s="510">
        <v>2.78</v>
      </c>
      <c r="E7150" s="461" t="s">
        <v>174</v>
      </c>
    </row>
    <row r="7151" spans="1:5" ht="27" x14ac:dyDescent="0.25">
      <c r="A7151" s="508">
        <v>100946</v>
      </c>
      <c r="B7151" s="509" t="s">
        <v>3203</v>
      </c>
      <c r="C7151" s="508" t="s">
        <v>922</v>
      </c>
      <c r="D7151" s="510">
        <v>2.4</v>
      </c>
      <c r="E7151" s="461" t="s">
        <v>174</v>
      </c>
    </row>
    <row r="7152" spans="1:5" ht="27" x14ac:dyDescent="0.25">
      <c r="A7152" s="508">
        <v>100947</v>
      </c>
      <c r="B7152" s="509" t="s">
        <v>3204</v>
      </c>
      <c r="C7152" s="508" t="s">
        <v>922</v>
      </c>
      <c r="D7152" s="510">
        <v>2.21</v>
      </c>
      <c r="E7152" s="461" t="s">
        <v>174</v>
      </c>
    </row>
    <row r="7153" spans="1:5" ht="27" x14ac:dyDescent="0.25">
      <c r="A7153" s="508">
        <v>100948</v>
      </c>
      <c r="B7153" s="509" t="s">
        <v>3205</v>
      </c>
      <c r="C7153" s="508" t="s">
        <v>922</v>
      </c>
      <c r="D7153" s="510">
        <v>0.87</v>
      </c>
      <c r="E7153" s="461" t="s">
        <v>174</v>
      </c>
    </row>
    <row r="7154" spans="1:5" ht="27" x14ac:dyDescent="0.25">
      <c r="A7154" s="508">
        <v>100949</v>
      </c>
      <c r="B7154" s="509" t="s">
        <v>3206</v>
      </c>
      <c r="C7154" s="508" t="s">
        <v>922</v>
      </c>
      <c r="D7154" s="510">
        <v>6.64</v>
      </c>
      <c r="E7154" s="461" t="s">
        <v>174</v>
      </c>
    </row>
    <row r="7155" spans="1:5" ht="27" x14ac:dyDescent="0.25">
      <c r="A7155" s="508">
        <v>100950</v>
      </c>
      <c r="B7155" s="509" t="s">
        <v>3207</v>
      </c>
      <c r="C7155" s="508" t="s">
        <v>922</v>
      </c>
      <c r="D7155" s="510">
        <v>3.51</v>
      </c>
      <c r="E7155" s="461" t="s">
        <v>174</v>
      </c>
    </row>
    <row r="7156" spans="1:5" ht="27" x14ac:dyDescent="0.25">
      <c r="A7156" s="508">
        <v>100951</v>
      </c>
      <c r="B7156" s="509" t="s">
        <v>3208</v>
      </c>
      <c r="C7156" s="508" t="s">
        <v>922</v>
      </c>
      <c r="D7156" s="510">
        <v>3.03</v>
      </c>
      <c r="E7156" s="461" t="s">
        <v>174</v>
      </c>
    </row>
    <row r="7157" spans="1:5" ht="27" x14ac:dyDescent="0.25">
      <c r="A7157" s="508">
        <v>100952</v>
      </c>
      <c r="B7157" s="509" t="s">
        <v>3209</v>
      </c>
      <c r="C7157" s="508" t="s">
        <v>922</v>
      </c>
      <c r="D7157" s="510">
        <v>2.79</v>
      </c>
      <c r="E7157" s="461" t="s">
        <v>174</v>
      </c>
    </row>
    <row r="7158" spans="1:5" ht="40.5" x14ac:dyDescent="0.25">
      <c r="A7158" s="508">
        <v>100953</v>
      </c>
      <c r="B7158" s="509" t="s">
        <v>3210</v>
      </c>
      <c r="C7158" s="508" t="s">
        <v>922</v>
      </c>
      <c r="D7158" s="508">
        <v>1.1100000000000001</v>
      </c>
      <c r="E7158" s="461" t="s">
        <v>174</v>
      </c>
    </row>
    <row r="7159" spans="1:5" ht="27" x14ac:dyDescent="0.25">
      <c r="A7159" s="508">
        <v>100954</v>
      </c>
      <c r="B7159" s="509" t="s">
        <v>3211</v>
      </c>
      <c r="C7159" s="508" t="s">
        <v>922</v>
      </c>
      <c r="D7159" s="508">
        <v>8.36</v>
      </c>
      <c r="E7159" s="461" t="s">
        <v>174</v>
      </c>
    </row>
    <row r="7160" spans="1:5" ht="27" x14ac:dyDescent="0.25">
      <c r="A7160" s="508">
        <v>100955</v>
      </c>
      <c r="B7160" s="509" t="s">
        <v>3212</v>
      </c>
      <c r="C7160" s="508" t="s">
        <v>178</v>
      </c>
      <c r="D7160" s="510">
        <v>4.84</v>
      </c>
      <c r="E7160" s="461" t="s">
        <v>174</v>
      </c>
    </row>
    <row r="7161" spans="1:5" ht="27" x14ac:dyDescent="0.25">
      <c r="A7161" s="508">
        <v>100956</v>
      </c>
      <c r="B7161" s="509" t="s">
        <v>3213</v>
      </c>
      <c r="C7161" s="508" t="s">
        <v>178</v>
      </c>
      <c r="D7161" s="508">
        <v>4.2</v>
      </c>
      <c r="E7161" s="461" t="s">
        <v>174</v>
      </c>
    </row>
    <row r="7162" spans="1:5" ht="27" x14ac:dyDescent="0.25">
      <c r="A7162" s="508">
        <v>100957</v>
      </c>
      <c r="B7162" s="509" t="s">
        <v>3214</v>
      </c>
      <c r="C7162" s="508" t="s">
        <v>178</v>
      </c>
      <c r="D7162" s="508">
        <v>3.84</v>
      </c>
      <c r="E7162" s="461" t="s">
        <v>174</v>
      </c>
    </row>
    <row r="7163" spans="1:5" ht="27" x14ac:dyDescent="0.25">
      <c r="A7163" s="508">
        <v>100958</v>
      </c>
      <c r="B7163" s="509" t="s">
        <v>3215</v>
      </c>
      <c r="C7163" s="508" t="s">
        <v>178</v>
      </c>
      <c r="D7163" s="508">
        <v>1.54</v>
      </c>
      <c r="E7163" s="461" t="s">
        <v>174</v>
      </c>
    </row>
    <row r="7164" spans="1:5" ht="27" x14ac:dyDescent="0.25">
      <c r="A7164" s="508">
        <v>100959</v>
      </c>
      <c r="B7164" s="509" t="s">
        <v>3216</v>
      </c>
      <c r="C7164" s="508" t="s">
        <v>178</v>
      </c>
      <c r="D7164" s="508">
        <v>11.54</v>
      </c>
      <c r="E7164" s="461" t="s">
        <v>174</v>
      </c>
    </row>
    <row r="7165" spans="1:5" ht="27" x14ac:dyDescent="0.25">
      <c r="A7165" s="508">
        <v>100960</v>
      </c>
      <c r="B7165" s="509" t="s">
        <v>3217</v>
      </c>
      <c r="C7165" s="508" t="s">
        <v>178</v>
      </c>
      <c r="D7165" s="508">
        <v>3.6</v>
      </c>
      <c r="E7165" s="461" t="s">
        <v>174</v>
      </c>
    </row>
    <row r="7166" spans="1:5" ht="27" x14ac:dyDescent="0.25">
      <c r="A7166" s="508">
        <v>100961</v>
      </c>
      <c r="B7166" s="509" t="s">
        <v>3218</v>
      </c>
      <c r="C7166" s="508" t="s">
        <v>178</v>
      </c>
      <c r="D7166" s="508">
        <v>3.11</v>
      </c>
      <c r="E7166" s="461" t="s">
        <v>174</v>
      </c>
    </row>
    <row r="7167" spans="1:5" ht="27" x14ac:dyDescent="0.25">
      <c r="A7167" s="508">
        <v>100962</v>
      </c>
      <c r="B7167" s="509" t="s">
        <v>3219</v>
      </c>
      <c r="C7167" s="508" t="s">
        <v>178</v>
      </c>
      <c r="D7167" s="508">
        <v>2.84</v>
      </c>
      <c r="E7167" s="461" t="s">
        <v>174</v>
      </c>
    </row>
    <row r="7168" spans="1:5" ht="27" x14ac:dyDescent="0.25">
      <c r="A7168" s="508">
        <v>100963</v>
      </c>
      <c r="B7168" s="509" t="s">
        <v>3220</v>
      </c>
      <c r="C7168" s="508" t="s">
        <v>178</v>
      </c>
      <c r="D7168" s="508">
        <v>1.1200000000000001</v>
      </c>
      <c r="E7168" s="461" t="s">
        <v>174</v>
      </c>
    </row>
    <row r="7169" spans="1:5" ht="27" x14ac:dyDescent="0.25">
      <c r="A7169" s="508">
        <v>100964</v>
      </c>
      <c r="B7169" s="509" t="s">
        <v>3221</v>
      </c>
      <c r="C7169" s="508" t="s">
        <v>178</v>
      </c>
      <c r="D7169" s="508">
        <v>8.6300000000000008</v>
      </c>
      <c r="E7169" s="461" t="s">
        <v>174</v>
      </c>
    </row>
    <row r="7170" spans="1:5" ht="40.5" x14ac:dyDescent="0.25">
      <c r="A7170" s="508">
        <v>100973</v>
      </c>
      <c r="B7170" s="509" t="s">
        <v>3222</v>
      </c>
      <c r="C7170" s="508" t="s">
        <v>163</v>
      </c>
      <c r="D7170" s="508">
        <v>8.7100000000000009</v>
      </c>
      <c r="E7170" s="461" t="s">
        <v>174</v>
      </c>
    </row>
    <row r="7171" spans="1:5" ht="40.5" x14ac:dyDescent="0.25">
      <c r="A7171" s="508">
        <v>100974</v>
      </c>
      <c r="B7171" s="509" t="s">
        <v>3223</v>
      </c>
      <c r="C7171" s="508" t="s">
        <v>163</v>
      </c>
      <c r="D7171" s="508">
        <v>8.39</v>
      </c>
      <c r="E7171" s="461" t="s">
        <v>174</v>
      </c>
    </row>
    <row r="7172" spans="1:5" ht="40.5" x14ac:dyDescent="0.25">
      <c r="A7172" s="508">
        <v>100975</v>
      </c>
      <c r="B7172" s="509" t="s">
        <v>3224</v>
      </c>
      <c r="C7172" s="508" t="s">
        <v>163</v>
      </c>
      <c r="D7172" s="508">
        <v>8.44</v>
      </c>
      <c r="E7172" s="461" t="s">
        <v>174</v>
      </c>
    </row>
    <row r="7173" spans="1:5" ht="27" x14ac:dyDescent="0.25">
      <c r="A7173" s="508">
        <v>100965</v>
      </c>
      <c r="B7173" s="509" t="s">
        <v>3225</v>
      </c>
      <c r="C7173" s="508" t="s">
        <v>922</v>
      </c>
      <c r="D7173" s="508">
        <v>1.75</v>
      </c>
      <c r="E7173" s="461" t="s">
        <v>174</v>
      </c>
    </row>
    <row r="7174" spans="1:5" ht="27" x14ac:dyDescent="0.25">
      <c r="A7174" s="508">
        <v>100966</v>
      </c>
      <c r="B7174" s="509" t="s">
        <v>3226</v>
      </c>
      <c r="C7174" s="508" t="s">
        <v>922</v>
      </c>
      <c r="D7174" s="508">
        <v>1.5</v>
      </c>
      <c r="E7174" s="461" t="s">
        <v>174</v>
      </c>
    </row>
    <row r="7175" spans="1:5" ht="27" x14ac:dyDescent="0.25">
      <c r="A7175" s="508">
        <v>100969</v>
      </c>
      <c r="B7175" s="509" t="s">
        <v>3229</v>
      </c>
      <c r="C7175" s="508" t="s">
        <v>922</v>
      </c>
      <c r="D7175" s="508">
        <v>2.2999999999999998</v>
      </c>
      <c r="E7175" s="461" t="s">
        <v>174</v>
      </c>
    </row>
    <row r="7176" spans="1:5" ht="27" x14ac:dyDescent="0.25">
      <c r="A7176" s="508">
        <v>100970</v>
      </c>
      <c r="B7176" s="509" t="s">
        <v>3230</v>
      </c>
      <c r="C7176" s="508" t="s">
        <v>922</v>
      </c>
      <c r="D7176" s="508">
        <v>1.95</v>
      </c>
      <c r="E7176" s="461" t="s">
        <v>174</v>
      </c>
    </row>
    <row r="7177" spans="1:5" ht="27" x14ac:dyDescent="0.25">
      <c r="A7177" s="508">
        <v>102330</v>
      </c>
      <c r="B7177" s="509" t="s">
        <v>3227</v>
      </c>
      <c r="C7177" s="508" t="s">
        <v>922</v>
      </c>
      <c r="D7177" s="508">
        <v>1.4</v>
      </c>
      <c r="E7177" s="461" t="s">
        <v>174</v>
      </c>
    </row>
    <row r="7178" spans="1:5" ht="27" x14ac:dyDescent="0.25">
      <c r="A7178" s="508">
        <v>102331</v>
      </c>
      <c r="B7178" s="509" t="s">
        <v>3228</v>
      </c>
      <c r="C7178" s="508" t="s">
        <v>922</v>
      </c>
      <c r="D7178" s="508">
        <v>0.54</v>
      </c>
      <c r="E7178" s="461" t="s">
        <v>174</v>
      </c>
    </row>
    <row r="7179" spans="1:5" ht="27" x14ac:dyDescent="0.25">
      <c r="A7179" s="508">
        <v>102332</v>
      </c>
      <c r="B7179" s="509" t="s">
        <v>3231</v>
      </c>
      <c r="C7179" s="508" t="s">
        <v>922</v>
      </c>
      <c r="D7179" s="508">
        <v>1.82</v>
      </c>
      <c r="E7179" s="461" t="s">
        <v>174</v>
      </c>
    </row>
    <row r="7180" spans="1:5" ht="27" x14ac:dyDescent="0.25">
      <c r="A7180" s="508">
        <v>102333</v>
      </c>
      <c r="B7180" s="509" t="s">
        <v>3232</v>
      </c>
      <c r="C7180" s="508" t="s">
        <v>922</v>
      </c>
      <c r="D7180" s="508">
        <v>0.73</v>
      </c>
      <c r="E7180" s="461" t="s">
        <v>174</v>
      </c>
    </row>
    <row r="7181" spans="1:5" ht="27" x14ac:dyDescent="0.25">
      <c r="A7181" s="508">
        <v>101019</v>
      </c>
      <c r="B7181" s="509" t="s">
        <v>3233</v>
      </c>
      <c r="C7181" s="508" t="s">
        <v>923</v>
      </c>
      <c r="D7181" s="508">
        <v>582.39</v>
      </c>
      <c r="E7181" s="461" t="s">
        <v>174</v>
      </c>
    </row>
    <row r="7182" spans="1:5" ht="27" x14ac:dyDescent="0.25">
      <c r="A7182" s="508">
        <v>101479</v>
      </c>
      <c r="B7182" s="509" t="s">
        <v>3234</v>
      </c>
      <c r="C7182" s="508" t="s">
        <v>923</v>
      </c>
      <c r="D7182" s="508">
        <v>169.68</v>
      </c>
      <c r="E7182" s="461" t="s">
        <v>174</v>
      </c>
    </row>
    <row r="7183" spans="1:5" ht="27" x14ac:dyDescent="0.25">
      <c r="A7183" s="508">
        <v>102568</v>
      </c>
      <c r="B7183" s="509" t="s">
        <v>3866</v>
      </c>
      <c r="C7183" s="508" t="s">
        <v>923</v>
      </c>
      <c r="D7183" s="508">
        <v>289.05</v>
      </c>
      <c r="E7183" s="461" t="s">
        <v>174</v>
      </c>
    </row>
    <row r="7184" spans="1:5" ht="40.5" x14ac:dyDescent="0.25">
      <c r="A7184" s="508">
        <v>100976</v>
      </c>
      <c r="B7184" s="509" t="s">
        <v>3235</v>
      </c>
      <c r="C7184" s="508" t="s">
        <v>163</v>
      </c>
      <c r="D7184" s="508">
        <v>8.27</v>
      </c>
      <c r="E7184" s="461" t="s">
        <v>174</v>
      </c>
    </row>
    <row r="7185" spans="1:5" ht="40.5" x14ac:dyDescent="0.25">
      <c r="A7185" s="508">
        <v>100977</v>
      </c>
      <c r="B7185" s="509" t="s">
        <v>3236</v>
      </c>
      <c r="C7185" s="508" t="s">
        <v>163</v>
      </c>
      <c r="D7185" s="508">
        <v>7.6</v>
      </c>
      <c r="E7185" s="461" t="s">
        <v>174</v>
      </c>
    </row>
    <row r="7186" spans="1:5" ht="40.5" x14ac:dyDescent="0.25">
      <c r="A7186" s="508">
        <v>100978</v>
      </c>
      <c r="B7186" s="509" t="s">
        <v>3237</v>
      </c>
      <c r="C7186" s="508" t="s">
        <v>163</v>
      </c>
      <c r="D7186" s="508">
        <v>6.84</v>
      </c>
      <c r="E7186" s="461" t="s">
        <v>174</v>
      </c>
    </row>
    <row r="7187" spans="1:5" ht="40.5" x14ac:dyDescent="0.25">
      <c r="A7187" s="508">
        <v>100979</v>
      </c>
      <c r="B7187" s="509" t="s">
        <v>3238</v>
      </c>
      <c r="C7187" s="508" t="s">
        <v>163</v>
      </c>
      <c r="D7187" s="508">
        <v>6.54</v>
      </c>
      <c r="E7187" s="461" t="s">
        <v>174</v>
      </c>
    </row>
    <row r="7188" spans="1:5" ht="40.5" x14ac:dyDescent="0.25">
      <c r="A7188" s="508">
        <v>100980</v>
      </c>
      <c r="B7188" s="509" t="s">
        <v>3239</v>
      </c>
      <c r="C7188" s="508" t="s">
        <v>163</v>
      </c>
      <c r="D7188" s="508">
        <v>6.19</v>
      </c>
      <c r="E7188" s="461" t="s">
        <v>174</v>
      </c>
    </row>
    <row r="7189" spans="1:5" ht="40.5" x14ac:dyDescent="0.25">
      <c r="A7189" s="508">
        <v>100981</v>
      </c>
      <c r="B7189" s="509" t="s">
        <v>3240</v>
      </c>
      <c r="C7189" s="508" t="s">
        <v>163</v>
      </c>
      <c r="D7189" s="508">
        <v>9.24</v>
      </c>
      <c r="E7189" s="461" t="s">
        <v>174</v>
      </c>
    </row>
    <row r="7190" spans="1:5" ht="40.5" x14ac:dyDescent="0.25">
      <c r="A7190" s="508">
        <v>100982</v>
      </c>
      <c r="B7190" s="509" t="s">
        <v>3241</v>
      </c>
      <c r="C7190" s="508" t="s">
        <v>163</v>
      </c>
      <c r="D7190" s="508">
        <v>8.84</v>
      </c>
      <c r="E7190" s="461" t="s">
        <v>174</v>
      </c>
    </row>
    <row r="7191" spans="1:5" ht="40.5" x14ac:dyDescent="0.25">
      <c r="A7191" s="508">
        <v>100983</v>
      </c>
      <c r="B7191" s="509" t="s">
        <v>3242</v>
      </c>
      <c r="C7191" s="508" t="s">
        <v>163</v>
      </c>
      <c r="D7191" s="508">
        <v>8.85</v>
      </c>
      <c r="E7191" s="461" t="s">
        <v>174</v>
      </c>
    </row>
    <row r="7192" spans="1:5" ht="40.5" x14ac:dyDescent="0.25">
      <c r="A7192" s="508">
        <v>100984</v>
      </c>
      <c r="B7192" s="509" t="s">
        <v>3243</v>
      </c>
      <c r="C7192" s="508" t="s">
        <v>163</v>
      </c>
      <c r="D7192" s="508">
        <v>8.66</v>
      </c>
      <c r="E7192" s="461" t="s">
        <v>174</v>
      </c>
    </row>
    <row r="7193" spans="1:5" ht="15" x14ac:dyDescent="0.25">
      <c r="A7193" s="508">
        <v>100985</v>
      </c>
      <c r="B7193" s="509" t="s">
        <v>3244</v>
      </c>
      <c r="C7193" s="508" t="s">
        <v>163</v>
      </c>
      <c r="D7193" s="508">
        <v>7.45</v>
      </c>
      <c r="E7193" s="461" t="s">
        <v>174</v>
      </c>
    </row>
    <row r="7194" spans="1:5" ht="15" x14ac:dyDescent="0.25">
      <c r="A7194" s="508">
        <v>100986</v>
      </c>
      <c r="B7194" s="509" t="s">
        <v>3245</v>
      </c>
      <c r="C7194" s="508" t="s">
        <v>163</v>
      </c>
      <c r="D7194" s="508">
        <v>8.94</v>
      </c>
      <c r="E7194" s="461" t="s">
        <v>174</v>
      </c>
    </row>
    <row r="7195" spans="1:5" ht="15" x14ac:dyDescent="0.25">
      <c r="A7195" s="508">
        <v>100987</v>
      </c>
      <c r="B7195" s="509" t="s">
        <v>3246</v>
      </c>
      <c r="C7195" s="508" t="s">
        <v>163</v>
      </c>
      <c r="D7195" s="508">
        <v>10.24</v>
      </c>
      <c r="E7195" s="461" t="s">
        <v>174</v>
      </c>
    </row>
    <row r="7196" spans="1:5" ht="15" x14ac:dyDescent="0.25">
      <c r="A7196" s="508">
        <v>100988</v>
      </c>
      <c r="B7196" s="509" t="s">
        <v>3247</v>
      </c>
      <c r="C7196" s="508" t="s">
        <v>163</v>
      </c>
      <c r="D7196" s="508">
        <v>10.82</v>
      </c>
      <c r="E7196" s="461" t="s">
        <v>174</v>
      </c>
    </row>
    <row r="7197" spans="1:5" ht="40.5" x14ac:dyDescent="0.25">
      <c r="A7197" s="508">
        <v>100989</v>
      </c>
      <c r="B7197" s="509" t="s">
        <v>3248</v>
      </c>
      <c r="C7197" s="508" t="s">
        <v>923</v>
      </c>
      <c r="D7197" s="508">
        <v>5.8</v>
      </c>
      <c r="E7197" s="461" t="s">
        <v>174</v>
      </c>
    </row>
    <row r="7198" spans="1:5" ht="40.5" x14ac:dyDescent="0.25">
      <c r="A7198" s="508">
        <v>100990</v>
      </c>
      <c r="B7198" s="509" t="s">
        <v>3249</v>
      </c>
      <c r="C7198" s="508" t="s">
        <v>923</v>
      </c>
      <c r="D7198" s="508">
        <v>5.59</v>
      </c>
      <c r="E7198" s="461" t="s">
        <v>174</v>
      </c>
    </row>
    <row r="7199" spans="1:5" ht="40.5" x14ac:dyDescent="0.25">
      <c r="A7199" s="508">
        <v>100991</v>
      </c>
      <c r="B7199" s="509" t="s">
        <v>3250</v>
      </c>
      <c r="C7199" s="508" t="s">
        <v>923</v>
      </c>
      <c r="D7199" s="508">
        <v>5.65</v>
      </c>
      <c r="E7199" s="461" t="s">
        <v>174</v>
      </c>
    </row>
    <row r="7200" spans="1:5" ht="40.5" x14ac:dyDescent="0.25">
      <c r="A7200" s="508">
        <v>100992</v>
      </c>
      <c r="B7200" s="509" t="s">
        <v>3251</v>
      </c>
      <c r="C7200" s="508" t="s">
        <v>923</v>
      </c>
      <c r="D7200" s="508">
        <v>5.5</v>
      </c>
      <c r="E7200" s="461" t="s">
        <v>174</v>
      </c>
    </row>
    <row r="7201" spans="1:5" ht="40.5" x14ac:dyDescent="0.25">
      <c r="A7201" s="508">
        <v>100993</v>
      </c>
      <c r="B7201" s="509" t="s">
        <v>3252</v>
      </c>
      <c r="C7201" s="508" t="s">
        <v>923</v>
      </c>
      <c r="D7201" s="508">
        <v>5.0599999999999996</v>
      </c>
      <c r="E7201" s="461" t="s">
        <v>174</v>
      </c>
    </row>
    <row r="7202" spans="1:5" ht="40.5" x14ac:dyDescent="0.25">
      <c r="A7202" s="508">
        <v>100994</v>
      </c>
      <c r="B7202" s="509" t="s">
        <v>3253</v>
      </c>
      <c r="C7202" s="508" t="s">
        <v>923</v>
      </c>
      <c r="D7202" s="508">
        <v>4.55</v>
      </c>
      <c r="E7202" s="461" t="s">
        <v>174</v>
      </c>
    </row>
    <row r="7203" spans="1:5" ht="40.5" x14ac:dyDescent="0.25">
      <c r="A7203" s="508">
        <v>100995</v>
      </c>
      <c r="B7203" s="509" t="s">
        <v>3254</v>
      </c>
      <c r="C7203" s="508" t="s">
        <v>923</v>
      </c>
      <c r="D7203" s="508">
        <v>4.37</v>
      </c>
      <c r="E7203" s="461" t="s">
        <v>174</v>
      </c>
    </row>
    <row r="7204" spans="1:5" ht="40.5" x14ac:dyDescent="0.25">
      <c r="A7204" s="508">
        <v>100996</v>
      </c>
      <c r="B7204" s="509" t="s">
        <v>3255</v>
      </c>
      <c r="C7204" s="508" t="s">
        <v>923</v>
      </c>
      <c r="D7204" s="508">
        <v>4.1100000000000003</v>
      </c>
      <c r="E7204" s="461" t="s">
        <v>174</v>
      </c>
    </row>
    <row r="7205" spans="1:5" ht="40.5" x14ac:dyDescent="0.25">
      <c r="A7205" s="508">
        <v>100997</v>
      </c>
      <c r="B7205" s="509" t="s">
        <v>3256</v>
      </c>
      <c r="C7205" s="508" t="s">
        <v>923</v>
      </c>
      <c r="D7205" s="508">
        <v>6.16</v>
      </c>
      <c r="E7205" s="461" t="s">
        <v>174</v>
      </c>
    </row>
    <row r="7206" spans="1:5" ht="40.5" x14ac:dyDescent="0.25">
      <c r="A7206" s="508">
        <v>100998</v>
      </c>
      <c r="B7206" s="509" t="s">
        <v>3257</v>
      </c>
      <c r="C7206" s="508" t="s">
        <v>923</v>
      </c>
      <c r="D7206" s="508">
        <v>5.89</v>
      </c>
      <c r="E7206" s="461" t="s">
        <v>174</v>
      </c>
    </row>
    <row r="7207" spans="1:5" ht="40.5" x14ac:dyDescent="0.25">
      <c r="A7207" s="508">
        <v>100999</v>
      </c>
      <c r="B7207" s="509" t="s">
        <v>3258</v>
      </c>
      <c r="C7207" s="508" t="s">
        <v>923</v>
      </c>
      <c r="D7207" s="508">
        <v>5.93</v>
      </c>
      <c r="E7207" s="461" t="s">
        <v>174</v>
      </c>
    </row>
    <row r="7208" spans="1:5" ht="40.5" x14ac:dyDescent="0.25">
      <c r="A7208" s="508">
        <v>101000</v>
      </c>
      <c r="B7208" s="509" t="s">
        <v>3259</v>
      </c>
      <c r="C7208" s="508" t="s">
        <v>923</v>
      </c>
      <c r="D7208" s="508">
        <v>5.77</v>
      </c>
      <c r="E7208" s="461" t="s">
        <v>174</v>
      </c>
    </row>
    <row r="7209" spans="1:5" ht="15" x14ac:dyDescent="0.25">
      <c r="A7209" s="508">
        <v>101001</v>
      </c>
      <c r="B7209" s="509" t="s">
        <v>3260</v>
      </c>
      <c r="C7209" s="508" t="s">
        <v>923</v>
      </c>
      <c r="D7209" s="508">
        <v>4.97</v>
      </c>
      <c r="E7209" s="461" t="s">
        <v>174</v>
      </c>
    </row>
    <row r="7210" spans="1:5" ht="15" x14ac:dyDescent="0.25">
      <c r="A7210" s="508">
        <v>101002</v>
      </c>
      <c r="B7210" s="509" t="s">
        <v>3261</v>
      </c>
      <c r="C7210" s="508" t="s">
        <v>923</v>
      </c>
      <c r="D7210" s="508">
        <v>5.95</v>
      </c>
      <c r="E7210" s="461" t="s">
        <v>174</v>
      </c>
    </row>
    <row r="7211" spans="1:5" ht="15" x14ac:dyDescent="0.25">
      <c r="A7211" s="508">
        <v>101003</v>
      </c>
      <c r="B7211" s="509" t="s">
        <v>3262</v>
      </c>
      <c r="C7211" s="508" t="s">
        <v>923</v>
      </c>
      <c r="D7211" s="508">
        <v>6.81</v>
      </c>
      <c r="E7211" s="461" t="s">
        <v>174</v>
      </c>
    </row>
    <row r="7212" spans="1:5" ht="15" x14ac:dyDescent="0.25">
      <c r="A7212" s="508">
        <v>101004</v>
      </c>
      <c r="B7212" s="509" t="s">
        <v>3263</v>
      </c>
      <c r="C7212" s="508" t="s">
        <v>923</v>
      </c>
      <c r="D7212" s="508">
        <v>7.21</v>
      </c>
      <c r="E7212" s="461" t="s">
        <v>174</v>
      </c>
    </row>
    <row r="7213" spans="1:5" ht="15" x14ac:dyDescent="0.25">
      <c r="A7213" s="508">
        <v>101005</v>
      </c>
      <c r="B7213" s="509" t="s">
        <v>3264</v>
      </c>
      <c r="C7213" s="508" t="s">
        <v>163</v>
      </c>
      <c r="D7213" s="508">
        <v>18.420000000000002</v>
      </c>
      <c r="E7213" s="461" t="s">
        <v>174</v>
      </c>
    </row>
    <row r="7214" spans="1:5" ht="15" x14ac:dyDescent="0.25">
      <c r="A7214" s="508">
        <v>101006</v>
      </c>
      <c r="B7214" s="509" t="s">
        <v>3265</v>
      </c>
      <c r="C7214" s="508" t="s">
        <v>163</v>
      </c>
      <c r="D7214" s="508">
        <v>20.47</v>
      </c>
      <c r="E7214" s="461" t="s">
        <v>174</v>
      </c>
    </row>
    <row r="7215" spans="1:5" ht="15" x14ac:dyDescent="0.25">
      <c r="A7215" s="508">
        <v>101007</v>
      </c>
      <c r="B7215" s="509" t="s">
        <v>3266</v>
      </c>
      <c r="C7215" s="508" t="s">
        <v>163</v>
      </c>
      <c r="D7215" s="508">
        <v>5.34</v>
      </c>
      <c r="E7215" s="461" t="s">
        <v>174</v>
      </c>
    </row>
    <row r="7216" spans="1:5" ht="15" x14ac:dyDescent="0.25">
      <c r="A7216" s="508">
        <v>101008</v>
      </c>
      <c r="B7216" s="509" t="s">
        <v>3267</v>
      </c>
      <c r="C7216" s="508" t="s">
        <v>163</v>
      </c>
      <c r="D7216" s="508">
        <v>5.41</v>
      </c>
      <c r="E7216" s="461" t="s">
        <v>174</v>
      </c>
    </row>
    <row r="7217" spans="1:5" ht="27" x14ac:dyDescent="0.25">
      <c r="A7217" s="508">
        <v>101009</v>
      </c>
      <c r="B7217" s="509" t="s">
        <v>3268</v>
      </c>
      <c r="C7217" s="508" t="s">
        <v>923</v>
      </c>
      <c r="D7217" s="508">
        <v>42.36</v>
      </c>
      <c r="E7217" s="461" t="s">
        <v>174</v>
      </c>
    </row>
    <row r="7218" spans="1:5" ht="27" x14ac:dyDescent="0.25">
      <c r="A7218" s="508">
        <v>101010</v>
      </c>
      <c r="B7218" s="509" t="s">
        <v>3269</v>
      </c>
      <c r="C7218" s="508" t="s">
        <v>923</v>
      </c>
      <c r="D7218" s="508">
        <v>26.67</v>
      </c>
      <c r="E7218" s="461" t="s">
        <v>174</v>
      </c>
    </row>
    <row r="7219" spans="1:5" ht="27" x14ac:dyDescent="0.25">
      <c r="A7219" s="508">
        <v>101013</v>
      </c>
      <c r="B7219" s="509" t="s">
        <v>3270</v>
      </c>
      <c r="C7219" s="508" t="s">
        <v>923</v>
      </c>
      <c r="D7219" s="508">
        <v>45.22</v>
      </c>
      <c r="E7219" s="461" t="s">
        <v>174</v>
      </c>
    </row>
    <row r="7220" spans="1:5" ht="27" x14ac:dyDescent="0.25">
      <c r="A7220" s="508">
        <v>101014</v>
      </c>
      <c r="B7220" s="509" t="s">
        <v>3271</v>
      </c>
      <c r="C7220" s="508" t="s">
        <v>923</v>
      </c>
      <c r="D7220" s="508">
        <v>41.42</v>
      </c>
      <c r="E7220" s="461" t="s">
        <v>174</v>
      </c>
    </row>
    <row r="7221" spans="1:5" ht="27" x14ac:dyDescent="0.25">
      <c r="A7221" s="508">
        <v>101015</v>
      </c>
      <c r="B7221" s="509" t="s">
        <v>3272</v>
      </c>
      <c r="C7221" s="508" t="s">
        <v>923</v>
      </c>
      <c r="D7221" s="508">
        <v>34.03</v>
      </c>
      <c r="E7221" s="461" t="s">
        <v>174</v>
      </c>
    </row>
    <row r="7222" spans="1:5" ht="27" x14ac:dyDescent="0.25">
      <c r="A7222" s="508">
        <v>101016</v>
      </c>
      <c r="B7222" s="509" t="s">
        <v>3273</v>
      </c>
      <c r="C7222" s="508" t="s">
        <v>923</v>
      </c>
      <c r="D7222" s="508">
        <v>39.39</v>
      </c>
      <c r="E7222" s="461" t="s">
        <v>174</v>
      </c>
    </row>
    <row r="7223" spans="1:5" ht="27" x14ac:dyDescent="0.25">
      <c r="A7223" s="508">
        <v>101017</v>
      </c>
      <c r="B7223" s="509" t="s">
        <v>3274</v>
      </c>
      <c r="C7223" s="508" t="s">
        <v>923</v>
      </c>
      <c r="D7223" s="508">
        <v>29.87</v>
      </c>
      <c r="E7223" s="461" t="s">
        <v>174</v>
      </c>
    </row>
    <row r="7224" spans="1:5" ht="27" x14ac:dyDescent="0.25">
      <c r="A7224" s="508">
        <v>101018</v>
      </c>
      <c r="B7224" s="509" t="s">
        <v>3275</v>
      </c>
      <c r="C7224" s="508" t="s">
        <v>923</v>
      </c>
      <c r="D7224" s="508">
        <v>24.53</v>
      </c>
      <c r="E7224" s="461" t="s">
        <v>174</v>
      </c>
    </row>
    <row r="7225" spans="1:5" ht="27" x14ac:dyDescent="0.25">
      <c r="A7225" s="508">
        <v>101463</v>
      </c>
      <c r="B7225" s="509" t="s">
        <v>3276</v>
      </c>
      <c r="C7225" s="508" t="s">
        <v>923</v>
      </c>
      <c r="D7225" s="508">
        <v>45.35</v>
      </c>
      <c r="E7225" s="461" t="s">
        <v>174</v>
      </c>
    </row>
    <row r="7226" spans="1:5" ht="27" x14ac:dyDescent="0.25">
      <c r="A7226" s="508">
        <v>101464</v>
      </c>
      <c r="B7226" s="509" t="s">
        <v>3277</v>
      </c>
      <c r="C7226" s="508" t="s">
        <v>923</v>
      </c>
      <c r="D7226" s="508">
        <v>34.83</v>
      </c>
      <c r="E7226" s="461" t="s">
        <v>174</v>
      </c>
    </row>
    <row r="7227" spans="1:5" ht="27" x14ac:dyDescent="0.25">
      <c r="A7227" s="508">
        <v>101465</v>
      </c>
      <c r="B7227" s="509" t="s">
        <v>3278</v>
      </c>
      <c r="C7227" s="508" t="s">
        <v>923</v>
      </c>
      <c r="D7227" s="508">
        <v>26.63</v>
      </c>
      <c r="E7227" s="461" t="s">
        <v>174</v>
      </c>
    </row>
    <row r="7228" spans="1:5" ht="27" x14ac:dyDescent="0.25">
      <c r="A7228" s="508">
        <v>101466</v>
      </c>
      <c r="B7228" s="509" t="s">
        <v>3279</v>
      </c>
      <c r="C7228" s="508" t="s">
        <v>923</v>
      </c>
      <c r="D7228" s="508">
        <v>21.66</v>
      </c>
      <c r="E7228" s="461" t="s">
        <v>174</v>
      </c>
    </row>
    <row r="7229" spans="1:5" ht="27" x14ac:dyDescent="0.25">
      <c r="A7229" s="508">
        <v>101467</v>
      </c>
      <c r="B7229" s="509" t="s">
        <v>3280</v>
      </c>
      <c r="C7229" s="508" t="s">
        <v>923</v>
      </c>
      <c r="D7229" s="508">
        <v>18.13</v>
      </c>
      <c r="E7229" s="461" t="s">
        <v>174</v>
      </c>
    </row>
    <row r="7230" spans="1:5" ht="27" x14ac:dyDescent="0.25">
      <c r="A7230" s="508">
        <v>101468</v>
      </c>
      <c r="B7230" s="509" t="s">
        <v>3281</v>
      </c>
      <c r="C7230" s="508" t="s">
        <v>923</v>
      </c>
      <c r="D7230" s="508">
        <v>16.579999999999998</v>
      </c>
      <c r="E7230" s="461" t="s">
        <v>174</v>
      </c>
    </row>
    <row r="7231" spans="1:5" ht="27" x14ac:dyDescent="0.25">
      <c r="A7231" s="508">
        <v>101469</v>
      </c>
      <c r="B7231" s="509" t="s">
        <v>3282</v>
      </c>
      <c r="C7231" s="508" t="s">
        <v>923</v>
      </c>
      <c r="D7231" s="508">
        <v>37.11</v>
      </c>
      <c r="E7231" s="461" t="s">
        <v>174</v>
      </c>
    </row>
    <row r="7232" spans="1:5" ht="27" x14ac:dyDescent="0.25">
      <c r="A7232" s="508">
        <v>101470</v>
      </c>
      <c r="B7232" s="509" t="s">
        <v>3283</v>
      </c>
      <c r="C7232" s="508" t="s">
        <v>923</v>
      </c>
      <c r="D7232" s="508">
        <v>29.46</v>
      </c>
      <c r="E7232" s="461" t="s">
        <v>174</v>
      </c>
    </row>
    <row r="7233" spans="1:5" ht="27" x14ac:dyDescent="0.25">
      <c r="A7233" s="508">
        <v>101471</v>
      </c>
      <c r="B7233" s="509" t="s">
        <v>3284</v>
      </c>
      <c r="C7233" s="508" t="s">
        <v>923</v>
      </c>
      <c r="D7233" s="508">
        <v>25.27</v>
      </c>
      <c r="E7233" s="461" t="s">
        <v>174</v>
      </c>
    </row>
    <row r="7234" spans="1:5" ht="27" x14ac:dyDescent="0.25">
      <c r="A7234" s="508">
        <v>101472</v>
      </c>
      <c r="B7234" s="509" t="s">
        <v>3285</v>
      </c>
      <c r="C7234" s="508" t="s">
        <v>923</v>
      </c>
      <c r="D7234" s="508">
        <v>19.66</v>
      </c>
      <c r="E7234" s="461" t="s">
        <v>174</v>
      </c>
    </row>
    <row r="7235" spans="1:5" ht="27" x14ac:dyDescent="0.25">
      <c r="A7235" s="508">
        <v>101473</v>
      </c>
      <c r="B7235" s="509" t="s">
        <v>3286</v>
      </c>
      <c r="C7235" s="508" t="s">
        <v>923</v>
      </c>
      <c r="D7235" s="508">
        <v>28.31</v>
      </c>
      <c r="E7235" s="461" t="s">
        <v>174</v>
      </c>
    </row>
    <row r="7236" spans="1:5" ht="27" x14ac:dyDescent="0.25">
      <c r="A7236" s="508">
        <v>101474</v>
      </c>
      <c r="B7236" s="509" t="s">
        <v>3287</v>
      </c>
      <c r="C7236" s="508" t="s">
        <v>923</v>
      </c>
      <c r="D7236" s="508">
        <v>20.260000000000002</v>
      </c>
      <c r="E7236" s="461" t="s">
        <v>174</v>
      </c>
    </row>
    <row r="7237" spans="1:5" ht="27" x14ac:dyDescent="0.25">
      <c r="A7237" s="508">
        <v>101475</v>
      </c>
      <c r="B7237" s="509" t="s">
        <v>3288</v>
      </c>
      <c r="C7237" s="508" t="s">
        <v>923</v>
      </c>
      <c r="D7237" s="508">
        <v>17.97</v>
      </c>
      <c r="E7237" s="461" t="s">
        <v>174</v>
      </c>
    </row>
    <row r="7238" spans="1:5" ht="27" x14ac:dyDescent="0.25">
      <c r="A7238" s="508">
        <v>101476</v>
      </c>
      <c r="B7238" s="509" t="s">
        <v>3289</v>
      </c>
      <c r="C7238" s="508" t="s">
        <v>923</v>
      </c>
      <c r="D7238" s="508">
        <v>16.03</v>
      </c>
      <c r="E7238" s="461" t="s">
        <v>174</v>
      </c>
    </row>
    <row r="7239" spans="1:5" ht="27" x14ac:dyDescent="0.25">
      <c r="A7239" s="508">
        <v>101477</v>
      </c>
      <c r="B7239" s="509" t="s">
        <v>3290</v>
      </c>
      <c r="C7239" s="508" t="s">
        <v>923</v>
      </c>
      <c r="D7239" s="508">
        <v>13.12</v>
      </c>
      <c r="E7239" s="461" t="s">
        <v>174</v>
      </c>
    </row>
    <row r="7240" spans="1:5" ht="27" x14ac:dyDescent="0.25">
      <c r="A7240" s="508">
        <v>101478</v>
      </c>
      <c r="B7240" s="509" t="s">
        <v>3291</v>
      </c>
      <c r="C7240" s="508" t="s">
        <v>923</v>
      </c>
      <c r="D7240" s="508">
        <v>11.17</v>
      </c>
      <c r="E7240" s="461" t="s">
        <v>174</v>
      </c>
    </row>
    <row r="7241" spans="1:5" ht="27" x14ac:dyDescent="0.25">
      <c r="A7241" s="508">
        <v>101480</v>
      </c>
      <c r="B7241" s="509" t="s">
        <v>3292</v>
      </c>
      <c r="C7241" s="508" t="s">
        <v>923</v>
      </c>
      <c r="D7241" s="508">
        <v>66.37</v>
      </c>
      <c r="E7241" s="461" t="s">
        <v>174</v>
      </c>
    </row>
    <row r="7242" spans="1:5" ht="27" x14ac:dyDescent="0.25">
      <c r="A7242" s="508">
        <v>101481</v>
      </c>
      <c r="B7242" s="509" t="s">
        <v>3293</v>
      </c>
      <c r="C7242" s="508" t="s">
        <v>923</v>
      </c>
      <c r="D7242" s="508">
        <v>47.93</v>
      </c>
      <c r="E7242" s="461" t="s">
        <v>174</v>
      </c>
    </row>
    <row r="7243" spans="1:5" ht="27" x14ac:dyDescent="0.25">
      <c r="A7243" s="508">
        <v>101482</v>
      </c>
      <c r="B7243" s="509" t="s">
        <v>4158</v>
      </c>
      <c r="C7243" s="508" t="s">
        <v>923</v>
      </c>
      <c r="D7243" s="508">
        <v>35.83</v>
      </c>
      <c r="E7243" s="461" t="s">
        <v>174</v>
      </c>
    </row>
    <row r="7244" spans="1:5" ht="27" x14ac:dyDescent="0.25">
      <c r="A7244" s="508">
        <v>101483</v>
      </c>
      <c r="B7244" s="509" t="s">
        <v>3294</v>
      </c>
      <c r="C7244" s="508" t="s">
        <v>923</v>
      </c>
      <c r="D7244" s="508">
        <v>37.19</v>
      </c>
      <c r="E7244" s="461" t="s">
        <v>174</v>
      </c>
    </row>
    <row r="7245" spans="1:5" ht="27" x14ac:dyDescent="0.25">
      <c r="A7245" s="508">
        <v>101484</v>
      </c>
      <c r="B7245" s="509" t="s">
        <v>3295</v>
      </c>
      <c r="C7245" s="508" t="s">
        <v>923</v>
      </c>
      <c r="D7245" s="508">
        <v>192.72</v>
      </c>
      <c r="E7245" s="461" t="s">
        <v>174</v>
      </c>
    </row>
    <row r="7246" spans="1:5" ht="27" x14ac:dyDescent="0.25">
      <c r="A7246" s="508">
        <v>101485</v>
      </c>
      <c r="B7246" s="509" t="s">
        <v>3296</v>
      </c>
      <c r="C7246" s="508" t="s">
        <v>923</v>
      </c>
      <c r="D7246" s="508">
        <v>147.93</v>
      </c>
      <c r="E7246" s="461" t="s">
        <v>174</v>
      </c>
    </row>
    <row r="7247" spans="1:5" ht="27" x14ac:dyDescent="0.25">
      <c r="A7247" s="508">
        <v>101486</v>
      </c>
      <c r="B7247" s="509" t="s">
        <v>3297</v>
      </c>
      <c r="C7247" s="508" t="s">
        <v>923</v>
      </c>
      <c r="D7247" s="508">
        <v>133.26</v>
      </c>
      <c r="E7247" s="461" t="s">
        <v>174</v>
      </c>
    </row>
    <row r="7248" spans="1:5" ht="27" x14ac:dyDescent="0.25">
      <c r="A7248" s="508">
        <v>101487</v>
      </c>
      <c r="B7248" s="509" t="s">
        <v>3298</v>
      </c>
      <c r="C7248" s="508" t="s">
        <v>923</v>
      </c>
      <c r="D7248" s="508">
        <v>97.58</v>
      </c>
      <c r="E7248" s="461" t="s">
        <v>174</v>
      </c>
    </row>
    <row r="7249" spans="1:5" ht="27" x14ac:dyDescent="0.25">
      <c r="A7249" s="508">
        <v>101488</v>
      </c>
      <c r="B7249" s="509" t="s">
        <v>3299</v>
      </c>
      <c r="C7249" s="508" t="s">
        <v>923</v>
      </c>
      <c r="D7249" s="508">
        <v>84.43</v>
      </c>
      <c r="E7249" s="461" t="s">
        <v>174</v>
      </c>
    </row>
    <row r="7250" spans="1:5" ht="27" x14ac:dyDescent="0.25">
      <c r="A7250" s="508">
        <v>101188</v>
      </c>
      <c r="B7250" s="509" t="s">
        <v>2130</v>
      </c>
      <c r="C7250" s="508" t="s">
        <v>5</v>
      </c>
      <c r="D7250" s="508">
        <v>6.11</v>
      </c>
      <c r="E7250" s="461" t="s">
        <v>174</v>
      </c>
    </row>
    <row r="7251" spans="1:5" ht="27" x14ac:dyDescent="0.25">
      <c r="A7251" s="508">
        <v>101189</v>
      </c>
      <c r="B7251" s="509" t="s">
        <v>2131</v>
      </c>
      <c r="C7251" s="508" t="s">
        <v>5</v>
      </c>
      <c r="D7251" s="508">
        <v>68.069999999999993</v>
      </c>
      <c r="E7251" s="461" t="s">
        <v>174</v>
      </c>
    </row>
    <row r="7252" spans="1:5" ht="27" x14ac:dyDescent="0.25">
      <c r="A7252" s="508">
        <v>101190</v>
      </c>
      <c r="B7252" s="509" t="s">
        <v>2132</v>
      </c>
      <c r="C7252" s="508" t="s">
        <v>5</v>
      </c>
      <c r="D7252" s="508">
        <v>67.599999999999994</v>
      </c>
      <c r="E7252" s="461" t="s">
        <v>174</v>
      </c>
    </row>
    <row r="7253" spans="1:5" ht="27" x14ac:dyDescent="0.25">
      <c r="A7253" s="508">
        <v>101191</v>
      </c>
      <c r="B7253" s="509" t="s">
        <v>2133</v>
      </c>
      <c r="C7253" s="508" t="s">
        <v>5</v>
      </c>
      <c r="D7253" s="508">
        <v>67.83</v>
      </c>
      <c r="E7253" s="461" t="s">
        <v>174</v>
      </c>
    </row>
    <row r="7254" spans="1:5" ht="27" x14ac:dyDescent="0.25">
      <c r="A7254" s="508">
        <v>101192</v>
      </c>
      <c r="B7254" s="509" t="s">
        <v>2134</v>
      </c>
      <c r="C7254" s="508" t="s">
        <v>5</v>
      </c>
      <c r="D7254" s="508">
        <v>66.7</v>
      </c>
      <c r="E7254" s="461" t="s">
        <v>174</v>
      </c>
    </row>
    <row r="7255" spans="1:5" ht="27" x14ac:dyDescent="0.25">
      <c r="A7255" s="508">
        <v>101193</v>
      </c>
      <c r="B7255" s="509" t="s">
        <v>2135</v>
      </c>
      <c r="C7255" s="508" t="s">
        <v>5</v>
      </c>
      <c r="D7255" s="508">
        <v>62.09</v>
      </c>
      <c r="E7255" s="461" t="s">
        <v>174</v>
      </c>
    </row>
    <row r="7256" spans="1:5" ht="27" x14ac:dyDescent="0.25">
      <c r="A7256" s="508">
        <v>101194</v>
      </c>
      <c r="B7256" s="509" t="s">
        <v>2136</v>
      </c>
      <c r="C7256" s="508" t="s">
        <v>5</v>
      </c>
      <c r="D7256" s="508">
        <v>62.32</v>
      </c>
      <c r="E7256" s="461" t="s">
        <v>174</v>
      </c>
    </row>
    <row r="7257" spans="1:5" ht="40.5" x14ac:dyDescent="0.25">
      <c r="A7257" s="508">
        <v>101197</v>
      </c>
      <c r="B7257" s="509" t="s">
        <v>2137</v>
      </c>
      <c r="C7257" s="508" t="s">
        <v>5</v>
      </c>
      <c r="D7257" s="508">
        <v>132.94</v>
      </c>
      <c r="E7257" s="461" t="s">
        <v>174</v>
      </c>
    </row>
    <row r="7258" spans="1:5" ht="40.5" x14ac:dyDescent="0.25">
      <c r="A7258" s="508">
        <v>101198</v>
      </c>
      <c r="B7258" s="509" t="s">
        <v>2138</v>
      </c>
      <c r="C7258" s="508" t="s">
        <v>5</v>
      </c>
      <c r="D7258" s="508">
        <v>91.3</v>
      </c>
      <c r="E7258" s="461" t="s">
        <v>174</v>
      </c>
    </row>
    <row r="7259" spans="1:5" ht="40.5" x14ac:dyDescent="0.25">
      <c r="A7259" s="508">
        <v>101199</v>
      </c>
      <c r="B7259" s="509" t="s">
        <v>2139</v>
      </c>
      <c r="C7259" s="508" t="s">
        <v>5</v>
      </c>
      <c r="D7259" s="510">
        <v>91.88</v>
      </c>
      <c r="E7259" s="461" t="s">
        <v>174</v>
      </c>
    </row>
    <row r="7260" spans="1:5" ht="40.5" x14ac:dyDescent="0.25">
      <c r="A7260" s="508">
        <v>101200</v>
      </c>
      <c r="B7260" s="509" t="s">
        <v>2140</v>
      </c>
      <c r="C7260" s="508" t="s">
        <v>5</v>
      </c>
      <c r="D7260" s="510">
        <v>59.37</v>
      </c>
      <c r="E7260" s="461" t="s">
        <v>174</v>
      </c>
    </row>
    <row r="7261" spans="1:5" ht="40.5" x14ac:dyDescent="0.25">
      <c r="A7261" s="508">
        <v>101201</v>
      </c>
      <c r="B7261" s="509" t="s">
        <v>2141</v>
      </c>
      <c r="C7261" s="508" t="s">
        <v>5</v>
      </c>
      <c r="D7261" s="510">
        <v>71.5</v>
      </c>
      <c r="E7261" s="461" t="s">
        <v>174</v>
      </c>
    </row>
    <row r="7262" spans="1:5" ht="40.5" x14ac:dyDescent="0.25">
      <c r="A7262" s="508">
        <v>101202</v>
      </c>
      <c r="B7262" s="509" t="s">
        <v>2142</v>
      </c>
      <c r="C7262" s="508" t="s">
        <v>5</v>
      </c>
      <c r="D7262" s="510">
        <v>43.16</v>
      </c>
      <c r="E7262" s="461" t="s">
        <v>174</v>
      </c>
    </row>
    <row r="7263" spans="1:5" ht="40.5" x14ac:dyDescent="0.25">
      <c r="A7263" s="508">
        <v>101203</v>
      </c>
      <c r="B7263" s="509" t="s">
        <v>2143</v>
      </c>
      <c r="C7263" s="508" t="s">
        <v>5</v>
      </c>
      <c r="D7263" s="510">
        <v>42.57</v>
      </c>
      <c r="E7263" s="461" t="s">
        <v>174</v>
      </c>
    </row>
    <row r="7264" spans="1:5" ht="40.5" x14ac:dyDescent="0.25">
      <c r="A7264" s="508">
        <v>101204</v>
      </c>
      <c r="B7264" s="509" t="s">
        <v>2144</v>
      </c>
      <c r="C7264" s="508" t="s">
        <v>5</v>
      </c>
      <c r="D7264" s="510">
        <v>42.8</v>
      </c>
      <c r="E7264" s="461" t="s">
        <v>174</v>
      </c>
    </row>
    <row r="7265" spans="1:5" ht="27" x14ac:dyDescent="0.25">
      <c r="A7265" s="508">
        <v>101205</v>
      </c>
      <c r="B7265" s="509" t="s">
        <v>2145</v>
      </c>
      <c r="C7265" s="508" t="s">
        <v>5</v>
      </c>
      <c r="D7265" s="510">
        <v>43.16</v>
      </c>
      <c r="E7265" s="461" t="s">
        <v>174</v>
      </c>
    </row>
    <row r="7266" spans="1:5" ht="40.5" x14ac:dyDescent="0.25">
      <c r="A7266" s="508">
        <v>102362</v>
      </c>
      <c r="B7266" s="509" t="s">
        <v>8301</v>
      </c>
      <c r="C7266" s="508" t="s">
        <v>150</v>
      </c>
      <c r="D7266" s="510">
        <v>171.29</v>
      </c>
      <c r="E7266" s="461" t="s">
        <v>174</v>
      </c>
    </row>
    <row r="7267" spans="1:5" ht="40.5" x14ac:dyDescent="0.25">
      <c r="A7267" s="508">
        <v>102363</v>
      </c>
      <c r="B7267" s="509" t="s">
        <v>8302</v>
      </c>
      <c r="C7267" s="508" t="s">
        <v>150</v>
      </c>
      <c r="D7267" s="510">
        <v>183.35</v>
      </c>
      <c r="E7267" s="461" t="s">
        <v>174</v>
      </c>
    </row>
    <row r="7268" spans="1:5" ht="40.5" x14ac:dyDescent="0.25">
      <c r="A7268" s="508">
        <v>102364</v>
      </c>
      <c r="B7268" s="509" t="s">
        <v>8303</v>
      </c>
      <c r="C7268" s="508" t="s">
        <v>150</v>
      </c>
      <c r="D7268" s="510">
        <v>205.48</v>
      </c>
      <c r="E7268" s="461" t="s">
        <v>174</v>
      </c>
    </row>
    <row r="7269" spans="1:5" ht="15" x14ac:dyDescent="0.25">
      <c r="A7269" s="508">
        <v>98509</v>
      </c>
      <c r="B7269" s="509" t="s">
        <v>1469</v>
      </c>
      <c r="C7269" s="508" t="s">
        <v>107</v>
      </c>
      <c r="D7269" s="510">
        <v>52.07</v>
      </c>
      <c r="E7269" s="461" t="s">
        <v>174</v>
      </c>
    </row>
    <row r="7270" spans="1:5" ht="15" x14ac:dyDescent="0.25">
      <c r="A7270" s="508">
        <v>98510</v>
      </c>
      <c r="B7270" s="509" t="s">
        <v>1470</v>
      </c>
      <c r="C7270" s="508" t="s">
        <v>107</v>
      </c>
      <c r="D7270" s="510">
        <v>80.5</v>
      </c>
      <c r="E7270" s="461" t="s">
        <v>174</v>
      </c>
    </row>
    <row r="7271" spans="1:5" ht="27" x14ac:dyDescent="0.25">
      <c r="A7271" s="508">
        <v>98511</v>
      </c>
      <c r="B7271" s="509" t="s">
        <v>1471</v>
      </c>
      <c r="C7271" s="508" t="s">
        <v>107</v>
      </c>
      <c r="D7271" s="510">
        <v>151.62</v>
      </c>
      <c r="E7271" s="461" t="s">
        <v>174</v>
      </c>
    </row>
    <row r="7272" spans="1:5" ht="15" x14ac:dyDescent="0.25">
      <c r="A7272" s="508">
        <v>98516</v>
      </c>
      <c r="B7272" s="509" t="s">
        <v>1472</v>
      </c>
      <c r="C7272" s="508" t="s">
        <v>107</v>
      </c>
      <c r="D7272" s="510">
        <v>396.49</v>
      </c>
      <c r="E7272" s="461" t="s">
        <v>174</v>
      </c>
    </row>
    <row r="7273" spans="1:5" ht="15" x14ac:dyDescent="0.25">
      <c r="A7273" s="508">
        <v>98519</v>
      </c>
      <c r="B7273" s="509" t="s">
        <v>1473</v>
      </c>
      <c r="C7273" s="508" t="s">
        <v>150</v>
      </c>
      <c r="D7273" s="508">
        <v>2.29</v>
      </c>
      <c r="E7273" s="461" t="s">
        <v>174</v>
      </c>
    </row>
    <row r="7274" spans="1:5" ht="15" x14ac:dyDescent="0.25">
      <c r="A7274" s="508">
        <v>98520</v>
      </c>
      <c r="B7274" s="509" t="s">
        <v>1474</v>
      </c>
      <c r="C7274" s="508" t="s">
        <v>150</v>
      </c>
      <c r="D7274" s="508">
        <v>5.13</v>
      </c>
      <c r="E7274" s="461" t="s">
        <v>174</v>
      </c>
    </row>
    <row r="7275" spans="1:5" ht="15" x14ac:dyDescent="0.25">
      <c r="A7275" s="508">
        <v>98521</v>
      </c>
      <c r="B7275" s="509" t="s">
        <v>1475</v>
      </c>
      <c r="C7275" s="508" t="s">
        <v>150</v>
      </c>
      <c r="D7275" s="508">
        <v>0.44</v>
      </c>
      <c r="E7275" s="461" t="s">
        <v>174</v>
      </c>
    </row>
    <row r="7276" spans="1:5" ht="27" x14ac:dyDescent="0.25">
      <c r="A7276" s="508">
        <v>98522</v>
      </c>
      <c r="B7276" s="509" t="s">
        <v>1476</v>
      </c>
      <c r="C7276" s="508" t="s">
        <v>5</v>
      </c>
      <c r="D7276" s="508">
        <v>169.06</v>
      </c>
      <c r="E7276" s="461" t="s">
        <v>174</v>
      </c>
    </row>
    <row r="7277" spans="1:5" ht="15" x14ac:dyDescent="0.25">
      <c r="A7277" s="508">
        <v>98524</v>
      </c>
      <c r="B7277" s="509" t="s">
        <v>8304</v>
      </c>
      <c r="C7277" s="508" t="s">
        <v>150</v>
      </c>
      <c r="D7277" s="508">
        <v>4.9800000000000004</v>
      </c>
      <c r="E7277" s="461" t="s">
        <v>174</v>
      </c>
    </row>
    <row r="7278" spans="1:5" ht="15" x14ac:dyDescent="0.25">
      <c r="A7278" s="508">
        <v>98503</v>
      </c>
      <c r="B7278" s="509" t="s">
        <v>1477</v>
      </c>
      <c r="C7278" s="508" t="s">
        <v>150</v>
      </c>
      <c r="D7278" s="508">
        <v>24.28</v>
      </c>
      <c r="E7278" s="461" t="s">
        <v>174</v>
      </c>
    </row>
    <row r="7279" spans="1:5" ht="15" x14ac:dyDescent="0.25">
      <c r="A7279" s="508">
        <v>98504</v>
      </c>
      <c r="B7279" s="509" t="s">
        <v>8305</v>
      </c>
      <c r="C7279" s="508" t="s">
        <v>150</v>
      </c>
      <c r="D7279" s="508">
        <v>17.940000000000001</v>
      </c>
      <c r="E7279" s="461" t="s">
        <v>174</v>
      </c>
    </row>
    <row r="7280" spans="1:5" ht="15" x14ac:dyDescent="0.25">
      <c r="A7280" s="508">
        <v>98505</v>
      </c>
      <c r="B7280" s="509" t="s">
        <v>1478</v>
      </c>
      <c r="C7280" s="508" t="s">
        <v>150</v>
      </c>
      <c r="D7280" s="508">
        <v>75.13</v>
      </c>
      <c r="E7280" s="461" t="s">
        <v>174</v>
      </c>
    </row>
    <row r="7281" spans="1:5" ht="15" x14ac:dyDescent="0.25">
      <c r="A7281" s="508">
        <v>103946</v>
      </c>
      <c r="B7281" s="509" t="s">
        <v>8306</v>
      </c>
      <c r="C7281" s="508" t="s">
        <v>150</v>
      </c>
      <c r="D7281" s="508">
        <v>23.23</v>
      </c>
      <c r="E7281" s="461" t="s">
        <v>174</v>
      </c>
    </row>
    <row r="7282" spans="1:5" ht="40.5" x14ac:dyDescent="0.25">
      <c r="A7282" s="508">
        <v>105000</v>
      </c>
      <c r="B7282" s="509" t="s">
        <v>13060</v>
      </c>
      <c r="C7282" s="508" t="s">
        <v>5</v>
      </c>
      <c r="D7282" s="508">
        <v>1441.98</v>
      </c>
      <c r="E7282" s="461" t="s">
        <v>174</v>
      </c>
    </row>
    <row r="7283" spans="1:5" ht="40.5" x14ac:dyDescent="0.25">
      <c r="A7283" s="508">
        <v>105001</v>
      </c>
      <c r="B7283" s="509" t="s">
        <v>13061</v>
      </c>
      <c r="C7283" s="508" t="s">
        <v>5</v>
      </c>
      <c r="D7283" s="508">
        <v>1475.46</v>
      </c>
      <c r="E7283" s="461" t="s">
        <v>174</v>
      </c>
    </row>
    <row r="7284" spans="1:5" ht="27" x14ac:dyDescent="0.25">
      <c r="A7284" s="508">
        <v>105002</v>
      </c>
      <c r="B7284" s="509" t="s">
        <v>8307</v>
      </c>
      <c r="C7284" s="508" t="s">
        <v>107</v>
      </c>
      <c r="D7284" s="508">
        <v>777.98</v>
      </c>
      <c r="E7284" s="461" t="s">
        <v>174</v>
      </c>
    </row>
    <row r="7285" spans="1:5" ht="27" x14ac:dyDescent="0.25">
      <c r="A7285" s="508">
        <v>105003</v>
      </c>
      <c r="B7285" s="509" t="s">
        <v>8308</v>
      </c>
      <c r="C7285" s="508" t="s">
        <v>107</v>
      </c>
      <c r="D7285" s="508">
        <v>1245.8800000000001</v>
      </c>
      <c r="E7285" s="461" t="s">
        <v>174</v>
      </c>
    </row>
    <row r="7286" spans="1:5" ht="27" x14ac:dyDescent="0.25">
      <c r="A7286" s="508">
        <v>105004</v>
      </c>
      <c r="B7286" s="509" t="s">
        <v>8309</v>
      </c>
      <c r="C7286" s="508" t="s">
        <v>150</v>
      </c>
      <c r="D7286" s="508">
        <v>133.38999999999999</v>
      </c>
      <c r="E7286" s="461" t="s">
        <v>174</v>
      </c>
    </row>
    <row r="7287" spans="1:5" ht="27" x14ac:dyDescent="0.25">
      <c r="A7287" s="508">
        <v>105005</v>
      </c>
      <c r="B7287" s="509" t="s">
        <v>8310</v>
      </c>
      <c r="C7287" s="508" t="s">
        <v>150</v>
      </c>
      <c r="D7287" s="508">
        <v>220.02</v>
      </c>
      <c r="E7287" s="461" t="s">
        <v>174</v>
      </c>
    </row>
    <row r="7288" spans="1:5" ht="40.5" x14ac:dyDescent="0.25">
      <c r="A7288" s="508">
        <v>103185</v>
      </c>
      <c r="B7288" s="509" t="s">
        <v>4248</v>
      </c>
      <c r="C7288" s="508" t="s">
        <v>107</v>
      </c>
      <c r="D7288" s="508">
        <v>6168.59</v>
      </c>
      <c r="E7288" s="461" t="s">
        <v>174</v>
      </c>
    </row>
    <row r="7289" spans="1:5" ht="40.5" x14ac:dyDescent="0.25">
      <c r="A7289" s="508">
        <v>103186</v>
      </c>
      <c r="B7289" s="509" t="s">
        <v>4249</v>
      </c>
      <c r="C7289" s="508" t="s">
        <v>107</v>
      </c>
      <c r="D7289" s="508">
        <v>6493</v>
      </c>
      <c r="E7289" s="461" t="s">
        <v>174</v>
      </c>
    </row>
    <row r="7290" spans="1:5" ht="40.5" x14ac:dyDescent="0.25">
      <c r="A7290" s="508">
        <v>103187</v>
      </c>
      <c r="B7290" s="509" t="s">
        <v>4250</v>
      </c>
      <c r="C7290" s="508" t="s">
        <v>107</v>
      </c>
      <c r="D7290" s="508">
        <v>4887.33</v>
      </c>
      <c r="E7290" s="461" t="s">
        <v>174</v>
      </c>
    </row>
    <row r="7291" spans="1:5" ht="40.5" x14ac:dyDescent="0.25">
      <c r="A7291" s="508">
        <v>103188</v>
      </c>
      <c r="B7291" s="509" t="s">
        <v>4251</v>
      </c>
      <c r="C7291" s="508" t="s">
        <v>107</v>
      </c>
      <c r="D7291" s="508">
        <v>5250.88</v>
      </c>
      <c r="E7291" s="461" t="s">
        <v>174</v>
      </c>
    </row>
    <row r="7292" spans="1:5" ht="40.5" x14ac:dyDescent="0.25">
      <c r="A7292" s="508">
        <v>103189</v>
      </c>
      <c r="B7292" s="509" t="s">
        <v>4252</v>
      </c>
      <c r="C7292" s="508" t="s">
        <v>107</v>
      </c>
      <c r="D7292" s="508">
        <v>2633.59</v>
      </c>
      <c r="E7292" s="461" t="s">
        <v>174</v>
      </c>
    </row>
    <row r="7293" spans="1:5" ht="40.5" x14ac:dyDescent="0.25">
      <c r="A7293" s="508">
        <v>103190</v>
      </c>
      <c r="B7293" s="509" t="s">
        <v>4253</v>
      </c>
      <c r="C7293" s="508" t="s">
        <v>107</v>
      </c>
      <c r="D7293" s="508">
        <v>4106.63</v>
      </c>
      <c r="E7293" s="461" t="s">
        <v>174</v>
      </c>
    </row>
    <row r="7294" spans="1:5" ht="40.5" x14ac:dyDescent="0.25">
      <c r="A7294" s="508">
        <v>103191</v>
      </c>
      <c r="B7294" s="509" t="s">
        <v>4254</v>
      </c>
      <c r="C7294" s="508" t="s">
        <v>107</v>
      </c>
      <c r="D7294" s="508">
        <v>2401.88</v>
      </c>
      <c r="E7294" s="461" t="s">
        <v>174</v>
      </c>
    </row>
    <row r="7295" spans="1:5" ht="40.5" x14ac:dyDescent="0.25">
      <c r="A7295" s="508">
        <v>103192</v>
      </c>
      <c r="B7295" s="509" t="s">
        <v>4255</v>
      </c>
      <c r="C7295" s="508" t="s">
        <v>107</v>
      </c>
      <c r="D7295" s="508">
        <v>2555.52</v>
      </c>
      <c r="E7295" s="461" t="s">
        <v>174</v>
      </c>
    </row>
    <row r="7296" spans="1:5" ht="40.5" x14ac:dyDescent="0.25">
      <c r="A7296" s="508">
        <v>103193</v>
      </c>
      <c r="B7296" s="509" t="s">
        <v>4256</v>
      </c>
      <c r="C7296" s="508" t="s">
        <v>107</v>
      </c>
      <c r="D7296" s="508">
        <v>1974.25</v>
      </c>
      <c r="E7296" s="461" t="s">
        <v>174</v>
      </c>
    </row>
    <row r="7297" spans="1:5" ht="40.5" x14ac:dyDescent="0.25">
      <c r="A7297" s="508">
        <v>103194</v>
      </c>
      <c r="B7297" s="509" t="s">
        <v>4257</v>
      </c>
      <c r="C7297" s="508" t="s">
        <v>107</v>
      </c>
      <c r="D7297" s="508">
        <v>2832.22</v>
      </c>
      <c r="E7297" s="461" t="s">
        <v>174</v>
      </c>
    </row>
    <row r="7298" spans="1:5" ht="40.5" x14ac:dyDescent="0.25">
      <c r="A7298" s="508">
        <v>103195</v>
      </c>
      <c r="B7298" s="509" t="s">
        <v>4258</v>
      </c>
      <c r="C7298" s="508" t="s">
        <v>107</v>
      </c>
      <c r="D7298" s="508">
        <v>2214.87</v>
      </c>
      <c r="E7298" s="461" t="s">
        <v>174</v>
      </c>
    </row>
    <row r="7299" spans="1:5" ht="40.5" x14ac:dyDescent="0.25">
      <c r="A7299" s="508">
        <v>103205</v>
      </c>
      <c r="B7299" s="509" t="s">
        <v>4259</v>
      </c>
      <c r="C7299" s="508" t="s">
        <v>107</v>
      </c>
      <c r="D7299" s="508">
        <v>4119.72</v>
      </c>
      <c r="E7299" s="461" t="s">
        <v>174</v>
      </c>
    </row>
    <row r="7300" spans="1:5" ht="40.5" x14ac:dyDescent="0.25">
      <c r="A7300" s="508">
        <v>103206</v>
      </c>
      <c r="B7300" s="509" t="s">
        <v>4260</v>
      </c>
      <c r="C7300" s="508" t="s">
        <v>107</v>
      </c>
      <c r="D7300" s="508">
        <v>2414.96</v>
      </c>
      <c r="E7300" s="461" t="s">
        <v>174</v>
      </c>
    </row>
    <row r="7301" spans="1:5" ht="40.5" x14ac:dyDescent="0.25">
      <c r="A7301" s="508">
        <v>103207</v>
      </c>
      <c r="B7301" s="509" t="s">
        <v>4261</v>
      </c>
      <c r="C7301" s="508" t="s">
        <v>107</v>
      </c>
      <c r="D7301" s="508">
        <v>2568.6</v>
      </c>
      <c r="E7301" s="461" t="s">
        <v>174</v>
      </c>
    </row>
    <row r="7302" spans="1:5" ht="40.5" x14ac:dyDescent="0.25">
      <c r="A7302" s="508">
        <v>103208</v>
      </c>
      <c r="B7302" s="509" t="s">
        <v>4262</v>
      </c>
      <c r="C7302" s="508" t="s">
        <v>107</v>
      </c>
      <c r="D7302" s="508">
        <v>1987.33</v>
      </c>
      <c r="E7302" s="461" t="s">
        <v>174</v>
      </c>
    </row>
    <row r="7303" spans="1:5" ht="40.5" x14ac:dyDescent="0.25">
      <c r="A7303" s="508">
        <v>103209</v>
      </c>
      <c r="B7303" s="509" t="s">
        <v>4263</v>
      </c>
      <c r="C7303" s="508" t="s">
        <v>107</v>
      </c>
      <c r="D7303" s="508">
        <v>2845.3</v>
      </c>
      <c r="E7303" s="461" t="s">
        <v>174</v>
      </c>
    </row>
    <row r="7304" spans="1:5" ht="40.5" x14ac:dyDescent="0.25">
      <c r="A7304" s="508">
        <v>103210</v>
      </c>
      <c r="B7304" s="509" t="s">
        <v>4264</v>
      </c>
      <c r="C7304" s="508" t="s">
        <v>107</v>
      </c>
      <c r="D7304" s="508">
        <v>2329.85</v>
      </c>
      <c r="E7304" s="461" t="s">
        <v>174</v>
      </c>
    </row>
    <row r="7305" spans="1:5" ht="27" x14ac:dyDescent="0.25">
      <c r="A7305" s="508">
        <v>103304</v>
      </c>
      <c r="B7305" s="509" t="s">
        <v>4450</v>
      </c>
      <c r="C7305" s="508" t="s">
        <v>107</v>
      </c>
      <c r="D7305" s="508">
        <v>1253.1099999999999</v>
      </c>
      <c r="E7305" s="461" t="s">
        <v>174</v>
      </c>
    </row>
    <row r="7306" spans="1:5" ht="40.5" x14ac:dyDescent="0.25">
      <c r="A7306" s="508">
        <v>103307</v>
      </c>
      <c r="B7306" s="509" t="s">
        <v>4451</v>
      </c>
      <c r="C7306" s="508" t="s">
        <v>107</v>
      </c>
      <c r="D7306" s="508">
        <v>1351.62</v>
      </c>
      <c r="E7306" s="461" t="s">
        <v>174</v>
      </c>
    </row>
    <row r="7307" spans="1:5" ht="27" x14ac:dyDescent="0.25">
      <c r="A7307" s="508">
        <v>103310</v>
      </c>
      <c r="B7307" s="509" t="s">
        <v>4452</v>
      </c>
      <c r="C7307" s="508" t="s">
        <v>107</v>
      </c>
      <c r="D7307" s="508">
        <v>1295.32</v>
      </c>
      <c r="E7307" s="461" t="s">
        <v>174</v>
      </c>
    </row>
    <row r="7308" spans="1:5" ht="27" x14ac:dyDescent="0.25">
      <c r="A7308" s="508">
        <v>103314</v>
      </c>
      <c r="B7308" s="509" t="s">
        <v>4453</v>
      </c>
      <c r="C7308" s="508" t="s">
        <v>150</v>
      </c>
      <c r="D7308" s="508">
        <v>289.41000000000003</v>
      </c>
      <c r="E7308" s="461" t="s">
        <v>174</v>
      </c>
    </row>
    <row r="7309" spans="1:5" ht="27" x14ac:dyDescent="0.25">
      <c r="A7309" s="508">
        <v>103315</v>
      </c>
      <c r="B7309" s="509" t="s">
        <v>4454</v>
      </c>
      <c r="C7309" s="508" t="s">
        <v>150</v>
      </c>
      <c r="D7309" s="508">
        <v>280.14999999999998</v>
      </c>
      <c r="E7309" s="461" t="s">
        <v>174</v>
      </c>
    </row>
    <row r="7310" spans="1:5" ht="27" x14ac:dyDescent="0.25">
      <c r="A7310" s="508">
        <v>103769</v>
      </c>
      <c r="B7310" s="509" t="s">
        <v>8311</v>
      </c>
      <c r="C7310" s="508" t="s">
        <v>107</v>
      </c>
      <c r="D7310" s="508">
        <v>3163.5</v>
      </c>
      <c r="E7310" s="461" t="s">
        <v>174</v>
      </c>
    </row>
    <row r="7311" spans="1:5" ht="27" x14ac:dyDescent="0.25">
      <c r="A7311" s="508">
        <v>98525</v>
      </c>
      <c r="B7311" s="509" t="s">
        <v>8312</v>
      </c>
      <c r="C7311" s="508" t="s">
        <v>150</v>
      </c>
      <c r="D7311" s="508">
        <v>0.63</v>
      </c>
      <c r="E7311" s="461" t="s">
        <v>174</v>
      </c>
    </row>
    <row r="7312" spans="1:5" ht="27" x14ac:dyDescent="0.25">
      <c r="A7312" s="508">
        <v>98526</v>
      </c>
      <c r="B7312" s="509" t="s">
        <v>8313</v>
      </c>
      <c r="C7312" s="508" t="s">
        <v>107</v>
      </c>
      <c r="D7312" s="508">
        <v>131.13999999999999</v>
      </c>
      <c r="E7312" s="461" t="s">
        <v>174</v>
      </c>
    </row>
    <row r="7313" spans="1:5" ht="27" x14ac:dyDescent="0.25">
      <c r="A7313" s="508">
        <v>98527</v>
      </c>
      <c r="B7313" s="509" t="s">
        <v>8314</v>
      </c>
      <c r="C7313" s="508" t="s">
        <v>107</v>
      </c>
      <c r="D7313" s="508">
        <v>217.64</v>
      </c>
      <c r="E7313" s="461" t="s">
        <v>174</v>
      </c>
    </row>
    <row r="7314" spans="1:5" ht="27" x14ac:dyDescent="0.25">
      <c r="A7314" s="508">
        <v>98528</v>
      </c>
      <c r="B7314" s="509" t="s">
        <v>8315</v>
      </c>
      <c r="C7314" s="508" t="s">
        <v>107</v>
      </c>
      <c r="D7314" s="508">
        <v>286.85000000000002</v>
      </c>
      <c r="E7314" s="461" t="s">
        <v>174</v>
      </c>
    </row>
    <row r="7315" spans="1:5" ht="27" x14ac:dyDescent="0.25">
      <c r="A7315" s="508">
        <v>98529</v>
      </c>
      <c r="B7315" s="509" t="s">
        <v>8316</v>
      </c>
      <c r="C7315" s="508" t="s">
        <v>107</v>
      </c>
      <c r="D7315" s="508">
        <v>82.61</v>
      </c>
      <c r="E7315" s="461" t="s">
        <v>174</v>
      </c>
    </row>
    <row r="7316" spans="1:5" ht="27" x14ac:dyDescent="0.25">
      <c r="A7316" s="508">
        <v>98530</v>
      </c>
      <c r="B7316" s="509" t="s">
        <v>8317</v>
      </c>
      <c r="C7316" s="508" t="s">
        <v>107</v>
      </c>
      <c r="D7316" s="508">
        <v>162.13999999999999</v>
      </c>
      <c r="E7316" s="461" t="s">
        <v>174</v>
      </c>
    </row>
    <row r="7317" spans="1:5" ht="27" x14ac:dyDescent="0.25">
      <c r="A7317" s="508">
        <v>98531</v>
      </c>
      <c r="B7317" s="509" t="s">
        <v>8318</v>
      </c>
      <c r="C7317" s="508" t="s">
        <v>107</v>
      </c>
      <c r="D7317" s="508">
        <v>396.08</v>
      </c>
      <c r="E7317" s="461" t="s">
        <v>174</v>
      </c>
    </row>
    <row r="7318" spans="1:5" ht="15" x14ac:dyDescent="0.25">
      <c r="A7318" s="508">
        <v>98532</v>
      </c>
      <c r="B7318" s="509" t="s">
        <v>8319</v>
      </c>
      <c r="C7318" s="508" t="s">
        <v>107</v>
      </c>
      <c r="D7318" s="508">
        <v>31.82</v>
      </c>
      <c r="E7318" s="461" t="s">
        <v>174</v>
      </c>
    </row>
    <row r="7319" spans="1:5" ht="27" x14ac:dyDescent="0.25">
      <c r="A7319" s="508">
        <v>98533</v>
      </c>
      <c r="B7319" s="509" t="s">
        <v>8320</v>
      </c>
      <c r="C7319" s="508" t="s">
        <v>107</v>
      </c>
      <c r="D7319" s="508">
        <v>121.99</v>
      </c>
      <c r="E7319" s="461" t="s">
        <v>174</v>
      </c>
    </row>
    <row r="7320" spans="1:5" ht="27" x14ac:dyDescent="0.25">
      <c r="A7320" s="508">
        <v>98534</v>
      </c>
      <c r="B7320" s="509" t="s">
        <v>8321</v>
      </c>
      <c r="C7320" s="508" t="s">
        <v>107</v>
      </c>
      <c r="D7320" s="508">
        <v>336.95</v>
      </c>
      <c r="E7320" s="461" t="s">
        <v>174</v>
      </c>
    </row>
    <row r="7321" spans="1:5" ht="15" x14ac:dyDescent="0.25">
      <c r="A7321" s="508">
        <v>98535</v>
      </c>
      <c r="B7321" s="509" t="s">
        <v>8322</v>
      </c>
      <c r="C7321" s="508" t="s">
        <v>107</v>
      </c>
      <c r="D7321" s="508">
        <v>711.11</v>
      </c>
      <c r="E7321" s="461" t="s">
        <v>174</v>
      </c>
    </row>
    <row r="7322" spans="1:5" ht="15" x14ac:dyDescent="0.25">
      <c r="A7322" s="508">
        <v>88238</v>
      </c>
      <c r="B7322" s="509" t="s">
        <v>928</v>
      </c>
      <c r="C7322" s="508" t="s">
        <v>160</v>
      </c>
      <c r="D7322" s="508">
        <v>24.21</v>
      </c>
      <c r="E7322" s="461" t="s">
        <v>4455</v>
      </c>
    </row>
    <row r="7323" spans="1:5" ht="15" x14ac:dyDescent="0.25">
      <c r="A7323" s="508">
        <v>88239</v>
      </c>
      <c r="B7323" s="509" t="s">
        <v>187</v>
      </c>
      <c r="C7323" s="508" t="s">
        <v>160</v>
      </c>
      <c r="D7323" s="508">
        <v>24.12</v>
      </c>
      <c r="E7323" s="461" t="s">
        <v>4455</v>
      </c>
    </row>
    <row r="7324" spans="1:5" ht="15" x14ac:dyDescent="0.25">
      <c r="A7324" s="508">
        <v>88240</v>
      </c>
      <c r="B7324" s="509" t="s">
        <v>929</v>
      </c>
      <c r="C7324" s="508" t="s">
        <v>160</v>
      </c>
      <c r="D7324" s="508">
        <v>23.02</v>
      </c>
      <c r="E7324" s="461" t="s">
        <v>4455</v>
      </c>
    </row>
    <row r="7325" spans="1:5" ht="15" x14ac:dyDescent="0.25">
      <c r="A7325" s="508">
        <v>88241</v>
      </c>
      <c r="B7325" s="509" t="s">
        <v>930</v>
      </c>
      <c r="C7325" s="508" t="s">
        <v>160</v>
      </c>
      <c r="D7325" s="508">
        <v>24.15</v>
      </c>
      <c r="E7325" s="461" t="s">
        <v>4455</v>
      </c>
    </row>
    <row r="7326" spans="1:5" ht="15" x14ac:dyDescent="0.25">
      <c r="A7326" s="508">
        <v>88242</v>
      </c>
      <c r="B7326" s="509" t="s">
        <v>931</v>
      </c>
      <c r="C7326" s="508" t="s">
        <v>160</v>
      </c>
      <c r="D7326" s="508">
        <v>24.26</v>
      </c>
      <c r="E7326" s="461" t="s">
        <v>4455</v>
      </c>
    </row>
    <row r="7327" spans="1:5" ht="15" x14ac:dyDescent="0.25">
      <c r="A7327" s="508">
        <v>88243</v>
      </c>
      <c r="B7327" s="509" t="s">
        <v>932</v>
      </c>
      <c r="C7327" s="508" t="s">
        <v>160</v>
      </c>
      <c r="D7327" s="508">
        <v>24.03</v>
      </c>
      <c r="E7327" s="461" t="s">
        <v>4455</v>
      </c>
    </row>
    <row r="7328" spans="1:5" ht="15" x14ac:dyDescent="0.25">
      <c r="A7328" s="508">
        <v>88245</v>
      </c>
      <c r="B7328" s="509" t="s">
        <v>933</v>
      </c>
      <c r="C7328" s="508" t="s">
        <v>160</v>
      </c>
      <c r="D7328" s="508">
        <v>30.85</v>
      </c>
      <c r="E7328" s="461" t="s">
        <v>4455</v>
      </c>
    </row>
    <row r="7329" spans="1:5" ht="15" x14ac:dyDescent="0.25">
      <c r="A7329" s="508">
        <v>88246</v>
      </c>
      <c r="B7329" s="509" t="s">
        <v>934</v>
      </c>
      <c r="C7329" s="508" t="s">
        <v>160</v>
      </c>
      <c r="D7329" s="508">
        <v>25.19</v>
      </c>
      <c r="E7329" s="461" t="s">
        <v>4455</v>
      </c>
    </row>
    <row r="7330" spans="1:5" ht="15" x14ac:dyDescent="0.25">
      <c r="A7330" s="508">
        <v>88247</v>
      </c>
      <c r="B7330" s="509" t="s">
        <v>110</v>
      </c>
      <c r="C7330" s="508" t="s">
        <v>160</v>
      </c>
      <c r="D7330" s="508">
        <v>24.65</v>
      </c>
      <c r="E7330" s="461" t="s">
        <v>4455</v>
      </c>
    </row>
    <row r="7331" spans="1:5" ht="15" x14ac:dyDescent="0.25">
      <c r="A7331" s="508">
        <v>88248</v>
      </c>
      <c r="B7331" s="509" t="s">
        <v>104</v>
      </c>
      <c r="C7331" s="508" t="s">
        <v>160</v>
      </c>
      <c r="D7331" s="508">
        <v>23.63</v>
      </c>
      <c r="E7331" s="461" t="s">
        <v>4455</v>
      </c>
    </row>
    <row r="7332" spans="1:5" ht="15" x14ac:dyDescent="0.25">
      <c r="A7332" s="508">
        <v>88249</v>
      </c>
      <c r="B7332" s="509" t="s">
        <v>935</v>
      </c>
      <c r="C7332" s="508" t="s">
        <v>160</v>
      </c>
      <c r="D7332" s="508">
        <v>34.020000000000003</v>
      </c>
      <c r="E7332" s="461" t="s">
        <v>4455</v>
      </c>
    </row>
    <row r="7333" spans="1:5" ht="15" x14ac:dyDescent="0.25">
      <c r="A7333" s="508">
        <v>88250</v>
      </c>
      <c r="B7333" s="509" t="s">
        <v>936</v>
      </c>
      <c r="C7333" s="508" t="s">
        <v>160</v>
      </c>
      <c r="D7333" s="508">
        <v>23.02</v>
      </c>
      <c r="E7333" s="461" t="s">
        <v>4455</v>
      </c>
    </row>
    <row r="7334" spans="1:5" ht="15" x14ac:dyDescent="0.25">
      <c r="A7334" s="508">
        <v>88251</v>
      </c>
      <c r="B7334" s="509" t="s">
        <v>164</v>
      </c>
      <c r="C7334" s="508" t="s">
        <v>160</v>
      </c>
      <c r="D7334" s="508">
        <v>24.21</v>
      </c>
      <c r="E7334" s="461" t="s">
        <v>4455</v>
      </c>
    </row>
    <row r="7335" spans="1:5" ht="15" x14ac:dyDescent="0.25">
      <c r="A7335" s="508">
        <v>88252</v>
      </c>
      <c r="B7335" s="509" t="s">
        <v>937</v>
      </c>
      <c r="C7335" s="508" t="s">
        <v>160</v>
      </c>
      <c r="D7335" s="508">
        <v>23.24</v>
      </c>
      <c r="E7335" s="461" t="s">
        <v>4455</v>
      </c>
    </row>
    <row r="7336" spans="1:5" ht="15" x14ac:dyDescent="0.25">
      <c r="A7336" s="508">
        <v>88253</v>
      </c>
      <c r="B7336" s="509" t="s">
        <v>938</v>
      </c>
      <c r="C7336" s="508" t="s">
        <v>160</v>
      </c>
      <c r="D7336" s="508">
        <v>12.06</v>
      </c>
      <c r="E7336" s="461" t="s">
        <v>4455</v>
      </c>
    </row>
    <row r="7337" spans="1:5" ht="15" x14ac:dyDescent="0.25">
      <c r="A7337" s="508">
        <v>88255</v>
      </c>
      <c r="B7337" s="509" t="s">
        <v>939</v>
      </c>
      <c r="C7337" s="508" t="s">
        <v>160</v>
      </c>
      <c r="D7337" s="508">
        <v>34.049999999999997</v>
      </c>
      <c r="E7337" s="461" t="s">
        <v>4455</v>
      </c>
    </row>
    <row r="7338" spans="1:5" ht="15" x14ac:dyDescent="0.25">
      <c r="A7338" s="508">
        <v>88256</v>
      </c>
      <c r="B7338" s="509" t="s">
        <v>172</v>
      </c>
      <c r="C7338" s="508" t="s">
        <v>160</v>
      </c>
      <c r="D7338" s="508">
        <v>30.94</v>
      </c>
      <c r="E7338" s="461" t="s">
        <v>4455</v>
      </c>
    </row>
    <row r="7339" spans="1:5" ht="15" x14ac:dyDescent="0.25">
      <c r="A7339" s="508">
        <v>88257</v>
      </c>
      <c r="B7339" s="509" t="s">
        <v>940</v>
      </c>
      <c r="C7339" s="508" t="s">
        <v>160</v>
      </c>
      <c r="D7339" s="508">
        <v>23.37</v>
      </c>
      <c r="E7339" s="461" t="s">
        <v>4455</v>
      </c>
    </row>
    <row r="7340" spans="1:5" ht="15" x14ac:dyDescent="0.25">
      <c r="A7340" s="508">
        <v>88260</v>
      </c>
      <c r="B7340" s="509" t="s">
        <v>175</v>
      </c>
      <c r="C7340" s="508" t="s">
        <v>160</v>
      </c>
      <c r="D7340" s="508">
        <v>28.77</v>
      </c>
      <c r="E7340" s="461" t="s">
        <v>4455</v>
      </c>
    </row>
    <row r="7341" spans="1:5" ht="15" x14ac:dyDescent="0.25">
      <c r="A7341" s="508">
        <v>88261</v>
      </c>
      <c r="B7341" s="509" t="s">
        <v>188</v>
      </c>
      <c r="C7341" s="508" t="s">
        <v>160</v>
      </c>
      <c r="D7341" s="508">
        <v>29.49</v>
      </c>
      <c r="E7341" s="461" t="s">
        <v>4455</v>
      </c>
    </row>
    <row r="7342" spans="1:5" ht="15" x14ac:dyDescent="0.25">
      <c r="A7342" s="508">
        <v>88262</v>
      </c>
      <c r="B7342" s="509" t="s">
        <v>132</v>
      </c>
      <c r="C7342" s="508" t="s">
        <v>160</v>
      </c>
      <c r="D7342" s="508">
        <v>30.71</v>
      </c>
      <c r="E7342" s="461" t="s">
        <v>4455</v>
      </c>
    </row>
    <row r="7343" spans="1:5" ht="15" x14ac:dyDescent="0.25">
      <c r="A7343" s="508">
        <v>88263</v>
      </c>
      <c r="B7343" s="509" t="s">
        <v>941</v>
      </c>
      <c r="C7343" s="508" t="s">
        <v>160</v>
      </c>
      <c r="D7343" s="508">
        <v>25.49</v>
      </c>
      <c r="E7343" s="461" t="s">
        <v>4455</v>
      </c>
    </row>
    <row r="7344" spans="1:5" ht="15" x14ac:dyDescent="0.25">
      <c r="A7344" s="508">
        <v>88264</v>
      </c>
      <c r="B7344" s="509" t="s">
        <v>111</v>
      </c>
      <c r="C7344" s="508" t="s">
        <v>160</v>
      </c>
      <c r="D7344" s="508">
        <v>31.49</v>
      </c>
      <c r="E7344" s="461" t="s">
        <v>4455</v>
      </c>
    </row>
    <row r="7345" spans="1:5" ht="15" x14ac:dyDescent="0.25">
      <c r="A7345" s="508">
        <v>88266</v>
      </c>
      <c r="B7345" s="509" t="s">
        <v>942</v>
      </c>
      <c r="C7345" s="508" t="s">
        <v>160</v>
      </c>
      <c r="D7345" s="508">
        <v>38.049999999999997</v>
      </c>
      <c r="E7345" s="461" t="s">
        <v>4455</v>
      </c>
    </row>
    <row r="7346" spans="1:5" ht="15" x14ac:dyDescent="0.25">
      <c r="A7346" s="508">
        <v>88267</v>
      </c>
      <c r="B7346" s="509" t="s">
        <v>105</v>
      </c>
      <c r="C7346" s="508" t="s">
        <v>160</v>
      </c>
      <c r="D7346" s="508">
        <v>30.33</v>
      </c>
      <c r="E7346" s="461" t="s">
        <v>4455</v>
      </c>
    </row>
    <row r="7347" spans="1:5" ht="15" x14ac:dyDescent="0.25">
      <c r="A7347" s="508">
        <v>88269</v>
      </c>
      <c r="B7347" s="509" t="s">
        <v>943</v>
      </c>
      <c r="C7347" s="508" t="s">
        <v>160</v>
      </c>
      <c r="D7347" s="508">
        <v>30.85</v>
      </c>
      <c r="E7347" s="461" t="s">
        <v>4455</v>
      </c>
    </row>
    <row r="7348" spans="1:5" ht="15" x14ac:dyDescent="0.25">
      <c r="A7348" s="508">
        <v>88270</v>
      </c>
      <c r="B7348" s="509" t="s">
        <v>944</v>
      </c>
      <c r="C7348" s="508" t="s">
        <v>160</v>
      </c>
      <c r="D7348" s="508">
        <v>31.1</v>
      </c>
      <c r="E7348" s="461" t="s">
        <v>4455</v>
      </c>
    </row>
    <row r="7349" spans="1:5" ht="15" x14ac:dyDescent="0.25">
      <c r="A7349" s="508">
        <v>88272</v>
      </c>
      <c r="B7349" s="509" t="s">
        <v>945</v>
      </c>
      <c r="C7349" s="508" t="s">
        <v>160</v>
      </c>
      <c r="D7349" s="508">
        <v>31.4</v>
      </c>
      <c r="E7349" s="461" t="s">
        <v>4455</v>
      </c>
    </row>
    <row r="7350" spans="1:5" ht="15" x14ac:dyDescent="0.25">
      <c r="A7350" s="508">
        <v>88273</v>
      </c>
      <c r="B7350" s="509" t="s">
        <v>946</v>
      </c>
      <c r="C7350" s="508" t="s">
        <v>160</v>
      </c>
      <c r="D7350" s="508">
        <v>29.15</v>
      </c>
      <c r="E7350" s="461" t="s">
        <v>4455</v>
      </c>
    </row>
    <row r="7351" spans="1:5" ht="15" x14ac:dyDescent="0.25">
      <c r="A7351" s="508">
        <v>88274</v>
      </c>
      <c r="B7351" s="509" t="s">
        <v>159</v>
      </c>
      <c r="C7351" s="508" t="s">
        <v>160</v>
      </c>
      <c r="D7351" s="508">
        <v>30.94</v>
      </c>
      <c r="E7351" s="461" t="s">
        <v>4455</v>
      </c>
    </row>
    <row r="7352" spans="1:5" ht="15" x14ac:dyDescent="0.25">
      <c r="A7352" s="508">
        <v>88275</v>
      </c>
      <c r="B7352" s="509" t="s">
        <v>947</v>
      </c>
      <c r="C7352" s="508" t="s">
        <v>160</v>
      </c>
      <c r="D7352" s="508">
        <v>35.479999999999997</v>
      </c>
      <c r="E7352" s="461" t="s">
        <v>4455</v>
      </c>
    </row>
    <row r="7353" spans="1:5" ht="15" x14ac:dyDescent="0.25">
      <c r="A7353" s="508">
        <v>88277</v>
      </c>
      <c r="B7353" s="509" t="s">
        <v>112</v>
      </c>
      <c r="C7353" s="508" t="s">
        <v>160</v>
      </c>
      <c r="D7353" s="508">
        <v>24.87</v>
      </c>
      <c r="E7353" s="461" t="s">
        <v>4455</v>
      </c>
    </row>
    <row r="7354" spans="1:5" ht="15" x14ac:dyDescent="0.25">
      <c r="A7354" s="508">
        <v>88278</v>
      </c>
      <c r="B7354" s="509" t="s">
        <v>948</v>
      </c>
      <c r="C7354" s="508" t="s">
        <v>160</v>
      </c>
      <c r="D7354" s="508">
        <v>25.36</v>
      </c>
      <c r="E7354" s="461" t="s">
        <v>4455</v>
      </c>
    </row>
    <row r="7355" spans="1:5" ht="15" x14ac:dyDescent="0.25">
      <c r="A7355" s="508">
        <v>88279</v>
      </c>
      <c r="B7355" s="509" t="s">
        <v>949</v>
      </c>
      <c r="C7355" s="508" t="s">
        <v>160</v>
      </c>
      <c r="D7355" s="508">
        <v>27.36</v>
      </c>
      <c r="E7355" s="461" t="s">
        <v>4455</v>
      </c>
    </row>
    <row r="7356" spans="1:5" ht="15" x14ac:dyDescent="0.25">
      <c r="A7356" s="508">
        <v>88281</v>
      </c>
      <c r="B7356" s="509" t="s">
        <v>950</v>
      </c>
      <c r="C7356" s="508" t="s">
        <v>160</v>
      </c>
      <c r="D7356" s="508">
        <v>29.5</v>
      </c>
      <c r="E7356" s="461" t="s">
        <v>4455</v>
      </c>
    </row>
    <row r="7357" spans="1:5" ht="15" x14ac:dyDescent="0.25">
      <c r="A7357" s="508">
        <v>88282</v>
      </c>
      <c r="B7357" s="509" t="s">
        <v>951</v>
      </c>
      <c r="C7357" s="508" t="s">
        <v>160</v>
      </c>
      <c r="D7357" s="508">
        <v>28.68</v>
      </c>
      <c r="E7357" s="461" t="s">
        <v>4455</v>
      </c>
    </row>
    <row r="7358" spans="1:5" ht="15" x14ac:dyDescent="0.25">
      <c r="A7358" s="508">
        <v>88283</v>
      </c>
      <c r="B7358" s="509" t="s">
        <v>952</v>
      </c>
      <c r="C7358" s="508" t="s">
        <v>160</v>
      </c>
      <c r="D7358" s="508">
        <v>33.82</v>
      </c>
      <c r="E7358" s="461" t="s">
        <v>4455</v>
      </c>
    </row>
    <row r="7359" spans="1:5" ht="15" x14ac:dyDescent="0.25">
      <c r="A7359" s="508">
        <v>88284</v>
      </c>
      <c r="B7359" s="509" t="s">
        <v>8323</v>
      </c>
      <c r="C7359" s="508" t="s">
        <v>160</v>
      </c>
      <c r="D7359" s="508">
        <v>26.46</v>
      </c>
      <c r="E7359" s="461" t="s">
        <v>4455</v>
      </c>
    </row>
    <row r="7360" spans="1:5" ht="15" x14ac:dyDescent="0.25">
      <c r="A7360" s="508">
        <v>88286</v>
      </c>
      <c r="B7360" s="509" t="s">
        <v>953</v>
      </c>
      <c r="C7360" s="508" t="s">
        <v>160</v>
      </c>
      <c r="D7360" s="508">
        <v>30.17</v>
      </c>
      <c r="E7360" s="461" t="s">
        <v>4455</v>
      </c>
    </row>
    <row r="7361" spans="1:5" ht="15" x14ac:dyDescent="0.25">
      <c r="A7361" s="508">
        <v>88288</v>
      </c>
      <c r="B7361" s="509" t="s">
        <v>954</v>
      </c>
      <c r="C7361" s="508" t="s">
        <v>160</v>
      </c>
      <c r="D7361" s="508">
        <v>17.57</v>
      </c>
      <c r="E7361" s="461" t="s">
        <v>4455</v>
      </c>
    </row>
    <row r="7362" spans="1:5" ht="15" x14ac:dyDescent="0.25">
      <c r="A7362" s="508">
        <v>88291</v>
      </c>
      <c r="B7362" s="509" t="s">
        <v>955</v>
      </c>
      <c r="C7362" s="508" t="s">
        <v>160</v>
      </c>
      <c r="D7362" s="508">
        <v>25.72</v>
      </c>
      <c r="E7362" s="461" t="s">
        <v>4455</v>
      </c>
    </row>
    <row r="7363" spans="1:5" ht="15" x14ac:dyDescent="0.25">
      <c r="A7363" s="508">
        <v>88292</v>
      </c>
      <c r="B7363" s="509" t="s">
        <v>956</v>
      </c>
      <c r="C7363" s="508" t="s">
        <v>160</v>
      </c>
      <c r="D7363" s="508">
        <v>22.67</v>
      </c>
      <c r="E7363" s="461" t="s">
        <v>4455</v>
      </c>
    </row>
    <row r="7364" spans="1:5" ht="15" x14ac:dyDescent="0.25">
      <c r="A7364" s="508">
        <v>88293</v>
      </c>
      <c r="B7364" s="509" t="s">
        <v>957</v>
      </c>
      <c r="C7364" s="508" t="s">
        <v>160</v>
      </c>
      <c r="D7364" s="508">
        <v>25.72</v>
      </c>
      <c r="E7364" s="461" t="s">
        <v>4455</v>
      </c>
    </row>
    <row r="7365" spans="1:5" ht="15" x14ac:dyDescent="0.25">
      <c r="A7365" s="508">
        <v>88294</v>
      </c>
      <c r="B7365" s="509" t="s">
        <v>958</v>
      </c>
      <c r="C7365" s="508" t="s">
        <v>160</v>
      </c>
      <c r="D7365" s="508">
        <v>29.66</v>
      </c>
      <c r="E7365" s="461" t="s">
        <v>4455</v>
      </c>
    </row>
    <row r="7366" spans="1:5" ht="15" x14ac:dyDescent="0.25">
      <c r="A7366" s="508">
        <v>88295</v>
      </c>
      <c r="B7366" s="509" t="s">
        <v>959</v>
      </c>
      <c r="C7366" s="508" t="s">
        <v>160</v>
      </c>
      <c r="D7366" s="508">
        <v>25.88</v>
      </c>
      <c r="E7366" s="461" t="s">
        <v>4455</v>
      </c>
    </row>
    <row r="7367" spans="1:5" ht="15" x14ac:dyDescent="0.25">
      <c r="A7367" s="508">
        <v>88296</v>
      </c>
      <c r="B7367" s="509" t="s">
        <v>960</v>
      </c>
      <c r="C7367" s="508" t="s">
        <v>160</v>
      </c>
      <c r="D7367" s="508">
        <v>25.88</v>
      </c>
      <c r="E7367" s="461" t="s">
        <v>4455</v>
      </c>
    </row>
    <row r="7368" spans="1:5" ht="15" x14ac:dyDescent="0.25">
      <c r="A7368" s="508">
        <v>88297</v>
      </c>
      <c r="B7368" s="509" t="s">
        <v>961</v>
      </c>
      <c r="C7368" s="508" t="s">
        <v>160</v>
      </c>
      <c r="D7368" s="508">
        <v>25.78</v>
      </c>
      <c r="E7368" s="461" t="s">
        <v>4455</v>
      </c>
    </row>
    <row r="7369" spans="1:5" ht="15" x14ac:dyDescent="0.25">
      <c r="A7369" s="508">
        <v>88298</v>
      </c>
      <c r="B7369" s="509" t="s">
        <v>962</v>
      </c>
      <c r="C7369" s="508" t="s">
        <v>160</v>
      </c>
      <c r="D7369" s="508">
        <v>25.72</v>
      </c>
      <c r="E7369" s="461" t="s">
        <v>4455</v>
      </c>
    </row>
    <row r="7370" spans="1:5" ht="15" x14ac:dyDescent="0.25">
      <c r="A7370" s="508">
        <v>88299</v>
      </c>
      <c r="B7370" s="509" t="s">
        <v>963</v>
      </c>
      <c r="C7370" s="508" t="s">
        <v>160</v>
      </c>
      <c r="D7370" s="508">
        <v>39.909999999999997</v>
      </c>
      <c r="E7370" s="461" t="s">
        <v>4455</v>
      </c>
    </row>
    <row r="7371" spans="1:5" ht="15" x14ac:dyDescent="0.25">
      <c r="A7371" s="508">
        <v>88300</v>
      </c>
      <c r="B7371" s="509" t="s">
        <v>964</v>
      </c>
      <c r="C7371" s="508" t="s">
        <v>160</v>
      </c>
      <c r="D7371" s="508">
        <v>39.909999999999997</v>
      </c>
      <c r="E7371" s="461" t="s">
        <v>4455</v>
      </c>
    </row>
    <row r="7372" spans="1:5" ht="15" x14ac:dyDescent="0.25">
      <c r="A7372" s="508">
        <v>88301</v>
      </c>
      <c r="B7372" s="509" t="s">
        <v>965</v>
      </c>
      <c r="C7372" s="508" t="s">
        <v>160</v>
      </c>
      <c r="D7372" s="508">
        <v>25.72</v>
      </c>
      <c r="E7372" s="461" t="s">
        <v>4455</v>
      </c>
    </row>
    <row r="7373" spans="1:5" ht="15" x14ac:dyDescent="0.25">
      <c r="A7373" s="508">
        <v>88302</v>
      </c>
      <c r="B7373" s="509" t="s">
        <v>966</v>
      </c>
      <c r="C7373" s="508" t="s">
        <v>160</v>
      </c>
      <c r="D7373" s="508">
        <v>25.72</v>
      </c>
      <c r="E7373" s="461" t="s">
        <v>4455</v>
      </c>
    </row>
    <row r="7374" spans="1:5" ht="15" x14ac:dyDescent="0.25">
      <c r="A7374" s="508">
        <v>88303</v>
      </c>
      <c r="B7374" s="509" t="s">
        <v>967</v>
      </c>
      <c r="C7374" s="508" t="s">
        <v>160</v>
      </c>
      <c r="D7374" s="508">
        <v>25.72</v>
      </c>
      <c r="E7374" s="461" t="s">
        <v>4455</v>
      </c>
    </row>
    <row r="7375" spans="1:5" ht="15" x14ac:dyDescent="0.25">
      <c r="A7375" s="508">
        <v>88304</v>
      </c>
      <c r="B7375" s="509" t="s">
        <v>968</v>
      </c>
      <c r="C7375" s="508" t="s">
        <v>160</v>
      </c>
      <c r="D7375" s="508">
        <v>39.909999999999997</v>
      </c>
      <c r="E7375" s="461" t="s">
        <v>4455</v>
      </c>
    </row>
    <row r="7376" spans="1:5" ht="15" x14ac:dyDescent="0.25">
      <c r="A7376" s="508">
        <v>88306</v>
      </c>
      <c r="B7376" s="509" t="s">
        <v>969</v>
      </c>
      <c r="C7376" s="508" t="s">
        <v>160</v>
      </c>
      <c r="D7376" s="508">
        <v>23.66</v>
      </c>
      <c r="E7376" s="461" t="s">
        <v>4455</v>
      </c>
    </row>
    <row r="7377" spans="1:5" ht="15" x14ac:dyDescent="0.25">
      <c r="A7377" s="508">
        <v>88307</v>
      </c>
      <c r="B7377" s="509" t="s">
        <v>970</v>
      </c>
      <c r="C7377" s="508" t="s">
        <v>160</v>
      </c>
      <c r="D7377" s="508">
        <v>27.23</v>
      </c>
      <c r="E7377" s="461" t="s">
        <v>4455</v>
      </c>
    </row>
    <row r="7378" spans="1:5" ht="15" x14ac:dyDescent="0.25">
      <c r="A7378" s="508">
        <v>88308</v>
      </c>
      <c r="B7378" s="509" t="s">
        <v>971</v>
      </c>
      <c r="C7378" s="508" t="s">
        <v>160</v>
      </c>
      <c r="D7378" s="508">
        <v>30.94</v>
      </c>
      <c r="E7378" s="461" t="s">
        <v>4455</v>
      </c>
    </row>
    <row r="7379" spans="1:5" ht="15" x14ac:dyDescent="0.25">
      <c r="A7379" s="508">
        <v>88309</v>
      </c>
      <c r="B7379" s="509" t="s">
        <v>103</v>
      </c>
      <c r="C7379" s="508" t="s">
        <v>160</v>
      </c>
      <c r="D7379" s="508">
        <v>31.1</v>
      </c>
      <c r="E7379" s="461" t="s">
        <v>4455</v>
      </c>
    </row>
    <row r="7380" spans="1:5" ht="15" x14ac:dyDescent="0.25">
      <c r="A7380" s="508">
        <v>88310</v>
      </c>
      <c r="B7380" s="509" t="s">
        <v>173</v>
      </c>
      <c r="C7380" s="508" t="s">
        <v>160</v>
      </c>
      <c r="D7380" s="508">
        <v>32.58</v>
      </c>
      <c r="E7380" s="461" t="s">
        <v>4455</v>
      </c>
    </row>
    <row r="7381" spans="1:5" ht="15" x14ac:dyDescent="0.25">
      <c r="A7381" s="508">
        <v>88311</v>
      </c>
      <c r="B7381" s="509" t="s">
        <v>972</v>
      </c>
      <c r="C7381" s="508" t="s">
        <v>160</v>
      </c>
      <c r="D7381" s="508">
        <v>31.91</v>
      </c>
      <c r="E7381" s="461" t="s">
        <v>4455</v>
      </c>
    </row>
    <row r="7382" spans="1:5" ht="15" x14ac:dyDescent="0.25">
      <c r="A7382" s="508">
        <v>88312</v>
      </c>
      <c r="B7382" s="509" t="s">
        <v>973</v>
      </c>
      <c r="C7382" s="508" t="s">
        <v>160</v>
      </c>
      <c r="D7382" s="508">
        <v>32.58</v>
      </c>
      <c r="E7382" s="461" t="s">
        <v>4455</v>
      </c>
    </row>
    <row r="7383" spans="1:5" ht="15" x14ac:dyDescent="0.25">
      <c r="A7383" s="508">
        <v>88313</v>
      </c>
      <c r="B7383" s="509" t="s">
        <v>974</v>
      </c>
      <c r="C7383" s="508" t="s">
        <v>160</v>
      </c>
      <c r="D7383" s="508">
        <v>25.98</v>
      </c>
      <c r="E7383" s="461" t="s">
        <v>4455</v>
      </c>
    </row>
    <row r="7384" spans="1:5" ht="15" x14ac:dyDescent="0.25">
      <c r="A7384" s="508">
        <v>88314</v>
      </c>
      <c r="B7384" s="509" t="s">
        <v>975</v>
      </c>
      <c r="C7384" s="508" t="s">
        <v>160</v>
      </c>
      <c r="D7384" s="508">
        <v>27.43</v>
      </c>
      <c r="E7384" s="461" t="s">
        <v>4455</v>
      </c>
    </row>
    <row r="7385" spans="1:5" ht="15" x14ac:dyDescent="0.25">
      <c r="A7385" s="508">
        <v>88315</v>
      </c>
      <c r="B7385" s="509" t="s">
        <v>162</v>
      </c>
      <c r="C7385" s="508" t="s">
        <v>160</v>
      </c>
      <c r="D7385" s="508">
        <v>30.85</v>
      </c>
      <c r="E7385" s="461" t="s">
        <v>4455</v>
      </c>
    </row>
    <row r="7386" spans="1:5" ht="15" x14ac:dyDescent="0.25">
      <c r="A7386" s="508">
        <v>88316</v>
      </c>
      <c r="B7386" s="509" t="s">
        <v>102</v>
      </c>
      <c r="C7386" s="508" t="s">
        <v>160</v>
      </c>
      <c r="D7386" s="508">
        <v>23.4</v>
      </c>
      <c r="E7386" s="461" t="s">
        <v>4455</v>
      </c>
    </row>
    <row r="7387" spans="1:5" ht="15" x14ac:dyDescent="0.25">
      <c r="A7387" s="508">
        <v>88317</v>
      </c>
      <c r="B7387" s="509" t="s">
        <v>976</v>
      </c>
      <c r="C7387" s="508" t="s">
        <v>160</v>
      </c>
      <c r="D7387" s="510">
        <v>31.81</v>
      </c>
      <c r="E7387" s="461" t="s">
        <v>4455</v>
      </c>
    </row>
    <row r="7388" spans="1:5" ht="15" x14ac:dyDescent="0.25">
      <c r="A7388" s="508">
        <v>88318</v>
      </c>
      <c r="B7388" s="509" t="s">
        <v>977</v>
      </c>
      <c r="C7388" s="508" t="s">
        <v>160</v>
      </c>
      <c r="D7388" s="508">
        <v>35.67</v>
      </c>
      <c r="E7388" s="461" t="s">
        <v>4455</v>
      </c>
    </row>
    <row r="7389" spans="1:5" ht="15" x14ac:dyDescent="0.25">
      <c r="A7389" s="508">
        <v>88321</v>
      </c>
      <c r="B7389" s="509" t="s">
        <v>978</v>
      </c>
      <c r="C7389" s="508" t="s">
        <v>160</v>
      </c>
      <c r="D7389" s="510">
        <v>51.71</v>
      </c>
      <c r="E7389" s="461" t="s">
        <v>4455</v>
      </c>
    </row>
    <row r="7390" spans="1:5" ht="15" x14ac:dyDescent="0.25">
      <c r="A7390" s="508">
        <v>88322</v>
      </c>
      <c r="B7390" s="509" t="s">
        <v>979</v>
      </c>
      <c r="C7390" s="508" t="s">
        <v>160</v>
      </c>
      <c r="D7390" s="508">
        <v>34.11</v>
      </c>
      <c r="E7390" s="461" t="s">
        <v>4455</v>
      </c>
    </row>
    <row r="7391" spans="1:5" ht="15" x14ac:dyDescent="0.25">
      <c r="A7391" s="508">
        <v>88323</v>
      </c>
      <c r="B7391" s="509" t="s">
        <v>165</v>
      </c>
      <c r="C7391" s="508" t="s">
        <v>160</v>
      </c>
      <c r="D7391" s="508">
        <v>30.44</v>
      </c>
      <c r="E7391" s="461" t="s">
        <v>4455</v>
      </c>
    </row>
    <row r="7392" spans="1:5" ht="15" x14ac:dyDescent="0.25">
      <c r="A7392" s="508">
        <v>88324</v>
      </c>
      <c r="B7392" s="509" t="s">
        <v>980</v>
      </c>
      <c r="C7392" s="508" t="s">
        <v>160</v>
      </c>
      <c r="D7392" s="508">
        <v>25.78</v>
      </c>
      <c r="E7392" s="461" t="s">
        <v>4455</v>
      </c>
    </row>
    <row r="7393" spans="1:5" ht="15" x14ac:dyDescent="0.25">
      <c r="A7393" s="508">
        <v>88325</v>
      </c>
      <c r="B7393" s="509" t="s">
        <v>981</v>
      </c>
      <c r="C7393" s="508" t="s">
        <v>160</v>
      </c>
      <c r="D7393" s="508">
        <v>28.69</v>
      </c>
      <c r="E7393" s="461" t="s">
        <v>4455</v>
      </c>
    </row>
    <row r="7394" spans="1:5" ht="15" x14ac:dyDescent="0.25">
      <c r="A7394" s="508">
        <v>88377</v>
      </c>
      <c r="B7394" s="509" t="s">
        <v>982</v>
      </c>
      <c r="C7394" s="508" t="s">
        <v>160</v>
      </c>
      <c r="D7394" s="508">
        <v>25.72</v>
      </c>
      <c r="E7394" s="461" t="s">
        <v>4455</v>
      </c>
    </row>
    <row r="7395" spans="1:5" ht="15" x14ac:dyDescent="0.25">
      <c r="A7395" s="508">
        <v>88441</v>
      </c>
      <c r="B7395" s="509" t="s">
        <v>983</v>
      </c>
      <c r="C7395" s="508" t="s">
        <v>160</v>
      </c>
      <c r="D7395" s="508">
        <v>27.63</v>
      </c>
      <c r="E7395" s="461" t="s">
        <v>4455</v>
      </c>
    </row>
    <row r="7396" spans="1:5" ht="15" x14ac:dyDescent="0.25">
      <c r="A7396" s="508">
        <v>90766</v>
      </c>
      <c r="B7396" s="509" t="s">
        <v>125</v>
      </c>
      <c r="C7396" s="508" t="s">
        <v>160</v>
      </c>
      <c r="D7396" s="508">
        <v>35.83</v>
      </c>
      <c r="E7396" s="461" t="s">
        <v>4455</v>
      </c>
    </row>
    <row r="7397" spans="1:5" ht="15" x14ac:dyDescent="0.25">
      <c r="A7397" s="508">
        <v>90767</v>
      </c>
      <c r="B7397" s="509" t="s">
        <v>984</v>
      </c>
      <c r="C7397" s="508" t="s">
        <v>160</v>
      </c>
      <c r="D7397" s="508">
        <v>34.79</v>
      </c>
      <c r="E7397" s="461" t="s">
        <v>4455</v>
      </c>
    </row>
    <row r="7398" spans="1:5" ht="15" x14ac:dyDescent="0.25">
      <c r="A7398" s="508">
        <v>90768</v>
      </c>
      <c r="B7398" s="509" t="s">
        <v>985</v>
      </c>
      <c r="C7398" s="508" t="s">
        <v>160</v>
      </c>
      <c r="D7398" s="508">
        <v>117.32</v>
      </c>
      <c r="E7398" s="461" t="s">
        <v>4455</v>
      </c>
    </row>
    <row r="7399" spans="1:5" ht="15" x14ac:dyDescent="0.25">
      <c r="A7399" s="508">
        <v>90769</v>
      </c>
      <c r="B7399" s="509" t="s">
        <v>986</v>
      </c>
      <c r="C7399" s="508" t="s">
        <v>160</v>
      </c>
      <c r="D7399" s="508">
        <v>122.46</v>
      </c>
      <c r="E7399" s="461" t="s">
        <v>4455</v>
      </c>
    </row>
    <row r="7400" spans="1:5" ht="15" x14ac:dyDescent="0.25">
      <c r="A7400" s="508">
        <v>90770</v>
      </c>
      <c r="B7400" s="509" t="s">
        <v>987</v>
      </c>
      <c r="C7400" s="508" t="s">
        <v>160</v>
      </c>
      <c r="D7400" s="508">
        <v>128.22</v>
      </c>
      <c r="E7400" s="461" t="s">
        <v>4455</v>
      </c>
    </row>
    <row r="7401" spans="1:5" ht="15" x14ac:dyDescent="0.25">
      <c r="A7401" s="508">
        <v>90772</v>
      </c>
      <c r="B7401" s="509" t="s">
        <v>988</v>
      </c>
      <c r="C7401" s="508" t="s">
        <v>160</v>
      </c>
      <c r="D7401" s="508">
        <v>27.18</v>
      </c>
      <c r="E7401" s="461" t="s">
        <v>4455</v>
      </c>
    </row>
    <row r="7402" spans="1:5" ht="15" x14ac:dyDescent="0.25">
      <c r="A7402" s="508">
        <v>90775</v>
      </c>
      <c r="B7402" s="509" t="s">
        <v>989</v>
      </c>
      <c r="C7402" s="508" t="s">
        <v>160</v>
      </c>
      <c r="D7402" s="508">
        <v>18.22</v>
      </c>
      <c r="E7402" s="461" t="s">
        <v>4455</v>
      </c>
    </row>
    <row r="7403" spans="1:5" ht="15" x14ac:dyDescent="0.25">
      <c r="A7403" s="508">
        <v>90776</v>
      </c>
      <c r="B7403" s="509" t="s">
        <v>990</v>
      </c>
      <c r="C7403" s="508" t="s">
        <v>160</v>
      </c>
      <c r="D7403" s="508">
        <v>25.09</v>
      </c>
      <c r="E7403" s="461" t="s">
        <v>4455</v>
      </c>
    </row>
    <row r="7404" spans="1:5" ht="15" x14ac:dyDescent="0.25">
      <c r="A7404" s="508">
        <v>90777</v>
      </c>
      <c r="B7404" s="509" t="s">
        <v>991</v>
      </c>
      <c r="C7404" s="508" t="s">
        <v>160</v>
      </c>
      <c r="D7404" s="508">
        <v>118.7</v>
      </c>
      <c r="E7404" s="461" t="s">
        <v>4455</v>
      </c>
    </row>
    <row r="7405" spans="1:5" ht="15" x14ac:dyDescent="0.25">
      <c r="A7405" s="508">
        <v>90778</v>
      </c>
      <c r="B7405" s="509" t="s">
        <v>992</v>
      </c>
      <c r="C7405" s="508" t="s">
        <v>160</v>
      </c>
      <c r="D7405" s="508">
        <v>140.07</v>
      </c>
      <c r="E7405" s="461" t="s">
        <v>4455</v>
      </c>
    </row>
    <row r="7406" spans="1:5" ht="15" x14ac:dyDescent="0.25">
      <c r="A7406" s="508">
        <v>90779</v>
      </c>
      <c r="B7406" s="509" t="s">
        <v>993</v>
      </c>
      <c r="C7406" s="508" t="s">
        <v>160</v>
      </c>
      <c r="D7406" s="508">
        <v>196.24</v>
      </c>
      <c r="E7406" s="461" t="s">
        <v>4455</v>
      </c>
    </row>
    <row r="7407" spans="1:5" ht="15" x14ac:dyDescent="0.25">
      <c r="A7407" s="508">
        <v>90780</v>
      </c>
      <c r="B7407" s="509" t="s">
        <v>126</v>
      </c>
      <c r="C7407" s="508" t="s">
        <v>160</v>
      </c>
      <c r="D7407" s="508">
        <v>50.99</v>
      </c>
      <c r="E7407" s="461" t="s">
        <v>4455</v>
      </c>
    </row>
    <row r="7408" spans="1:5" ht="15" x14ac:dyDescent="0.25">
      <c r="A7408" s="508">
        <v>90781</v>
      </c>
      <c r="B7408" s="509" t="s">
        <v>994</v>
      </c>
      <c r="C7408" s="508" t="s">
        <v>160</v>
      </c>
      <c r="D7408" s="508">
        <v>24.19</v>
      </c>
      <c r="E7408" s="461" t="s">
        <v>4455</v>
      </c>
    </row>
    <row r="7409" spans="1:5" ht="15" x14ac:dyDescent="0.25">
      <c r="A7409" s="508">
        <v>93558</v>
      </c>
      <c r="B7409" s="509" t="s">
        <v>995</v>
      </c>
      <c r="C7409" s="508" t="s">
        <v>194</v>
      </c>
      <c r="D7409" s="508">
        <v>5178.24</v>
      </c>
      <c r="E7409" s="461" t="s">
        <v>4455</v>
      </c>
    </row>
    <row r="7410" spans="1:5" ht="15" x14ac:dyDescent="0.25">
      <c r="A7410" s="508">
        <v>93561</v>
      </c>
      <c r="B7410" s="509" t="s">
        <v>989</v>
      </c>
      <c r="C7410" s="508" t="s">
        <v>194</v>
      </c>
      <c r="D7410" s="508">
        <v>3263.02</v>
      </c>
      <c r="E7410" s="461" t="s">
        <v>4455</v>
      </c>
    </row>
    <row r="7411" spans="1:5" ht="15" x14ac:dyDescent="0.25">
      <c r="A7411" s="508">
        <v>93563</v>
      </c>
      <c r="B7411" s="509" t="s">
        <v>125</v>
      </c>
      <c r="C7411" s="508" t="s">
        <v>194</v>
      </c>
      <c r="D7411" s="508">
        <v>6392.36</v>
      </c>
      <c r="E7411" s="461" t="s">
        <v>4455</v>
      </c>
    </row>
    <row r="7412" spans="1:5" ht="15" x14ac:dyDescent="0.25">
      <c r="A7412" s="508">
        <v>93564</v>
      </c>
      <c r="B7412" s="509" t="s">
        <v>984</v>
      </c>
      <c r="C7412" s="508" t="s">
        <v>194</v>
      </c>
      <c r="D7412" s="508">
        <v>6184.26</v>
      </c>
      <c r="E7412" s="461" t="s">
        <v>4455</v>
      </c>
    </row>
    <row r="7413" spans="1:5" ht="15" x14ac:dyDescent="0.25">
      <c r="A7413" s="508">
        <v>93565</v>
      </c>
      <c r="B7413" s="509" t="s">
        <v>991</v>
      </c>
      <c r="C7413" s="508" t="s">
        <v>194</v>
      </c>
      <c r="D7413" s="508">
        <v>21067.77</v>
      </c>
      <c r="E7413" s="461" t="s">
        <v>4455</v>
      </c>
    </row>
    <row r="7414" spans="1:5" ht="15" x14ac:dyDescent="0.25">
      <c r="A7414" s="508">
        <v>93566</v>
      </c>
      <c r="B7414" s="509" t="s">
        <v>988</v>
      </c>
      <c r="C7414" s="508" t="s">
        <v>194</v>
      </c>
      <c r="D7414" s="508">
        <v>4859</v>
      </c>
      <c r="E7414" s="461" t="s">
        <v>4455</v>
      </c>
    </row>
    <row r="7415" spans="1:5" ht="15" x14ac:dyDescent="0.25">
      <c r="A7415" s="508">
        <v>93567</v>
      </c>
      <c r="B7415" s="509" t="s">
        <v>992</v>
      </c>
      <c r="C7415" s="508" t="s">
        <v>194</v>
      </c>
      <c r="D7415" s="508">
        <v>24859.48</v>
      </c>
      <c r="E7415" s="461" t="s">
        <v>4455</v>
      </c>
    </row>
    <row r="7416" spans="1:5" ht="15" x14ac:dyDescent="0.25">
      <c r="A7416" s="508">
        <v>93568</v>
      </c>
      <c r="B7416" s="509" t="s">
        <v>993</v>
      </c>
      <c r="C7416" s="508" t="s">
        <v>194</v>
      </c>
      <c r="D7416" s="508">
        <v>34812.769999999997</v>
      </c>
      <c r="E7416" s="461" t="s">
        <v>4455</v>
      </c>
    </row>
    <row r="7417" spans="1:5" ht="15" x14ac:dyDescent="0.25">
      <c r="A7417" s="508">
        <v>93569</v>
      </c>
      <c r="B7417" s="509" t="s">
        <v>996</v>
      </c>
      <c r="C7417" s="508" t="s">
        <v>194</v>
      </c>
      <c r="D7417" s="508">
        <v>20863.12</v>
      </c>
      <c r="E7417" s="461" t="s">
        <v>4455</v>
      </c>
    </row>
    <row r="7418" spans="1:5" ht="15" x14ac:dyDescent="0.25">
      <c r="A7418" s="508">
        <v>93570</v>
      </c>
      <c r="B7418" s="509" t="s">
        <v>997</v>
      </c>
      <c r="C7418" s="508" t="s">
        <v>194</v>
      </c>
      <c r="D7418" s="508">
        <v>21772.98</v>
      </c>
      <c r="E7418" s="461" t="s">
        <v>4455</v>
      </c>
    </row>
    <row r="7419" spans="1:5" ht="15" x14ac:dyDescent="0.25">
      <c r="A7419" s="508">
        <v>93571</v>
      </c>
      <c r="B7419" s="509" t="s">
        <v>998</v>
      </c>
      <c r="C7419" s="508" t="s">
        <v>194</v>
      </c>
      <c r="D7419" s="508">
        <v>22799.48</v>
      </c>
      <c r="E7419" s="461" t="s">
        <v>4455</v>
      </c>
    </row>
    <row r="7420" spans="1:5" ht="15" x14ac:dyDescent="0.25">
      <c r="A7420" s="508">
        <v>93572</v>
      </c>
      <c r="B7420" s="509" t="s">
        <v>185</v>
      </c>
      <c r="C7420" s="508" t="s">
        <v>194</v>
      </c>
      <c r="D7420" s="508">
        <v>4472.0200000000004</v>
      </c>
      <c r="E7420" s="461" t="s">
        <v>4455</v>
      </c>
    </row>
    <row r="7421" spans="1:5" ht="15" x14ac:dyDescent="0.25">
      <c r="A7421" s="508">
        <v>94295</v>
      </c>
      <c r="B7421" s="509" t="s">
        <v>126</v>
      </c>
      <c r="C7421" s="508" t="s">
        <v>194</v>
      </c>
      <c r="D7421" s="508">
        <v>9056.2199999999993</v>
      </c>
      <c r="E7421" s="461" t="s">
        <v>4455</v>
      </c>
    </row>
    <row r="7422" spans="1:5" ht="15" x14ac:dyDescent="0.25">
      <c r="A7422" s="508">
        <v>94296</v>
      </c>
      <c r="B7422" s="509" t="s">
        <v>994</v>
      </c>
      <c r="C7422" s="508" t="s">
        <v>194</v>
      </c>
      <c r="D7422" s="508">
        <v>4319.6899999999996</v>
      </c>
      <c r="E7422" s="461" t="s">
        <v>4455</v>
      </c>
    </row>
    <row r="7423" spans="1:5" ht="15" x14ac:dyDescent="0.25">
      <c r="A7423" s="508">
        <v>95308</v>
      </c>
      <c r="B7423" s="509" t="s">
        <v>999</v>
      </c>
      <c r="C7423" s="508" t="s">
        <v>160</v>
      </c>
      <c r="D7423" s="508">
        <v>0.2</v>
      </c>
      <c r="E7423" s="461" t="s">
        <v>3867</v>
      </c>
    </row>
    <row r="7424" spans="1:5" ht="15" x14ac:dyDescent="0.25">
      <c r="A7424" s="508">
        <v>95309</v>
      </c>
      <c r="B7424" s="509" t="s">
        <v>1000</v>
      </c>
      <c r="C7424" s="508" t="s">
        <v>160</v>
      </c>
      <c r="D7424" s="508">
        <v>0.25</v>
      </c>
      <c r="E7424" s="461" t="s">
        <v>3867</v>
      </c>
    </row>
    <row r="7425" spans="1:5" ht="27" x14ac:dyDescent="0.25">
      <c r="A7425" s="508">
        <v>95310</v>
      </c>
      <c r="B7425" s="509" t="s">
        <v>1001</v>
      </c>
      <c r="C7425" s="508" t="s">
        <v>160</v>
      </c>
      <c r="D7425" s="508">
        <v>0.2</v>
      </c>
      <c r="E7425" s="461" t="s">
        <v>3867</v>
      </c>
    </row>
    <row r="7426" spans="1:5" ht="27" x14ac:dyDescent="0.25">
      <c r="A7426" s="508">
        <v>95311</v>
      </c>
      <c r="B7426" s="509" t="s">
        <v>1002</v>
      </c>
      <c r="C7426" s="508" t="s">
        <v>160</v>
      </c>
      <c r="D7426" s="508">
        <v>0.2</v>
      </c>
      <c r="E7426" s="461" t="s">
        <v>3867</v>
      </c>
    </row>
    <row r="7427" spans="1:5" ht="15" x14ac:dyDescent="0.25">
      <c r="A7427" s="508">
        <v>95312</v>
      </c>
      <c r="B7427" s="509" t="s">
        <v>1003</v>
      </c>
      <c r="C7427" s="508" t="s">
        <v>160</v>
      </c>
      <c r="D7427" s="508">
        <v>0.25</v>
      </c>
      <c r="E7427" s="461" t="s">
        <v>3867</v>
      </c>
    </row>
    <row r="7428" spans="1:5" ht="15" x14ac:dyDescent="0.25">
      <c r="A7428" s="508">
        <v>95313</v>
      </c>
      <c r="B7428" s="509" t="s">
        <v>1004</v>
      </c>
      <c r="C7428" s="508" t="s">
        <v>160</v>
      </c>
      <c r="D7428" s="508">
        <v>0.2</v>
      </c>
      <c r="E7428" s="461" t="s">
        <v>3867</v>
      </c>
    </row>
    <row r="7429" spans="1:5" ht="15" x14ac:dyDescent="0.25">
      <c r="A7429" s="508">
        <v>95314</v>
      </c>
      <c r="B7429" s="509" t="s">
        <v>1005</v>
      </c>
      <c r="C7429" s="508" t="s">
        <v>160</v>
      </c>
      <c r="D7429" s="508">
        <v>0.28000000000000003</v>
      </c>
      <c r="E7429" s="461" t="s">
        <v>3867</v>
      </c>
    </row>
    <row r="7430" spans="1:5" ht="15" x14ac:dyDescent="0.25">
      <c r="A7430" s="508">
        <v>95315</v>
      </c>
      <c r="B7430" s="509" t="s">
        <v>1006</v>
      </c>
      <c r="C7430" s="508" t="s">
        <v>160</v>
      </c>
      <c r="D7430" s="508">
        <v>0.28999999999999998</v>
      </c>
      <c r="E7430" s="461" t="s">
        <v>3867</v>
      </c>
    </row>
    <row r="7431" spans="1:5" ht="15" x14ac:dyDescent="0.25">
      <c r="A7431" s="508">
        <v>95316</v>
      </c>
      <c r="B7431" s="509" t="s">
        <v>1007</v>
      </c>
      <c r="C7431" s="508" t="s">
        <v>160</v>
      </c>
      <c r="D7431" s="508">
        <v>0.65</v>
      </c>
      <c r="E7431" s="461" t="s">
        <v>3867</v>
      </c>
    </row>
    <row r="7432" spans="1:5" ht="27" x14ac:dyDescent="0.25">
      <c r="A7432" s="508">
        <v>95317</v>
      </c>
      <c r="B7432" s="509" t="s">
        <v>1008</v>
      </c>
      <c r="C7432" s="508" t="s">
        <v>160</v>
      </c>
      <c r="D7432" s="508">
        <v>0.31</v>
      </c>
      <c r="E7432" s="461" t="s">
        <v>3867</v>
      </c>
    </row>
    <row r="7433" spans="1:5" ht="15" x14ac:dyDescent="0.25">
      <c r="A7433" s="508">
        <v>95318</v>
      </c>
      <c r="B7433" s="509" t="s">
        <v>1009</v>
      </c>
      <c r="C7433" s="508" t="s">
        <v>160</v>
      </c>
      <c r="D7433" s="508">
        <v>0.3</v>
      </c>
      <c r="E7433" s="461" t="s">
        <v>3867</v>
      </c>
    </row>
    <row r="7434" spans="1:5" ht="15" x14ac:dyDescent="0.25">
      <c r="A7434" s="508">
        <v>95319</v>
      </c>
      <c r="B7434" s="509" t="s">
        <v>1010</v>
      </c>
      <c r="C7434" s="508" t="s">
        <v>160</v>
      </c>
      <c r="D7434" s="508">
        <v>0.2</v>
      </c>
      <c r="E7434" s="461" t="s">
        <v>3867</v>
      </c>
    </row>
    <row r="7435" spans="1:5" ht="15" x14ac:dyDescent="0.25">
      <c r="A7435" s="508">
        <v>95320</v>
      </c>
      <c r="B7435" s="509" t="s">
        <v>1011</v>
      </c>
      <c r="C7435" s="508" t="s">
        <v>160</v>
      </c>
      <c r="D7435" s="508">
        <v>0.2</v>
      </c>
      <c r="E7435" s="461" t="s">
        <v>3867</v>
      </c>
    </row>
    <row r="7436" spans="1:5" ht="27" x14ac:dyDescent="0.25">
      <c r="A7436" s="508">
        <v>95321</v>
      </c>
      <c r="B7436" s="509" t="s">
        <v>1012</v>
      </c>
      <c r="C7436" s="508" t="s">
        <v>160</v>
      </c>
      <c r="D7436" s="508">
        <v>0.19</v>
      </c>
      <c r="E7436" s="461" t="s">
        <v>3867</v>
      </c>
    </row>
    <row r="7437" spans="1:5" ht="15" x14ac:dyDescent="0.25">
      <c r="A7437" s="508">
        <v>95322</v>
      </c>
      <c r="B7437" s="509" t="s">
        <v>1013</v>
      </c>
      <c r="C7437" s="508" t="s">
        <v>160</v>
      </c>
      <c r="D7437" s="508">
        <v>0.09</v>
      </c>
      <c r="E7437" s="461" t="s">
        <v>3867</v>
      </c>
    </row>
    <row r="7438" spans="1:5" ht="27" x14ac:dyDescent="0.25">
      <c r="A7438" s="508">
        <v>95323</v>
      </c>
      <c r="B7438" s="509" t="s">
        <v>1014</v>
      </c>
      <c r="C7438" s="508" t="s">
        <v>160</v>
      </c>
      <c r="D7438" s="508">
        <v>0.3</v>
      </c>
      <c r="E7438" s="461" t="s">
        <v>3867</v>
      </c>
    </row>
    <row r="7439" spans="1:5" ht="27" x14ac:dyDescent="0.25">
      <c r="A7439" s="508">
        <v>95324</v>
      </c>
      <c r="B7439" s="509" t="s">
        <v>1015</v>
      </c>
      <c r="C7439" s="508" t="s">
        <v>160</v>
      </c>
      <c r="D7439" s="508">
        <v>0.37</v>
      </c>
      <c r="E7439" s="461" t="s">
        <v>3867</v>
      </c>
    </row>
    <row r="7440" spans="1:5" ht="27" x14ac:dyDescent="0.25">
      <c r="A7440" s="508">
        <v>95325</v>
      </c>
      <c r="B7440" s="509" t="s">
        <v>1016</v>
      </c>
      <c r="C7440" s="508" t="s">
        <v>160</v>
      </c>
      <c r="D7440" s="508">
        <v>0.32</v>
      </c>
      <c r="E7440" s="461" t="s">
        <v>3867</v>
      </c>
    </row>
    <row r="7441" spans="1:5" ht="15" x14ac:dyDescent="0.25">
      <c r="A7441" s="508">
        <v>95328</v>
      </c>
      <c r="B7441" s="509" t="s">
        <v>1017</v>
      </c>
      <c r="C7441" s="508" t="s">
        <v>160</v>
      </c>
      <c r="D7441" s="508">
        <v>0.26</v>
      </c>
      <c r="E7441" s="461" t="s">
        <v>3867</v>
      </c>
    </row>
    <row r="7442" spans="1:5" ht="27" x14ac:dyDescent="0.25">
      <c r="A7442" s="508">
        <v>95329</v>
      </c>
      <c r="B7442" s="509" t="s">
        <v>1018</v>
      </c>
      <c r="C7442" s="508" t="s">
        <v>160</v>
      </c>
      <c r="D7442" s="508">
        <v>0.34</v>
      </c>
      <c r="E7442" s="461" t="s">
        <v>3867</v>
      </c>
    </row>
    <row r="7443" spans="1:5" ht="15" x14ac:dyDescent="0.25">
      <c r="A7443" s="508">
        <v>95330</v>
      </c>
      <c r="B7443" s="509" t="s">
        <v>1019</v>
      </c>
      <c r="C7443" s="508" t="s">
        <v>160</v>
      </c>
      <c r="D7443" s="508">
        <v>0.28000000000000003</v>
      </c>
      <c r="E7443" s="461" t="s">
        <v>3867</v>
      </c>
    </row>
    <row r="7444" spans="1:5" ht="27" x14ac:dyDescent="0.25">
      <c r="A7444" s="508">
        <v>95331</v>
      </c>
      <c r="B7444" s="509" t="s">
        <v>1020</v>
      </c>
      <c r="C7444" s="508" t="s">
        <v>160</v>
      </c>
      <c r="D7444" s="508">
        <v>0.23</v>
      </c>
      <c r="E7444" s="461" t="s">
        <v>3867</v>
      </c>
    </row>
    <row r="7445" spans="1:5" ht="15" x14ac:dyDescent="0.25">
      <c r="A7445" s="508">
        <v>95332</v>
      </c>
      <c r="B7445" s="509" t="s">
        <v>1021</v>
      </c>
      <c r="C7445" s="508" t="s">
        <v>160</v>
      </c>
      <c r="D7445" s="508">
        <v>0.93</v>
      </c>
      <c r="E7445" s="461" t="s">
        <v>3867</v>
      </c>
    </row>
    <row r="7446" spans="1:5" ht="15" x14ac:dyDescent="0.25">
      <c r="A7446" s="508">
        <v>95334</v>
      </c>
      <c r="B7446" s="509" t="s">
        <v>1022</v>
      </c>
      <c r="C7446" s="508" t="s">
        <v>160</v>
      </c>
      <c r="D7446" s="508">
        <v>1</v>
      </c>
      <c r="E7446" s="461" t="s">
        <v>3867</v>
      </c>
    </row>
    <row r="7447" spans="1:5" ht="27" x14ac:dyDescent="0.25">
      <c r="A7447" s="508">
        <v>95335</v>
      </c>
      <c r="B7447" s="509" t="s">
        <v>1023</v>
      </c>
      <c r="C7447" s="508" t="s">
        <v>160</v>
      </c>
      <c r="D7447" s="508">
        <v>0.45</v>
      </c>
      <c r="E7447" s="461" t="s">
        <v>3867</v>
      </c>
    </row>
    <row r="7448" spans="1:5" ht="15" x14ac:dyDescent="0.25">
      <c r="A7448" s="508">
        <v>95337</v>
      </c>
      <c r="B7448" s="509" t="s">
        <v>1024</v>
      </c>
      <c r="C7448" s="508" t="s">
        <v>160</v>
      </c>
      <c r="D7448" s="508">
        <v>0.28000000000000003</v>
      </c>
      <c r="E7448" s="461" t="s">
        <v>3867</v>
      </c>
    </row>
    <row r="7449" spans="1:5" ht="15" x14ac:dyDescent="0.25">
      <c r="A7449" s="508">
        <v>95338</v>
      </c>
      <c r="B7449" s="509" t="s">
        <v>1025</v>
      </c>
      <c r="C7449" s="508" t="s">
        <v>160</v>
      </c>
      <c r="D7449" s="508">
        <v>0.53</v>
      </c>
      <c r="E7449" s="461" t="s">
        <v>3867</v>
      </c>
    </row>
    <row r="7450" spans="1:5" ht="15" x14ac:dyDescent="0.25">
      <c r="A7450" s="508">
        <v>95339</v>
      </c>
      <c r="B7450" s="509" t="s">
        <v>1026</v>
      </c>
      <c r="C7450" s="508" t="s">
        <v>160</v>
      </c>
      <c r="D7450" s="508">
        <v>0.44</v>
      </c>
      <c r="E7450" s="461" t="s">
        <v>3867</v>
      </c>
    </row>
    <row r="7451" spans="1:5" ht="15" x14ac:dyDescent="0.25">
      <c r="A7451" s="508">
        <v>95340</v>
      </c>
      <c r="B7451" s="509" t="s">
        <v>1027</v>
      </c>
      <c r="C7451" s="508" t="s">
        <v>160</v>
      </c>
      <c r="D7451" s="508">
        <v>0.34</v>
      </c>
      <c r="E7451" s="461" t="s">
        <v>3867</v>
      </c>
    </row>
    <row r="7452" spans="1:5" ht="15" x14ac:dyDescent="0.25">
      <c r="A7452" s="508">
        <v>95341</v>
      </c>
      <c r="B7452" s="509" t="s">
        <v>1028</v>
      </c>
      <c r="C7452" s="508" t="s">
        <v>160</v>
      </c>
      <c r="D7452" s="508">
        <v>0.37</v>
      </c>
      <c r="E7452" s="461" t="s">
        <v>3867</v>
      </c>
    </row>
    <row r="7453" spans="1:5" ht="27" x14ac:dyDescent="0.25">
      <c r="A7453" s="508">
        <v>95342</v>
      </c>
      <c r="B7453" s="509" t="s">
        <v>1029</v>
      </c>
      <c r="C7453" s="508" t="s">
        <v>160</v>
      </c>
      <c r="D7453" s="508">
        <v>0.26</v>
      </c>
      <c r="E7453" s="461" t="s">
        <v>3867</v>
      </c>
    </row>
    <row r="7454" spans="1:5" ht="27" x14ac:dyDescent="0.25">
      <c r="A7454" s="508">
        <v>95343</v>
      </c>
      <c r="B7454" s="509" t="s">
        <v>1030</v>
      </c>
      <c r="C7454" s="508" t="s">
        <v>160</v>
      </c>
      <c r="D7454" s="508">
        <v>0.28000000000000003</v>
      </c>
      <c r="E7454" s="461" t="s">
        <v>3867</v>
      </c>
    </row>
    <row r="7455" spans="1:5" ht="27" x14ac:dyDescent="0.25">
      <c r="A7455" s="508">
        <v>95344</v>
      </c>
      <c r="B7455" s="509" t="s">
        <v>1031</v>
      </c>
      <c r="C7455" s="508" t="s">
        <v>160</v>
      </c>
      <c r="D7455" s="508">
        <v>0.23</v>
      </c>
      <c r="E7455" s="461" t="s">
        <v>3867</v>
      </c>
    </row>
    <row r="7456" spans="1:5" ht="15" x14ac:dyDescent="0.25">
      <c r="A7456" s="508">
        <v>95345</v>
      </c>
      <c r="B7456" s="509" t="s">
        <v>1032</v>
      </c>
      <c r="C7456" s="508" t="s">
        <v>160</v>
      </c>
      <c r="D7456" s="508">
        <v>0.63</v>
      </c>
      <c r="E7456" s="461" t="s">
        <v>3867</v>
      </c>
    </row>
    <row r="7457" spans="1:5" ht="15" x14ac:dyDescent="0.25">
      <c r="A7457" s="508">
        <v>95346</v>
      </c>
      <c r="B7457" s="509" t="s">
        <v>1033</v>
      </c>
      <c r="C7457" s="508" t="s">
        <v>160</v>
      </c>
      <c r="D7457" s="508">
        <v>0.12</v>
      </c>
      <c r="E7457" s="461" t="s">
        <v>3867</v>
      </c>
    </row>
    <row r="7458" spans="1:5" ht="15" x14ac:dyDescent="0.25">
      <c r="A7458" s="508">
        <v>95347</v>
      </c>
      <c r="B7458" s="509" t="s">
        <v>1034</v>
      </c>
      <c r="C7458" s="508" t="s">
        <v>160</v>
      </c>
      <c r="D7458" s="508">
        <v>0.12</v>
      </c>
      <c r="E7458" s="461" t="s">
        <v>3867</v>
      </c>
    </row>
    <row r="7459" spans="1:5" ht="27" x14ac:dyDescent="0.25">
      <c r="A7459" s="508">
        <v>95348</v>
      </c>
      <c r="B7459" s="509" t="s">
        <v>1035</v>
      </c>
      <c r="C7459" s="508" t="s">
        <v>160</v>
      </c>
      <c r="D7459" s="508">
        <v>0.15</v>
      </c>
      <c r="E7459" s="461" t="s">
        <v>3867</v>
      </c>
    </row>
    <row r="7460" spans="1:5" ht="27" x14ac:dyDescent="0.25">
      <c r="A7460" s="508">
        <v>95349</v>
      </c>
      <c r="B7460" s="509" t="s">
        <v>1036</v>
      </c>
      <c r="C7460" s="508" t="s">
        <v>160</v>
      </c>
      <c r="D7460" s="508">
        <v>0.11</v>
      </c>
      <c r="E7460" s="461" t="s">
        <v>3867</v>
      </c>
    </row>
    <row r="7461" spans="1:5" ht="27" x14ac:dyDescent="0.25">
      <c r="A7461" s="508">
        <v>95351</v>
      </c>
      <c r="B7461" s="509" t="s">
        <v>1037</v>
      </c>
      <c r="C7461" s="508" t="s">
        <v>160</v>
      </c>
      <c r="D7461" s="508">
        <v>0.41</v>
      </c>
      <c r="E7461" s="461" t="s">
        <v>3867</v>
      </c>
    </row>
    <row r="7462" spans="1:5" ht="15" x14ac:dyDescent="0.25">
      <c r="A7462" s="508">
        <v>95352</v>
      </c>
      <c r="B7462" s="509" t="s">
        <v>1038</v>
      </c>
      <c r="C7462" s="508" t="s">
        <v>160</v>
      </c>
      <c r="D7462" s="508">
        <v>0.14000000000000001</v>
      </c>
      <c r="E7462" s="461" t="s">
        <v>3867</v>
      </c>
    </row>
    <row r="7463" spans="1:5" ht="27" x14ac:dyDescent="0.25">
      <c r="A7463" s="508">
        <v>95354</v>
      </c>
      <c r="B7463" s="509" t="s">
        <v>1039</v>
      </c>
      <c r="C7463" s="508" t="s">
        <v>160</v>
      </c>
      <c r="D7463" s="508">
        <v>0.17</v>
      </c>
      <c r="E7463" s="461" t="s">
        <v>3867</v>
      </c>
    </row>
    <row r="7464" spans="1:5" ht="27" x14ac:dyDescent="0.25">
      <c r="A7464" s="508">
        <v>95355</v>
      </c>
      <c r="B7464" s="509" t="s">
        <v>1040</v>
      </c>
      <c r="C7464" s="508" t="s">
        <v>160</v>
      </c>
      <c r="D7464" s="508">
        <v>0.14000000000000001</v>
      </c>
      <c r="E7464" s="461" t="s">
        <v>3867</v>
      </c>
    </row>
    <row r="7465" spans="1:5" ht="27" x14ac:dyDescent="0.25">
      <c r="A7465" s="508">
        <v>95356</v>
      </c>
      <c r="B7465" s="509" t="s">
        <v>1041</v>
      </c>
      <c r="C7465" s="508" t="s">
        <v>160</v>
      </c>
      <c r="D7465" s="508">
        <v>0.17</v>
      </c>
      <c r="E7465" s="461" t="s">
        <v>3867</v>
      </c>
    </row>
    <row r="7466" spans="1:5" ht="15" x14ac:dyDescent="0.25">
      <c r="A7466" s="508">
        <v>95357</v>
      </c>
      <c r="B7466" s="509" t="s">
        <v>1042</v>
      </c>
      <c r="C7466" s="508" t="s">
        <v>160</v>
      </c>
      <c r="D7466" s="508">
        <v>0.28000000000000003</v>
      </c>
      <c r="E7466" s="461" t="s">
        <v>3867</v>
      </c>
    </row>
    <row r="7467" spans="1:5" ht="15" x14ac:dyDescent="0.25">
      <c r="A7467" s="508">
        <v>95358</v>
      </c>
      <c r="B7467" s="509" t="s">
        <v>1043</v>
      </c>
      <c r="C7467" s="508" t="s">
        <v>160</v>
      </c>
      <c r="D7467" s="508">
        <v>0.33</v>
      </c>
      <c r="E7467" s="461" t="s">
        <v>3867</v>
      </c>
    </row>
    <row r="7468" spans="1:5" ht="15" x14ac:dyDescent="0.25">
      <c r="A7468" s="508">
        <v>95359</v>
      </c>
      <c r="B7468" s="509" t="s">
        <v>1044</v>
      </c>
      <c r="C7468" s="508" t="s">
        <v>160</v>
      </c>
      <c r="D7468" s="510">
        <v>0.33</v>
      </c>
      <c r="E7468" s="461" t="s">
        <v>3867</v>
      </c>
    </row>
    <row r="7469" spans="1:5" ht="27" x14ac:dyDescent="0.25">
      <c r="A7469" s="508">
        <v>95360</v>
      </c>
      <c r="B7469" s="509" t="s">
        <v>1045</v>
      </c>
      <c r="C7469" s="508" t="s">
        <v>160</v>
      </c>
      <c r="D7469" s="510">
        <v>0.23</v>
      </c>
      <c r="E7469" s="461" t="s">
        <v>3867</v>
      </c>
    </row>
    <row r="7470" spans="1:5" ht="27" x14ac:dyDescent="0.25">
      <c r="A7470" s="508">
        <v>95361</v>
      </c>
      <c r="B7470" s="509" t="s">
        <v>1046</v>
      </c>
      <c r="C7470" s="508" t="s">
        <v>160</v>
      </c>
      <c r="D7470" s="510">
        <v>0.17</v>
      </c>
      <c r="E7470" s="461" t="s">
        <v>3867</v>
      </c>
    </row>
    <row r="7471" spans="1:5" ht="27" x14ac:dyDescent="0.25">
      <c r="A7471" s="508">
        <v>95362</v>
      </c>
      <c r="B7471" s="509" t="s">
        <v>1047</v>
      </c>
      <c r="C7471" s="508" t="s">
        <v>160</v>
      </c>
      <c r="D7471" s="510">
        <v>0.3</v>
      </c>
      <c r="E7471" s="461" t="s">
        <v>3867</v>
      </c>
    </row>
    <row r="7472" spans="1:5" ht="27" x14ac:dyDescent="0.25">
      <c r="A7472" s="508">
        <v>95363</v>
      </c>
      <c r="B7472" s="509" t="s">
        <v>1048</v>
      </c>
      <c r="C7472" s="508" t="s">
        <v>160</v>
      </c>
      <c r="D7472" s="510">
        <v>0.3</v>
      </c>
      <c r="E7472" s="461" t="s">
        <v>3867</v>
      </c>
    </row>
    <row r="7473" spans="1:5" ht="27" x14ac:dyDescent="0.25">
      <c r="A7473" s="508">
        <v>95364</v>
      </c>
      <c r="B7473" s="509" t="s">
        <v>1049</v>
      </c>
      <c r="C7473" s="508" t="s">
        <v>160</v>
      </c>
      <c r="D7473" s="510">
        <v>0.17</v>
      </c>
      <c r="E7473" s="461" t="s">
        <v>3867</v>
      </c>
    </row>
    <row r="7474" spans="1:5" ht="27" x14ac:dyDescent="0.25">
      <c r="A7474" s="508">
        <v>95365</v>
      </c>
      <c r="B7474" s="509" t="s">
        <v>1050</v>
      </c>
      <c r="C7474" s="508" t="s">
        <v>160</v>
      </c>
      <c r="D7474" s="510">
        <v>0.17</v>
      </c>
      <c r="E7474" s="461" t="s">
        <v>3867</v>
      </c>
    </row>
    <row r="7475" spans="1:5" ht="27" x14ac:dyDescent="0.25">
      <c r="A7475" s="508">
        <v>95366</v>
      </c>
      <c r="B7475" s="509" t="s">
        <v>1051</v>
      </c>
      <c r="C7475" s="508" t="s">
        <v>160</v>
      </c>
      <c r="D7475" s="510">
        <v>0.17</v>
      </c>
      <c r="E7475" s="461" t="s">
        <v>3867</v>
      </c>
    </row>
    <row r="7476" spans="1:5" ht="27" x14ac:dyDescent="0.25">
      <c r="A7476" s="508">
        <v>95367</v>
      </c>
      <c r="B7476" s="509" t="s">
        <v>1052</v>
      </c>
      <c r="C7476" s="508" t="s">
        <v>160</v>
      </c>
      <c r="D7476" s="510">
        <v>0.3</v>
      </c>
      <c r="E7476" s="461" t="s">
        <v>3867</v>
      </c>
    </row>
    <row r="7477" spans="1:5" ht="27" x14ac:dyDescent="0.25">
      <c r="A7477" s="508">
        <v>95368</v>
      </c>
      <c r="B7477" s="509" t="s">
        <v>1053</v>
      </c>
      <c r="C7477" s="508" t="s">
        <v>160</v>
      </c>
      <c r="D7477" s="510">
        <v>0.21</v>
      </c>
      <c r="E7477" s="461" t="s">
        <v>3867</v>
      </c>
    </row>
    <row r="7478" spans="1:5" ht="27" x14ac:dyDescent="0.25">
      <c r="A7478" s="508">
        <v>95369</v>
      </c>
      <c r="B7478" s="509" t="s">
        <v>1054</v>
      </c>
      <c r="C7478" s="508" t="s">
        <v>160</v>
      </c>
      <c r="D7478" s="510">
        <v>0.18</v>
      </c>
      <c r="E7478" s="461" t="s">
        <v>3867</v>
      </c>
    </row>
    <row r="7479" spans="1:5" ht="15" x14ac:dyDescent="0.25">
      <c r="A7479" s="508">
        <v>95370</v>
      </c>
      <c r="B7479" s="509" t="s">
        <v>1055</v>
      </c>
      <c r="C7479" s="508" t="s">
        <v>160</v>
      </c>
      <c r="D7479" s="510">
        <v>0.37</v>
      </c>
      <c r="E7479" s="461" t="s">
        <v>3867</v>
      </c>
    </row>
    <row r="7480" spans="1:5" ht="15" x14ac:dyDescent="0.25">
      <c r="A7480" s="508">
        <v>95371</v>
      </c>
      <c r="B7480" s="509" t="s">
        <v>1056</v>
      </c>
      <c r="C7480" s="508" t="s">
        <v>160</v>
      </c>
      <c r="D7480" s="510">
        <v>0.53</v>
      </c>
      <c r="E7480" s="461" t="s">
        <v>3867</v>
      </c>
    </row>
    <row r="7481" spans="1:5" ht="15" x14ac:dyDescent="0.25">
      <c r="A7481" s="508">
        <v>95372</v>
      </c>
      <c r="B7481" s="509" t="s">
        <v>1057</v>
      </c>
      <c r="C7481" s="508" t="s">
        <v>160</v>
      </c>
      <c r="D7481" s="510">
        <v>0.37</v>
      </c>
      <c r="E7481" s="461" t="s">
        <v>3867</v>
      </c>
    </row>
    <row r="7482" spans="1:5" ht="15" x14ac:dyDescent="0.25">
      <c r="A7482" s="508">
        <v>95373</v>
      </c>
      <c r="B7482" s="509" t="s">
        <v>1058</v>
      </c>
      <c r="C7482" s="508" t="s">
        <v>160</v>
      </c>
      <c r="D7482" s="510">
        <v>0.35</v>
      </c>
      <c r="E7482" s="461" t="s">
        <v>3867</v>
      </c>
    </row>
    <row r="7483" spans="1:5" ht="15" x14ac:dyDescent="0.25">
      <c r="A7483" s="508">
        <v>95374</v>
      </c>
      <c r="B7483" s="509" t="s">
        <v>1059</v>
      </c>
      <c r="C7483" s="508" t="s">
        <v>160</v>
      </c>
      <c r="D7483" s="510">
        <v>0.37</v>
      </c>
      <c r="E7483" s="461" t="s">
        <v>3867</v>
      </c>
    </row>
    <row r="7484" spans="1:5" ht="15" x14ac:dyDescent="0.25">
      <c r="A7484" s="508">
        <v>95375</v>
      </c>
      <c r="B7484" s="509" t="s">
        <v>1060</v>
      </c>
      <c r="C7484" s="508" t="s">
        <v>160</v>
      </c>
      <c r="D7484" s="510">
        <v>0.43</v>
      </c>
      <c r="E7484" s="461" t="s">
        <v>3867</v>
      </c>
    </row>
    <row r="7485" spans="1:5" ht="15" x14ac:dyDescent="0.25">
      <c r="A7485" s="508">
        <v>95376</v>
      </c>
      <c r="B7485" s="509" t="s">
        <v>1061</v>
      </c>
      <c r="C7485" s="508" t="s">
        <v>160</v>
      </c>
      <c r="D7485" s="510">
        <v>0.11</v>
      </c>
      <c r="E7485" s="461" t="s">
        <v>3867</v>
      </c>
    </row>
    <row r="7486" spans="1:5" ht="15" x14ac:dyDescent="0.25">
      <c r="A7486" s="508">
        <v>95377</v>
      </c>
      <c r="B7486" s="509" t="s">
        <v>1062</v>
      </c>
      <c r="C7486" s="508" t="s">
        <v>160</v>
      </c>
      <c r="D7486" s="510">
        <v>0.28000000000000003</v>
      </c>
      <c r="E7486" s="461" t="s">
        <v>3867</v>
      </c>
    </row>
    <row r="7487" spans="1:5" ht="15" x14ac:dyDescent="0.25">
      <c r="A7487" s="508">
        <v>95378</v>
      </c>
      <c r="B7487" s="509" t="s">
        <v>1063</v>
      </c>
      <c r="C7487" s="508" t="s">
        <v>160</v>
      </c>
      <c r="D7487" s="510">
        <v>0.35</v>
      </c>
      <c r="E7487" s="461" t="s">
        <v>3867</v>
      </c>
    </row>
    <row r="7488" spans="1:5" ht="15" x14ac:dyDescent="0.25">
      <c r="A7488" s="508">
        <v>95379</v>
      </c>
      <c r="B7488" s="509" t="s">
        <v>1064</v>
      </c>
      <c r="C7488" s="508" t="s">
        <v>160</v>
      </c>
      <c r="D7488" s="510">
        <v>0.28000000000000003</v>
      </c>
      <c r="E7488" s="461" t="s">
        <v>3867</v>
      </c>
    </row>
    <row r="7489" spans="1:5" ht="27" x14ac:dyDescent="0.25">
      <c r="A7489" s="508">
        <v>95380</v>
      </c>
      <c r="B7489" s="509" t="s">
        <v>1065</v>
      </c>
      <c r="C7489" s="508" t="s">
        <v>160</v>
      </c>
      <c r="D7489" s="510">
        <v>0.34</v>
      </c>
      <c r="E7489" s="461" t="s">
        <v>3867</v>
      </c>
    </row>
    <row r="7490" spans="1:5" ht="15" x14ac:dyDescent="0.25">
      <c r="A7490" s="508">
        <v>95383</v>
      </c>
      <c r="B7490" s="509" t="s">
        <v>1066</v>
      </c>
      <c r="C7490" s="508" t="s">
        <v>160</v>
      </c>
      <c r="D7490" s="510">
        <v>0.46</v>
      </c>
      <c r="E7490" s="461" t="s">
        <v>3867</v>
      </c>
    </row>
    <row r="7491" spans="1:5" ht="15" x14ac:dyDescent="0.25">
      <c r="A7491" s="508">
        <v>95384</v>
      </c>
      <c r="B7491" s="509" t="s">
        <v>1067</v>
      </c>
      <c r="C7491" s="508" t="s">
        <v>160</v>
      </c>
      <c r="D7491" s="510">
        <v>0.41</v>
      </c>
      <c r="E7491" s="461" t="s">
        <v>3867</v>
      </c>
    </row>
    <row r="7492" spans="1:5" ht="15" x14ac:dyDescent="0.25">
      <c r="A7492" s="508">
        <v>95385</v>
      </c>
      <c r="B7492" s="509" t="s">
        <v>1068</v>
      </c>
      <c r="C7492" s="508" t="s">
        <v>160</v>
      </c>
      <c r="D7492" s="510">
        <v>0.28000000000000003</v>
      </c>
      <c r="E7492" s="461" t="s">
        <v>3867</v>
      </c>
    </row>
    <row r="7493" spans="1:5" ht="15" x14ac:dyDescent="0.25">
      <c r="A7493" s="508">
        <v>95386</v>
      </c>
      <c r="B7493" s="509" t="s">
        <v>1069</v>
      </c>
      <c r="C7493" s="508" t="s">
        <v>160</v>
      </c>
      <c r="D7493" s="510">
        <v>0.23</v>
      </c>
      <c r="E7493" s="461" t="s">
        <v>3867</v>
      </c>
    </row>
    <row r="7494" spans="1:5" ht="15" x14ac:dyDescent="0.25">
      <c r="A7494" s="508">
        <v>95387</v>
      </c>
      <c r="B7494" s="509" t="s">
        <v>1070</v>
      </c>
      <c r="C7494" s="508" t="s">
        <v>160</v>
      </c>
      <c r="D7494" s="510">
        <v>0.33</v>
      </c>
      <c r="E7494" s="461" t="s">
        <v>3867</v>
      </c>
    </row>
    <row r="7495" spans="1:5" ht="27" x14ac:dyDescent="0.25">
      <c r="A7495" s="508">
        <v>95389</v>
      </c>
      <c r="B7495" s="509" t="s">
        <v>1071</v>
      </c>
      <c r="C7495" s="508" t="s">
        <v>160</v>
      </c>
      <c r="D7495" s="510">
        <v>0.17</v>
      </c>
      <c r="E7495" s="461" t="s">
        <v>3867</v>
      </c>
    </row>
    <row r="7496" spans="1:5" ht="15" x14ac:dyDescent="0.25">
      <c r="A7496" s="508">
        <v>95390</v>
      </c>
      <c r="B7496" s="509" t="s">
        <v>1072</v>
      </c>
      <c r="C7496" s="508" t="s">
        <v>160</v>
      </c>
      <c r="D7496" s="510">
        <v>0.11</v>
      </c>
      <c r="E7496" s="461" t="s">
        <v>3867</v>
      </c>
    </row>
    <row r="7497" spans="1:5" ht="15" x14ac:dyDescent="0.25">
      <c r="A7497" s="508">
        <v>95392</v>
      </c>
      <c r="B7497" s="509" t="s">
        <v>1073</v>
      </c>
      <c r="C7497" s="508" t="s">
        <v>160</v>
      </c>
      <c r="D7497" s="510">
        <v>0.19</v>
      </c>
      <c r="E7497" s="461" t="s">
        <v>3867</v>
      </c>
    </row>
    <row r="7498" spans="1:5" ht="27" x14ac:dyDescent="0.25">
      <c r="A7498" s="508">
        <v>95393</v>
      </c>
      <c r="B7498" s="509" t="s">
        <v>1074</v>
      </c>
      <c r="C7498" s="508" t="s">
        <v>160</v>
      </c>
      <c r="D7498" s="510">
        <v>0.77</v>
      </c>
      <c r="E7498" s="461" t="s">
        <v>3867</v>
      </c>
    </row>
    <row r="7499" spans="1:5" ht="27" x14ac:dyDescent="0.25">
      <c r="A7499" s="508">
        <v>95394</v>
      </c>
      <c r="B7499" s="509" t="s">
        <v>1075</v>
      </c>
      <c r="C7499" s="508" t="s">
        <v>160</v>
      </c>
      <c r="D7499" s="510">
        <v>1.0900000000000001</v>
      </c>
      <c r="E7499" s="461" t="s">
        <v>3867</v>
      </c>
    </row>
    <row r="7500" spans="1:5" ht="15" x14ac:dyDescent="0.25">
      <c r="A7500" s="508">
        <v>95395</v>
      </c>
      <c r="B7500" s="509" t="s">
        <v>1076</v>
      </c>
      <c r="C7500" s="508" t="s">
        <v>160</v>
      </c>
      <c r="D7500" s="510">
        <v>1.1399999999999999</v>
      </c>
      <c r="E7500" s="461" t="s">
        <v>3867</v>
      </c>
    </row>
    <row r="7501" spans="1:5" ht="27" x14ac:dyDescent="0.25">
      <c r="A7501" s="508">
        <v>95396</v>
      </c>
      <c r="B7501" s="509" t="s">
        <v>1077</v>
      </c>
      <c r="C7501" s="508" t="s">
        <v>160</v>
      </c>
      <c r="D7501" s="510">
        <v>1.19</v>
      </c>
      <c r="E7501" s="461" t="s">
        <v>3867</v>
      </c>
    </row>
    <row r="7502" spans="1:5" ht="15" x14ac:dyDescent="0.25">
      <c r="A7502" s="508">
        <v>95398</v>
      </c>
      <c r="B7502" s="509" t="s">
        <v>1078</v>
      </c>
      <c r="C7502" s="508" t="s">
        <v>160</v>
      </c>
      <c r="D7502" s="510">
        <v>0.14000000000000001</v>
      </c>
      <c r="E7502" s="461" t="s">
        <v>3867</v>
      </c>
    </row>
    <row r="7503" spans="1:5" ht="15" x14ac:dyDescent="0.25">
      <c r="A7503" s="508">
        <v>95400</v>
      </c>
      <c r="B7503" s="509" t="s">
        <v>1079</v>
      </c>
      <c r="C7503" s="508" t="s">
        <v>160</v>
      </c>
      <c r="D7503" s="510">
        <v>0.09</v>
      </c>
      <c r="E7503" s="461" t="s">
        <v>3867</v>
      </c>
    </row>
    <row r="7504" spans="1:5" ht="15" x14ac:dyDescent="0.25">
      <c r="A7504" s="508">
        <v>95401</v>
      </c>
      <c r="B7504" s="509" t="s">
        <v>1080</v>
      </c>
      <c r="C7504" s="508" t="s">
        <v>160</v>
      </c>
      <c r="D7504" s="510">
        <v>0.53</v>
      </c>
      <c r="E7504" s="461" t="s">
        <v>3867</v>
      </c>
    </row>
    <row r="7505" spans="1:5" ht="27" x14ac:dyDescent="0.25">
      <c r="A7505" s="508">
        <v>95402</v>
      </c>
      <c r="B7505" s="509" t="s">
        <v>1081</v>
      </c>
      <c r="C7505" s="508" t="s">
        <v>160</v>
      </c>
      <c r="D7505" s="510">
        <v>1.94</v>
      </c>
      <c r="E7505" s="461" t="s">
        <v>3867</v>
      </c>
    </row>
    <row r="7506" spans="1:5" ht="27" x14ac:dyDescent="0.25">
      <c r="A7506" s="508">
        <v>95403</v>
      </c>
      <c r="B7506" s="509" t="s">
        <v>1082</v>
      </c>
      <c r="C7506" s="508" t="s">
        <v>160</v>
      </c>
      <c r="D7506" s="510">
        <v>2.2999999999999998</v>
      </c>
      <c r="E7506" s="461" t="s">
        <v>3867</v>
      </c>
    </row>
    <row r="7507" spans="1:5" ht="27" x14ac:dyDescent="0.25">
      <c r="A7507" s="508">
        <v>95404</v>
      </c>
      <c r="B7507" s="509" t="s">
        <v>1083</v>
      </c>
      <c r="C7507" s="508" t="s">
        <v>160</v>
      </c>
      <c r="D7507" s="510">
        <v>3.24</v>
      </c>
      <c r="E7507" s="461" t="s">
        <v>3867</v>
      </c>
    </row>
    <row r="7508" spans="1:5" ht="15" x14ac:dyDescent="0.25">
      <c r="A7508" s="508">
        <v>95405</v>
      </c>
      <c r="B7508" s="509" t="s">
        <v>1084</v>
      </c>
      <c r="C7508" s="508" t="s">
        <v>160</v>
      </c>
      <c r="D7508" s="510">
        <v>1.1499999999999999</v>
      </c>
      <c r="E7508" s="461" t="s">
        <v>3867</v>
      </c>
    </row>
    <row r="7509" spans="1:5" ht="15" x14ac:dyDescent="0.25">
      <c r="A7509" s="508">
        <v>95406</v>
      </c>
      <c r="B7509" s="509" t="s">
        <v>1085</v>
      </c>
      <c r="C7509" s="508" t="s">
        <v>160</v>
      </c>
      <c r="D7509" s="510">
        <v>0.2</v>
      </c>
      <c r="E7509" s="461" t="s">
        <v>3867</v>
      </c>
    </row>
    <row r="7510" spans="1:5" ht="27" x14ac:dyDescent="0.25">
      <c r="A7510" s="508">
        <v>95408</v>
      </c>
      <c r="B7510" s="509" t="s">
        <v>1086</v>
      </c>
      <c r="C7510" s="508" t="s">
        <v>194</v>
      </c>
      <c r="D7510" s="510">
        <v>16.38</v>
      </c>
      <c r="E7510" s="461" t="s">
        <v>3867</v>
      </c>
    </row>
    <row r="7511" spans="1:5" ht="27" x14ac:dyDescent="0.25">
      <c r="A7511" s="508">
        <v>95411</v>
      </c>
      <c r="B7511" s="509" t="s">
        <v>1087</v>
      </c>
      <c r="C7511" s="508" t="s">
        <v>194</v>
      </c>
      <c r="D7511" s="510">
        <v>12.46</v>
      </c>
      <c r="E7511" s="461" t="s">
        <v>3867</v>
      </c>
    </row>
    <row r="7512" spans="1:5" ht="15" x14ac:dyDescent="0.25">
      <c r="A7512" s="508">
        <v>95413</v>
      </c>
      <c r="B7512" s="509" t="s">
        <v>1088</v>
      </c>
      <c r="C7512" s="508" t="s">
        <v>194</v>
      </c>
      <c r="D7512" s="510">
        <v>26.05</v>
      </c>
      <c r="E7512" s="461" t="s">
        <v>3867</v>
      </c>
    </row>
    <row r="7513" spans="1:5" ht="27" x14ac:dyDescent="0.25">
      <c r="A7513" s="508">
        <v>95414</v>
      </c>
      <c r="B7513" s="509" t="s">
        <v>1089</v>
      </c>
      <c r="C7513" s="508" t="s">
        <v>194</v>
      </c>
      <c r="D7513" s="510">
        <v>103.39</v>
      </c>
      <c r="E7513" s="461" t="s">
        <v>3867</v>
      </c>
    </row>
    <row r="7514" spans="1:5" ht="27" x14ac:dyDescent="0.25">
      <c r="A7514" s="508">
        <v>95415</v>
      </c>
      <c r="B7514" s="509" t="s">
        <v>1090</v>
      </c>
      <c r="C7514" s="508" t="s">
        <v>194</v>
      </c>
      <c r="D7514" s="510">
        <v>259.36</v>
      </c>
      <c r="E7514" s="461" t="s">
        <v>3867</v>
      </c>
    </row>
    <row r="7515" spans="1:5" ht="27" x14ac:dyDescent="0.25">
      <c r="A7515" s="508">
        <v>95416</v>
      </c>
      <c r="B7515" s="509" t="s">
        <v>1091</v>
      </c>
      <c r="C7515" s="508" t="s">
        <v>194</v>
      </c>
      <c r="D7515" s="510">
        <v>19.36</v>
      </c>
      <c r="E7515" s="461" t="s">
        <v>3867</v>
      </c>
    </row>
    <row r="7516" spans="1:5" ht="27" x14ac:dyDescent="0.25">
      <c r="A7516" s="508">
        <v>95417</v>
      </c>
      <c r="B7516" s="509" t="s">
        <v>1092</v>
      </c>
      <c r="C7516" s="508" t="s">
        <v>194</v>
      </c>
      <c r="D7516" s="510">
        <v>306.95</v>
      </c>
      <c r="E7516" s="461" t="s">
        <v>3867</v>
      </c>
    </row>
    <row r="7517" spans="1:5" ht="27" x14ac:dyDescent="0.25">
      <c r="A7517" s="508">
        <v>95418</v>
      </c>
      <c r="B7517" s="509" t="s">
        <v>1093</v>
      </c>
      <c r="C7517" s="508" t="s">
        <v>194</v>
      </c>
      <c r="D7517" s="510">
        <v>431.87</v>
      </c>
      <c r="E7517" s="461" t="s">
        <v>3867</v>
      </c>
    </row>
    <row r="7518" spans="1:5" ht="15" x14ac:dyDescent="0.25">
      <c r="A7518" s="508">
        <v>95419</v>
      </c>
      <c r="B7518" s="509" t="s">
        <v>1094</v>
      </c>
      <c r="C7518" s="508" t="s">
        <v>194</v>
      </c>
      <c r="D7518" s="510">
        <v>145.46</v>
      </c>
      <c r="E7518" s="461" t="s">
        <v>3867</v>
      </c>
    </row>
    <row r="7519" spans="1:5" ht="15" x14ac:dyDescent="0.25">
      <c r="A7519" s="508">
        <v>95420</v>
      </c>
      <c r="B7519" s="509" t="s">
        <v>1095</v>
      </c>
      <c r="C7519" s="508" t="s">
        <v>194</v>
      </c>
      <c r="D7519" s="510">
        <v>151.91999999999999</v>
      </c>
      <c r="E7519" s="461" t="s">
        <v>3867</v>
      </c>
    </row>
    <row r="7520" spans="1:5" ht="15" x14ac:dyDescent="0.25">
      <c r="A7520" s="508">
        <v>95421</v>
      </c>
      <c r="B7520" s="509" t="s">
        <v>1096</v>
      </c>
      <c r="C7520" s="508" t="s">
        <v>194</v>
      </c>
      <c r="D7520" s="510">
        <v>159.22</v>
      </c>
      <c r="E7520" s="461" t="s">
        <v>3867</v>
      </c>
    </row>
    <row r="7521" spans="1:5" ht="27" x14ac:dyDescent="0.25">
      <c r="A7521" s="508">
        <v>95422</v>
      </c>
      <c r="B7521" s="509" t="s">
        <v>1097</v>
      </c>
      <c r="C7521" s="508" t="s">
        <v>194</v>
      </c>
      <c r="D7521" s="510">
        <v>70.97</v>
      </c>
      <c r="E7521" s="461" t="s">
        <v>3867</v>
      </c>
    </row>
    <row r="7522" spans="1:5" ht="15" x14ac:dyDescent="0.25">
      <c r="A7522" s="508">
        <v>95423</v>
      </c>
      <c r="B7522" s="509" t="s">
        <v>1098</v>
      </c>
      <c r="C7522" s="508" t="s">
        <v>194</v>
      </c>
      <c r="D7522" s="510">
        <v>153.16999999999999</v>
      </c>
      <c r="E7522" s="461" t="s">
        <v>3867</v>
      </c>
    </row>
    <row r="7523" spans="1:5" ht="15" x14ac:dyDescent="0.25">
      <c r="A7523" s="508">
        <v>95424</v>
      </c>
      <c r="B7523" s="509" t="s">
        <v>1099</v>
      </c>
      <c r="C7523" s="508" t="s">
        <v>194</v>
      </c>
      <c r="D7523" s="510">
        <v>27.82</v>
      </c>
      <c r="E7523" s="461" t="s">
        <v>3867</v>
      </c>
    </row>
    <row r="7524" spans="1:5" ht="15" x14ac:dyDescent="0.25">
      <c r="A7524" s="508">
        <v>100288</v>
      </c>
      <c r="B7524" s="509" t="s">
        <v>1479</v>
      </c>
      <c r="C7524" s="508" t="s">
        <v>160</v>
      </c>
      <c r="D7524" s="510">
        <v>0.09</v>
      </c>
      <c r="E7524" s="461" t="s">
        <v>3867</v>
      </c>
    </row>
    <row r="7525" spans="1:5" ht="15" x14ac:dyDescent="0.25">
      <c r="A7525" s="508">
        <v>100289</v>
      </c>
      <c r="B7525" s="509" t="s">
        <v>179</v>
      </c>
      <c r="C7525" s="508" t="s">
        <v>160</v>
      </c>
      <c r="D7525" s="510">
        <v>24.09</v>
      </c>
      <c r="E7525" s="461" t="s">
        <v>4455</v>
      </c>
    </row>
    <row r="7526" spans="1:5" ht="15" x14ac:dyDescent="0.25">
      <c r="A7526" s="508">
        <v>100291</v>
      </c>
      <c r="B7526" s="509" t="s">
        <v>1480</v>
      </c>
      <c r="C7526" s="508" t="s">
        <v>160</v>
      </c>
      <c r="D7526" s="510">
        <v>0.25</v>
      </c>
      <c r="E7526" s="461" t="s">
        <v>3867</v>
      </c>
    </row>
    <row r="7527" spans="1:5" ht="15" x14ac:dyDescent="0.25">
      <c r="A7527" s="508">
        <v>100293</v>
      </c>
      <c r="B7527" s="509" t="s">
        <v>1481</v>
      </c>
      <c r="C7527" s="508" t="s">
        <v>160</v>
      </c>
      <c r="D7527" s="510">
        <v>0.24</v>
      </c>
      <c r="E7527" s="461" t="s">
        <v>3867</v>
      </c>
    </row>
    <row r="7528" spans="1:5" ht="27" x14ac:dyDescent="0.25">
      <c r="A7528" s="508">
        <v>100295</v>
      </c>
      <c r="B7528" s="509" t="s">
        <v>1482</v>
      </c>
      <c r="C7528" s="508" t="s">
        <v>160</v>
      </c>
      <c r="D7528" s="510">
        <v>0.65</v>
      </c>
      <c r="E7528" s="461" t="s">
        <v>3867</v>
      </c>
    </row>
    <row r="7529" spans="1:5" ht="27" x14ac:dyDescent="0.25">
      <c r="A7529" s="508">
        <v>100298</v>
      </c>
      <c r="B7529" s="509" t="s">
        <v>1483</v>
      </c>
      <c r="C7529" s="508" t="s">
        <v>160</v>
      </c>
      <c r="D7529" s="510">
        <v>0.74</v>
      </c>
      <c r="E7529" s="461" t="s">
        <v>3867</v>
      </c>
    </row>
    <row r="7530" spans="1:5" ht="27" x14ac:dyDescent="0.25">
      <c r="A7530" s="508">
        <v>100299</v>
      </c>
      <c r="B7530" s="509" t="s">
        <v>1484</v>
      </c>
      <c r="C7530" s="508" t="s">
        <v>160</v>
      </c>
      <c r="D7530" s="510">
        <v>0.97</v>
      </c>
      <c r="E7530" s="461" t="s">
        <v>3867</v>
      </c>
    </row>
    <row r="7531" spans="1:5" ht="15" x14ac:dyDescent="0.25">
      <c r="A7531" s="508">
        <v>100301</v>
      </c>
      <c r="B7531" s="509" t="s">
        <v>1485</v>
      </c>
      <c r="C7531" s="508" t="s">
        <v>160</v>
      </c>
      <c r="D7531" s="510">
        <v>25.9</v>
      </c>
      <c r="E7531" s="461" t="s">
        <v>4455</v>
      </c>
    </row>
    <row r="7532" spans="1:5" ht="15" x14ac:dyDescent="0.25">
      <c r="A7532" s="508">
        <v>100303</v>
      </c>
      <c r="B7532" s="509" t="s">
        <v>1486</v>
      </c>
      <c r="C7532" s="508" t="s">
        <v>160</v>
      </c>
      <c r="D7532" s="510">
        <v>23.18</v>
      </c>
      <c r="E7532" s="461" t="s">
        <v>4455</v>
      </c>
    </row>
    <row r="7533" spans="1:5" ht="15" x14ac:dyDescent="0.25">
      <c r="A7533" s="508">
        <v>100307</v>
      </c>
      <c r="B7533" s="509" t="s">
        <v>1487</v>
      </c>
      <c r="C7533" s="508" t="s">
        <v>160</v>
      </c>
      <c r="D7533" s="510">
        <v>27.85</v>
      </c>
      <c r="E7533" s="461" t="s">
        <v>4455</v>
      </c>
    </row>
    <row r="7534" spans="1:5" ht="15" x14ac:dyDescent="0.25">
      <c r="A7534" s="508">
        <v>100308</v>
      </c>
      <c r="B7534" s="509" t="s">
        <v>1488</v>
      </c>
      <c r="C7534" s="508" t="s">
        <v>160</v>
      </c>
      <c r="D7534" s="510">
        <v>32.79</v>
      </c>
      <c r="E7534" s="461" t="s">
        <v>4455</v>
      </c>
    </row>
    <row r="7535" spans="1:5" ht="15" x14ac:dyDescent="0.25">
      <c r="A7535" s="508">
        <v>100309</v>
      </c>
      <c r="B7535" s="509" t="s">
        <v>1490</v>
      </c>
      <c r="C7535" s="508" t="s">
        <v>160</v>
      </c>
      <c r="D7535" s="510">
        <v>50.48</v>
      </c>
      <c r="E7535" s="461" t="s">
        <v>4455</v>
      </c>
    </row>
    <row r="7536" spans="1:5" ht="27" x14ac:dyDescent="0.25">
      <c r="A7536" s="508">
        <v>100315</v>
      </c>
      <c r="B7536" s="509" t="s">
        <v>1489</v>
      </c>
      <c r="C7536" s="508" t="s">
        <v>194</v>
      </c>
      <c r="D7536" s="510">
        <v>130.4</v>
      </c>
      <c r="E7536" s="461" t="s">
        <v>3867</v>
      </c>
    </row>
    <row r="7537" spans="1:5" ht="15" x14ac:dyDescent="0.25">
      <c r="A7537" s="508">
        <v>100321</v>
      </c>
      <c r="B7537" s="509" t="s">
        <v>1490</v>
      </c>
      <c r="C7537" s="508" t="s">
        <v>194</v>
      </c>
      <c r="D7537" s="510">
        <v>8967.14</v>
      </c>
      <c r="E7537" s="461" t="s">
        <v>4455</v>
      </c>
    </row>
    <row r="7538" spans="1:5" ht="15" x14ac:dyDescent="0.25">
      <c r="A7538" s="508">
        <v>100533</v>
      </c>
      <c r="B7538" s="509" t="s">
        <v>1920</v>
      </c>
      <c r="C7538" s="508" t="s">
        <v>160</v>
      </c>
      <c r="D7538" s="510">
        <v>19.739999999999998</v>
      </c>
      <c r="E7538" s="461" t="s">
        <v>4455</v>
      </c>
    </row>
    <row r="7539" spans="1:5" ht="15" x14ac:dyDescent="0.25">
      <c r="A7539" s="508">
        <v>100534</v>
      </c>
      <c r="B7539" s="509" t="s">
        <v>1920</v>
      </c>
      <c r="C7539" s="508" t="s">
        <v>194</v>
      </c>
      <c r="D7539" s="510">
        <v>3536.93</v>
      </c>
      <c r="E7539" s="461" t="s">
        <v>4455</v>
      </c>
    </row>
    <row r="7540" spans="1:5" ht="15" x14ac:dyDescent="0.25">
      <c r="A7540" s="508">
        <v>100535</v>
      </c>
      <c r="B7540" s="509" t="s">
        <v>1921</v>
      </c>
      <c r="C7540" s="508" t="s">
        <v>160</v>
      </c>
      <c r="D7540" s="510">
        <v>0.35</v>
      </c>
      <c r="E7540" s="461" t="s">
        <v>3867</v>
      </c>
    </row>
    <row r="7541" spans="1:5" ht="27" x14ac:dyDescent="0.25">
      <c r="A7541" s="508">
        <v>100536</v>
      </c>
      <c r="B7541" s="509" t="s">
        <v>1922</v>
      </c>
      <c r="C7541" s="508" t="s">
        <v>194</v>
      </c>
      <c r="D7541" s="510">
        <v>47.57</v>
      </c>
      <c r="E7541" s="461" t="s">
        <v>3867</v>
      </c>
    </row>
    <row r="7542" spans="1:5" ht="15" x14ac:dyDescent="0.25">
      <c r="A7542" s="508">
        <v>101286</v>
      </c>
      <c r="B7542" s="509" t="s">
        <v>3300</v>
      </c>
      <c r="C7542" s="508" t="s">
        <v>194</v>
      </c>
      <c r="D7542" s="510">
        <v>27.06</v>
      </c>
      <c r="E7542" s="461" t="s">
        <v>3867</v>
      </c>
    </row>
    <row r="7543" spans="1:5" ht="27" x14ac:dyDescent="0.25">
      <c r="A7543" s="508">
        <v>101287</v>
      </c>
      <c r="B7543" s="509" t="s">
        <v>3301</v>
      </c>
      <c r="C7543" s="508" t="s">
        <v>194</v>
      </c>
      <c r="D7543" s="510">
        <v>87.51</v>
      </c>
      <c r="E7543" s="461" t="s">
        <v>3867</v>
      </c>
    </row>
    <row r="7544" spans="1:5" ht="27" x14ac:dyDescent="0.25">
      <c r="A7544" s="508">
        <v>101288</v>
      </c>
      <c r="B7544" s="509" t="s">
        <v>3302</v>
      </c>
      <c r="C7544" s="508" t="s">
        <v>194</v>
      </c>
      <c r="D7544" s="510">
        <v>27.06</v>
      </c>
      <c r="E7544" s="461" t="s">
        <v>3867</v>
      </c>
    </row>
    <row r="7545" spans="1:5" ht="27" x14ac:dyDescent="0.25">
      <c r="A7545" s="508">
        <v>101289</v>
      </c>
      <c r="B7545" s="509" t="s">
        <v>3303</v>
      </c>
      <c r="C7545" s="508" t="s">
        <v>194</v>
      </c>
      <c r="D7545" s="510">
        <v>26.94</v>
      </c>
      <c r="E7545" s="461" t="s">
        <v>3867</v>
      </c>
    </row>
    <row r="7546" spans="1:5" ht="15" x14ac:dyDescent="0.25">
      <c r="A7546" s="508">
        <v>101290</v>
      </c>
      <c r="B7546" s="509" t="s">
        <v>3304</v>
      </c>
      <c r="C7546" s="508" t="s">
        <v>194</v>
      </c>
      <c r="D7546" s="510">
        <v>34.6</v>
      </c>
      <c r="E7546" s="461" t="s">
        <v>3867</v>
      </c>
    </row>
    <row r="7547" spans="1:5" ht="27" x14ac:dyDescent="0.25">
      <c r="A7547" s="508">
        <v>101291</v>
      </c>
      <c r="B7547" s="509" t="s">
        <v>3305</v>
      </c>
      <c r="C7547" s="508" t="s">
        <v>194</v>
      </c>
      <c r="D7547" s="510">
        <v>27.06</v>
      </c>
      <c r="E7547" s="461" t="s">
        <v>3867</v>
      </c>
    </row>
    <row r="7548" spans="1:5" ht="27" x14ac:dyDescent="0.25">
      <c r="A7548" s="508">
        <v>101292</v>
      </c>
      <c r="B7548" s="509" t="s">
        <v>3306</v>
      </c>
      <c r="C7548" s="508" t="s">
        <v>194</v>
      </c>
      <c r="D7548" s="510">
        <v>26.94</v>
      </c>
      <c r="E7548" s="461" t="s">
        <v>3867</v>
      </c>
    </row>
    <row r="7549" spans="1:5" ht="15" x14ac:dyDescent="0.25">
      <c r="A7549" s="508">
        <v>101293</v>
      </c>
      <c r="B7549" s="509" t="s">
        <v>3307</v>
      </c>
      <c r="C7549" s="508" t="s">
        <v>194</v>
      </c>
      <c r="D7549" s="510">
        <v>38.630000000000003</v>
      </c>
      <c r="E7549" s="461" t="s">
        <v>3867</v>
      </c>
    </row>
    <row r="7550" spans="1:5" ht="27" x14ac:dyDescent="0.25">
      <c r="A7550" s="508">
        <v>101294</v>
      </c>
      <c r="B7550" s="509" t="s">
        <v>3308</v>
      </c>
      <c r="C7550" s="508" t="s">
        <v>194</v>
      </c>
      <c r="D7550" s="510">
        <v>39.31</v>
      </c>
      <c r="E7550" s="461" t="s">
        <v>3867</v>
      </c>
    </row>
    <row r="7551" spans="1:5" ht="27" x14ac:dyDescent="0.25">
      <c r="A7551" s="508">
        <v>101295</v>
      </c>
      <c r="B7551" s="509" t="s">
        <v>3309</v>
      </c>
      <c r="C7551" s="508" t="s">
        <v>194</v>
      </c>
      <c r="D7551" s="510">
        <v>32.159999999999997</v>
      </c>
      <c r="E7551" s="461" t="s">
        <v>3867</v>
      </c>
    </row>
    <row r="7552" spans="1:5" ht="27" x14ac:dyDescent="0.25">
      <c r="A7552" s="508">
        <v>101296</v>
      </c>
      <c r="B7552" s="509" t="s">
        <v>3310</v>
      </c>
      <c r="C7552" s="508" t="s">
        <v>194</v>
      </c>
      <c r="D7552" s="510">
        <v>42.17</v>
      </c>
      <c r="E7552" s="461" t="s">
        <v>3867</v>
      </c>
    </row>
    <row r="7553" spans="1:5" ht="27" x14ac:dyDescent="0.25">
      <c r="A7553" s="508">
        <v>101297</v>
      </c>
      <c r="B7553" s="509" t="s">
        <v>3311</v>
      </c>
      <c r="C7553" s="508" t="s">
        <v>194</v>
      </c>
      <c r="D7553" s="510">
        <v>40.15</v>
      </c>
      <c r="E7553" s="461" t="s">
        <v>3867</v>
      </c>
    </row>
    <row r="7554" spans="1:5" ht="15" x14ac:dyDescent="0.25">
      <c r="A7554" s="508">
        <v>101298</v>
      </c>
      <c r="B7554" s="509" t="s">
        <v>3312</v>
      </c>
      <c r="C7554" s="508" t="s">
        <v>194</v>
      </c>
      <c r="D7554" s="510">
        <v>27.06</v>
      </c>
      <c r="E7554" s="461" t="s">
        <v>3867</v>
      </c>
    </row>
    <row r="7555" spans="1:5" ht="15" x14ac:dyDescent="0.25">
      <c r="A7555" s="508">
        <v>101299</v>
      </c>
      <c r="B7555" s="509" t="s">
        <v>3313</v>
      </c>
      <c r="C7555" s="508" t="s">
        <v>194</v>
      </c>
      <c r="D7555" s="510">
        <v>34.6</v>
      </c>
      <c r="E7555" s="461" t="s">
        <v>3867</v>
      </c>
    </row>
    <row r="7556" spans="1:5" ht="27" x14ac:dyDescent="0.25">
      <c r="A7556" s="508">
        <v>101300</v>
      </c>
      <c r="B7556" s="509" t="s">
        <v>3314</v>
      </c>
      <c r="C7556" s="508" t="s">
        <v>194</v>
      </c>
      <c r="D7556" s="510">
        <v>25.54</v>
      </c>
      <c r="E7556" s="461" t="s">
        <v>3867</v>
      </c>
    </row>
    <row r="7557" spans="1:5" ht="27" x14ac:dyDescent="0.25">
      <c r="A7557" s="508">
        <v>101301</v>
      </c>
      <c r="B7557" s="509" t="s">
        <v>3315</v>
      </c>
      <c r="C7557" s="508" t="s">
        <v>194</v>
      </c>
      <c r="D7557" s="510">
        <v>12.52</v>
      </c>
      <c r="E7557" s="461" t="s">
        <v>3867</v>
      </c>
    </row>
    <row r="7558" spans="1:5" ht="27" x14ac:dyDescent="0.25">
      <c r="A7558" s="508">
        <v>101302</v>
      </c>
      <c r="B7558" s="509" t="s">
        <v>3316</v>
      </c>
      <c r="C7558" s="508" t="s">
        <v>194</v>
      </c>
      <c r="D7558" s="510">
        <v>40.31</v>
      </c>
      <c r="E7558" s="461" t="s">
        <v>3867</v>
      </c>
    </row>
    <row r="7559" spans="1:5" ht="27" x14ac:dyDescent="0.25">
      <c r="A7559" s="508">
        <v>101303</v>
      </c>
      <c r="B7559" s="509" t="s">
        <v>3317</v>
      </c>
      <c r="C7559" s="508" t="s">
        <v>194</v>
      </c>
      <c r="D7559" s="510">
        <v>87.52</v>
      </c>
      <c r="E7559" s="461" t="s">
        <v>3867</v>
      </c>
    </row>
    <row r="7560" spans="1:5" ht="27" x14ac:dyDescent="0.25">
      <c r="A7560" s="508">
        <v>101304</v>
      </c>
      <c r="B7560" s="509" t="s">
        <v>3318</v>
      </c>
      <c r="C7560" s="508" t="s">
        <v>194</v>
      </c>
      <c r="D7560" s="510">
        <v>49.4</v>
      </c>
      <c r="E7560" s="461" t="s">
        <v>3867</v>
      </c>
    </row>
    <row r="7561" spans="1:5" ht="27" x14ac:dyDescent="0.25">
      <c r="A7561" s="508">
        <v>101305</v>
      </c>
      <c r="B7561" s="509" t="s">
        <v>3319</v>
      </c>
      <c r="C7561" s="508" t="s">
        <v>194</v>
      </c>
      <c r="D7561" s="510">
        <v>42.8</v>
      </c>
      <c r="E7561" s="461" t="s">
        <v>3867</v>
      </c>
    </row>
    <row r="7562" spans="1:5" ht="15" x14ac:dyDescent="0.25">
      <c r="A7562" s="508">
        <v>101307</v>
      </c>
      <c r="B7562" s="509" t="s">
        <v>3320</v>
      </c>
      <c r="C7562" s="508" t="s">
        <v>194</v>
      </c>
      <c r="D7562" s="510">
        <v>34.99</v>
      </c>
      <c r="E7562" s="461" t="s">
        <v>3867</v>
      </c>
    </row>
    <row r="7563" spans="1:5" ht="27" x14ac:dyDescent="0.25">
      <c r="A7563" s="508">
        <v>101308</v>
      </c>
      <c r="B7563" s="509" t="s">
        <v>3321</v>
      </c>
      <c r="C7563" s="508" t="s">
        <v>194</v>
      </c>
      <c r="D7563" s="510">
        <v>31.14</v>
      </c>
      <c r="E7563" s="461" t="s">
        <v>3867</v>
      </c>
    </row>
    <row r="7564" spans="1:5" ht="15" x14ac:dyDescent="0.25">
      <c r="A7564" s="508">
        <v>101309</v>
      </c>
      <c r="B7564" s="509" t="s">
        <v>3322</v>
      </c>
      <c r="C7564" s="508" t="s">
        <v>194</v>
      </c>
      <c r="D7564" s="510">
        <v>34.6</v>
      </c>
      <c r="E7564" s="461" t="s">
        <v>3867</v>
      </c>
    </row>
    <row r="7565" spans="1:5" ht="27" x14ac:dyDescent="0.25">
      <c r="A7565" s="508">
        <v>101310</v>
      </c>
      <c r="B7565" s="509" t="s">
        <v>3323</v>
      </c>
      <c r="C7565" s="508" t="s">
        <v>194</v>
      </c>
      <c r="D7565" s="510">
        <v>46.51</v>
      </c>
      <c r="E7565" s="461" t="s">
        <v>3867</v>
      </c>
    </row>
    <row r="7566" spans="1:5" ht="27" x14ac:dyDescent="0.25">
      <c r="A7566" s="508">
        <v>101311</v>
      </c>
      <c r="B7566" s="509" t="s">
        <v>3324</v>
      </c>
      <c r="C7566" s="508" t="s">
        <v>194</v>
      </c>
      <c r="D7566" s="510">
        <v>38.630000000000003</v>
      </c>
      <c r="E7566" s="461" t="s">
        <v>3867</v>
      </c>
    </row>
    <row r="7567" spans="1:5" ht="27" x14ac:dyDescent="0.25">
      <c r="A7567" s="508">
        <v>101312</v>
      </c>
      <c r="B7567" s="509" t="s">
        <v>3325</v>
      </c>
      <c r="C7567" s="508" t="s">
        <v>194</v>
      </c>
      <c r="D7567" s="510">
        <v>31.38</v>
      </c>
      <c r="E7567" s="461" t="s">
        <v>3867</v>
      </c>
    </row>
    <row r="7568" spans="1:5" ht="15" x14ac:dyDescent="0.25">
      <c r="A7568" s="508">
        <v>101313</v>
      </c>
      <c r="B7568" s="509" t="s">
        <v>3326</v>
      </c>
      <c r="C7568" s="508" t="s">
        <v>194</v>
      </c>
      <c r="D7568" s="510">
        <v>124.92</v>
      </c>
      <c r="E7568" s="461" t="s">
        <v>3867</v>
      </c>
    </row>
    <row r="7569" spans="1:5" ht="15" x14ac:dyDescent="0.25">
      <c r="A7569" s="508">
        <v>101315</v>
      </c>
      <c r="B7569" s="509" t="s">
        <v>3327</v>
      </c>
      <c r="C7569" s="508" t="s">
        <v>194</v>
      </c>
      <c r="D7569" s="510">
        <v>134.16</v>
      </c>
      <c r="E7569" s="461" t="s">
        <v>3867</v>
      </c>
    </row>
    <row r="7570" spans="1:5" ht="27" x14ac:dyDescent="0.25">
      <c r="A7570" s="508">
        <v>101316</v>
      </c>
      <c r="B7570" s="509" t="s">
        <v>3328</v>
      </c>
      <c r="C7570" s="508" t="s">
        <v>194</v>
      </c>
      <c r="D7570" s="510">
        <v>60.2</v>
      </c>
      <c r="E7570" s="461" t="s">
        <v>3867</v>
      </c>
    </row>
    <row r="7571" spans="1:5" ht="15" x14ac:dyDescent="0.25">
      <c r="A7571" s="508">
        <v>101320</v>
      </c>
      <c r="B7571" s="509" t="s">
        <v>3329</v>
      </c>
      <c r="C7571" s="508" t="s">
        <v>194</v>
      </c>
      <c r="D7571" s="510">
        <v>22.95</v>
      </c>
      <c r="E7571" s="461" t="s">
        <v>3867</v>
      </c>
    </row>
    <row r="7572" spans="1:5" ht="15" x14ac:dyDescent="0.25">
      <c r="A7572" s="508">
        <v>101322</v>
      </c>
      <c r="B7572" s="509" t="s">
        <v>3330</v>
      </c>
      <c r="C7572" s="508" t="s">
        <v>194</v>
      </c>
      <c r="D7572" s="510">
        <v>38.630000000000003</v>
      </c>
      <c r="E7572" s="461" t="s">
        <v>3867</v>
      </c>
    </row>
    <row r="7573" spans="1:5" ht="15" x14ac:dyDescent="0.25">
      <c r="A7573" s="508">
        <v>101323</v>
      </c>
      <c r="B7573" s="509" t="s">
        <v>3331</v>
      </c>
      <c r="C7573" s="508" t="s">
        <v>194</v>
      </c>
      <c r="D7573" s="510">
        <v>70.97</v>
      </c>
      <c r="E7573" s="461" t="s">
        <v>3867</v>
      </c>
    </row>
    <row r="7574" spans="1:5" ht="27" x14ac:dyDescent="0.25">
      <c r="A7574" s="508">
        <v>101324</v>
      </c>
      <c r="B7574" s="509" t="s">
        <v>3332</v>
      </c>
      <c r="C7574" s="508" t="s">
        <v>194</v>
      </c>
      <c r="D7574" s="510">
        <v>17.02</v>
      </c>
      <c r="E7574" s="461" t="s">
        <v>3867</v>
      </c>
    </row>
    <row r="7575" spans="1:5" ht="27" x14ac:dyDescent="0.25">
      <c r="A7575" s="508">
        <v>101325</v>
      </c>
      <c r="B7575" s="509" t="s">
        <v>3333</v>
      </c>
      <c r="C7575" s="508" t="s">
        <v>194</v>
      </c>
      <c r="D7575" s="510">
        <v>38.57</v>
      </c>
      <c r="E7575" s="461" t="s">
        <v>3867</v>
      </c>
    </row>
    <row r="7576" spans="1:5" ht="15" x14ac:dyDescent="0.25">
      <c r="A7576" s="508">
        <v>101326</v>
      </c>
      <c r="B7576" s="509" t="s">
        <v>3334</v>
      </c>
      <c r="C7576" s="508" t="s">
        <v>194</v>
      </c>
      <c r="D7576" s="510">
        <v>14.65</v>
      </c>
      <c r="E7576" s="461" t="s">
        <v>3867</v>
      </c>
    </row>
    <row r="7577" spans="1:5" ht="27" x14ac:dyDescent="0.25">
      <c r="A7577" s="508">
        <v>101328</v>
      </c>
      <c r="B7577" s="509" t="s">
        <v>3335</v>
      </c>
      <c r="C7577" s="508" t="s">
        <v>194</v>
      </c>
      <c r="D7577" s="510">
        <v>20.38</v>
      </c>
      <c r="E7577" s="461" t="s">
        <v>3867</v>
      </c>
    </row>
    <row r="7578" spans="1:5" ht="15" x14ac:dyDescent="0.25">
      <c r="A7578" s="508">
        <v>101329</v>
      </c>
      <c r="B7578" s="509" t="s">
        <v>3336</v>
      </c>
      <c r="C7578" s="508" t="s">
        <v>194</v>
      </c>
      <c r="D7578" s="510">
        <v>58.69</v>
      </c>
      <c r="E7578" s="461" t="s">
        <v>3867</v>
      </c>
    </row>
    <row r="7579" spans="1:5" ht="15" x14ac:dyDescent="0.25">
      <c r="A7579" s="508">
        <v>101330</v>
      </c>
      <c r="B7579" s="509" t="s">
        <v>3337</v>
      </c>
      <c r="C7579" s="508" t="s">
        <v>194</v>
      </c>
      <c r="D7579" s="510">
        <v>45.78</v>
      </c>
      <c r="E7579" s="461" t="s">
        <v>3867</v>
      </c>
    </row>
    <row r="7580" spans="1:5" ht="27" x14ac:dyDescent="0.25">
      <c r="A7580" s="508">
        <v>101331</v>
      </c>
      <c r="B7580" s="509" t="s">
        <v>3338</v>
      </c>
      <c r="C7580" s="508" t="s">
        <v>194</v>
      </c>
      <c r="D7580" s="510">
        <v>49.4</v>
      </c>
      <c r="E7580" s="461" t="s">
        <v>3867</v>
      </c>
    </row>
    <row r="7581" spans="1:5" ht="27" x14ac:dyDescent="0.25">
      <c r="A7581" s="508">
        <v>101332</v>
      </c>
      <c r="B7581" s="509" t="s">
        <v>3339</v>
      </c>
      <c r="C7581" s="508" t="s">
        <v>194</v>
      </c>
      <c r="D7581" s="510">
        <v>14.67</v>
      </c>
      <c r="E7581" s="461" t="s">
        <v>3867</v>
      </c>
    </row>
    <row r="7582" spans="1:5" ht="27" x14ac:dyDescent="0.25">
      <c r="A7582" s="508">
        <v>101333</v>
      </c>
      <c r="B7582" s="509" t="s">
        <v>3340</v>
      </c>
      <c r="C7582" s="508" t="s">
        <v>194</v>
      </c>
      <c r="D7582" s="510">
        <v>35.270000000000003</v>
      </c>
      <c r="E7582" s="461" t="s">
        <v>3867</v>
      </c>
    </row>
    <row r="7583" spans="1:5" ht="27" x14ac:dyDescent="0.25">
      <c r="A7583" s="508">
        <v>101334</v>
      </c>
      <c r="B7583" s="509" t="s">
        <v>3341</v>
      </c>
      <c r="C7583" s="508" t="s">
        <v>194</v>
      </c>
      <c r="D7583" s="510">
        <v>98.98</v>
      </c>
      <c r="E7583" s="461" t="s">
        <v>3867</v>
      </c>
    </row>
    <row r="7584" spans="1:5" ht="27" x14ac:dyDescent="0.25">
      <c r="A7584" s="508">
        <v>101336</v>
      </c>
      <c r="B7584" s="509" t="s">
        <v>3342</v>
      </c>
      <c r="C7584" s="508" t="s">
        <v>194</v>
      </c>
      <c r="D7584" s="510">
        <v>55.77</v>
      </c>
      <c r="E7584" s="461" t="s">
        <v>3867</v>
      </c>
    </row>
    <row r="7585" spans="1:5" ht="15" x14ac:dyDescent="0.25">
      <c r="A7585" s="508">
        <v>101337</v>
      </c>
      <c r="B7585" s="509" t="s">
        <v>3343</v>
      </c>
      <c r="C7585" s="508" t="s">
        <v>194</v>
      </c>
      <c r="D7585" s="510">
        <v>19.489999999999998</v>
      </c>
      <c r="E7585" s="461" t="s">
        <v>3867</v>
      </c>
    </row>
    <row r="7586" spans="1:5" ht="27" x14ac:dyDescent="0.25">
      <c r="A7586" s="508">
        <v>101338</v>
      </c>
      <c r="B7586" s="509" t="s">
        <v>3344</v>
      </c>
      <c r="C7586" s="508" t="s">
        <v>194</v>
      </c>
      <c r="D7586" s="510">
        <v>24.86</v>
      </c>
      <c r="E7586" s="461" t="s">
        <v>3867</v>
      </c>
    </row>
    <row r="7587" spans="1:5" ht="27" x14ac:dyDescent="0.25">
      <c r="A7587" s="508">
        <v>101339</v>
      </c>
      <c r="B7587" s="509" t="s">
        <v>3345</v>
      </c>
      <c r="C7587" s="508" t="s">
        <v>194</v>
      </c>
      <c r="D7587" s="510">
        <v>22.97</v>
      </c>
      <c r="E7587" s="461" t="s">
        <v>3867</v>
      </c>
    </row>
    <row r="7588" spans="1:5" ht="27" x14ac:dyDescent="0.25">
      <c r="A7588" s="508">
        <v>101340</v>
      </c>
      <c r="B7588" s="509" t="s">
        <v>3346</v>
      </c>
      <c r="C7588" s="508" t="s">
        <v>194</v>
      </c>
      <c r="D7588" s="510">
        <v>22.95</v>
      </c>
      <c r="E7588" s="461" t="s">
        <v>3867</v>
      </c>
    </row>
    <row r="7589" spans="1:5" ht="27" x14ac:dyDescent="0.25">
      <c r="A7589" s="508">
        <v>101341</v>
      </c>
      <c r="B7589" s="509" t="s">
        <v>3347</v>
      </c>
      <c r="C7589" s="508" t="s">
        <v>194</v>
      </c>
      <c r="D7589" s="510">
        <v>19.100000000000001</v>
      </c>
      <c r="E7589" s="461" t="s">
        <v>3867</v>
      </c>
    </row>
    <row r="7590" spans="1:5" ht="27" x14ac:dyDescent="0.25">
      <c r="A7590" s="508">
        <v>101342</v>
      </c>
      <c r="B7590" s="509" t="s">
        <v>3348</v>
      </c>
      <c r="C7590" s="508" t="s">
        <v>194</v>
      </c>
      <c r="D7590" s="510">
        <v>22.97</v>
      </c>
      <c r="E7590" s="461" t="s">
        <v>3867</v>
      </c>
    </row>
    <row r="7591" spans="1:5" ht="27" x14ac:dyDescent="0.25">
      <c r="A7591" s="508">
        <v>101343</v>
      </c>
      <c r="B7591" s="509" t="s">
        <v>3349</v>
      </c>
      <c r="C7591" s="508" t="s">
        <v>194</v>
      </c>
      <c r="D7591" s="510">
        <v>38.630000000000003</v>
      </c>
      <c r="E7591" s="461" t="s">
        <v>3867</v>
      </c>
    </row>
    <row r="7592" spans="1:5" ht="27" x14ac:dyDescent="0.25">
      <c r="A7592" s="508">
        <v>101344</v>
      </c>
      <c r="B7592" s="509" t="s">
        <v>3350</v>
      </c>
      <c r="C7592" s="508" t="s">
        <v>194</v>
      </c>
      <c r="D7592" s="510">
        <v>45.2</v>
      </c>
      <c r="E7592" s="461" t="s">
        <v>3867</v>
      </c>
    </row>
    <row r="7593" spans="1:5" ht="27" x14ac:dyDescent="0.25">
      <c r="A7593" s="508">
        <v>101345</v>
      </c>
      <c r="B7593" s="509" t="s">
        <v>3351</v>
      </c>
      <c r="C7593" s="508" t="s">
        <v>194</v>
      </c>
      <c r="D7593" s="510">
        <v>45.2</v>
      </c>
      <c r="E7593" s="461" t="s">
        <v>3867</v>
      </c>
    </row>
    <row r="7594" spans="1:5" ht="27" x14ac:dyDescent="0.25">
      <c r="A7594" s="508">
        <v>101346</v>
      </c>
      <c r="B7594" s="509" t="s">
        <v>3352</v>
      </c>
      <c r="C7594" s="508" t="s">
        <v>194</v>
      </c>
      <c r="D7594" s="510">
        <v>28.18</v>
      </c>
      <c r="E7594" s="461" t="s">
        <v>3867</v>
      </c>
    </row>
    <row r="7595" spans="1:5" ht="15.75" customHeight="1" x14ac:dyDescent="0.25">
      <c r="A7595" s="508">
        <v>101347</v>
      </c>
      <c r="B7595" s="509" t="s">
        <v>3353</v>
      </c>
      <c r="C7595" s="508" t="s">
        <v>194</v>
      </c>
      <c r="D7595" s="510">
        <v>31.86</v>
      </c>
      <c r="E7595" s="461" t="s">
        <v>3867</v>
      </c>
    </row>
    <row r="7596" spans="1:5" ht="25.5" x14ac:dyDescent="0.2">
      <c r="A7596" s="201">
        <v>101348</v>
      </c>
      <c r="B7596" s="201" t="s">
        <v>3354</v>
      </c>
      <c r="C7596" s="201" t="s">
        <v>194</v>
      </c>
      <c r="D7596" s="201">
        <v>22.95</v>
      </c>
      <c r="E7596" s="326" t="s">
        <v>3867</v>
      </c>
    </row>
    <row r="7597" spans="1:5" ht="27" x14ac:dyDescent="0.2">
      <c r="A7597" s="512">
        <v>101349</v>
      </c>
      <c r="B7597" s="512" t="s">
        <v>3355</v>
      </c>
      <c r="C7597" s="512" t="s">
        <v>194</v>
      </c>
      <c r="D7597" s="513">
        <v>40.89</v>
      </c>
      <c r="E7597" s="514" t="s">
        <v>3867</v>
      </c>
    </row>
    <row r="7598" spans="1:5" ht="27" x14ac:dyDescent="0.2">
      <c r="A7598" s="512">
        <v>101350</v>
      </c>
      <c r="B7598" s="512" t="s">
        <v>3356</v>
      </c>
      <c r="C7598" s="512" t="s">
        <v>194</v>
      </c>
      <c r="D7598" s="513">
        <v>40.89</v>
      </c>
      <c r="E7598" s="514" t="s">
        <v>3867</v>
      </c>
    </row>
    <row r="7599" spans="1:5" ht="25.5" x14ac:dyDescent="0.2">
      <c r="A7599" s="201">
        <v>101351</v>
      </c>
      <c r="B7599" s="201" t="s">
        <v>3357</v>
      </c>
      <c r="C7599" s="201" t="s">
        <v>194</v>
      </c>
      <c r="D7599" s="201">
        <v>22.97</v>
      </c>
      <c r="E7599" s="326" t="s">
        <v>3867</v>
      </c>
    </row>
    <row r="7600" spans="1:5" ht="25.5" x14ac:dyDescent="0.2">
      <c r="A7600" s="201">
        <v>101352</v>
      </c>
      <c r="B7600" s="201" t="s">
        <v>3358</v>
      </c>
      <c r="C7600" s="201" t="s">
        <v>194</v>
      </c>
      <c r="D7600" s="201">
        <v>22.97</v>
      </c>
      <c r="E7600" s="326" t="s">
        <v>3867</v>
      </c>
    </row>
    <row r="7601" spans="1:5" ht="25.5" x14ac:dyDescent="0.2">
      <c r="A7601" s="201">
        <v>101353</v>
      </c>
      <c r="B7601" s="201" t="s">
        <v>3359</v>
      </c>
      <c r="C7601" s="201" t="s">
        <v>194</v>
      </c>
      <c r="D7601" s="201">
        <v>22.95</v>
      </c>
      <c r="E7601" s="326" t="s">
        <v>3867</v>
      </c>
    </row>
    <row r="7602" spans="1:5" ht="25.5" x14ac:dyDescent="0.2">
      <c r="A7602" s="201">
        <v>101355</v>
      </c>
      <c r="B7602" s="201" t="s">
        <v>3360</v>
      </c>
      <c r="C7602" s="201" t="s">
        <v>194</v>
      </c>
      <c r="D7602" s="201">
        <v>40.89</v>
      </c>
      <c r="E7602" s="326" t="s">
        <v>3867</v>
      </c>
    </row>
    <row r="7603" spans="1:5" ht="25.5" x14ac:dyDescent="0.2">
      <c r="A7603" s="201">
        <v>101356</v>
      </c>
      <c r="B7603" s="201" t="s">
        <v>3361</v>
      </c>
      <c r="C7603" s="201" t="s">
        <v>194</v>
      </c>
      <c r="D7603" s="201">
        <v>49.4</v>
      </c>
      <c r="E7603" s="326" t="s">
        <v>3867</v>
      </c>
    </row>
    <row r="7604" spans="1:5" ht="25.5" x14ac:dyDescent="0.2">
      <c r="A7604" s="201">
        <v>101357</v>
      </c>
      <c r="B7604" s="201" t="s">
        <v>3362</v>
      </c>
      <c r="C7604" s="201" t="s">
        <v>194</v>
      </c>
      <c r="D7604" s="201">
        <v>70.97</v>
      </c>
      <c r="E7604" s="326" t="s">
        <v>3867</v>
      </c>
    </row>
    <row r="7605" spans="1:5" ht="25.5" x14ac:dyDescent="0.2">
      <c r="A7605" s="201">
        <v>101358</v>
      </c>
      <c r="B7605" s="201" t="s">
        <v>3363</v>
      </c>
      <c r="C7605" s="201" t="s">
        <v>194</v>
      </c>
      <c r="D7605" s="201">
        <v>49.4</v>
      </c>
      <c r="E7605" s="326" t="s">
        <v>3867</v>
      </c>
    </row>
    <row r="7606" spans="1:5" ht="25.5" x14ac:dyDescent="0.2">
      <c r="A7606" s="201">
        <v>101359</v>
      </c>
      <c r="B7606" s="201" t="s">
        <v>3364</v>
      </c>
      <c r="C7606" s="201" t="s">
        <v>194</v>
      </c>
      <c r="D7606" s="201">
        <v>47.97</v>
      </c>
      <c r="E7606" s="326" t="s">
        <v>3867</v>
      </c>
    </row>
    <row r="7607" spans="1:5" ht="25.5" x14ac:dyDescent="0.2">
      <c r="A7607" s="201">
        <v>101360</v>
      </c>
      <c r="B7607" s="201" t="s">
        <v>3365</v>
      </c>
      <c r="C7607" s="201" t="s">
        <v>194</v>
      </c>
      <c r="D7607" s="201">
        <v>49.4</v>
      </c>
      <c r="E7607" s="326" t="s">
        <v>3867</v>
      </c>
    </row>
    <row r="7608" spans="1:5" ht="25.5" x14ac:dyDescent="0.2">
      <c r="A7608" s="201">
        <v>101361</v>
      </c>
      <c r="B7608" s="201" t="s">
        <v>3366</v>
      </c>
      <c r="C7608" s="201" t="s">
        <v>194</v>
      </c>
      <c r="D7608" s="201">
        <v>58.54</v>
      </c>
      <c r="E7608" s="326" t="s">
        <v>3867</v>
      </c>
    </row>
    <row r="7609" spans="1:5" ht="25.5" x14ac:dyDescent="0.2">
      <c r="A7609" s="201">
        <v>101363</v>
      </c>
      <c r="B7609" s="201" t="s">
        <v>3367</v>
      </c>
      <c r="C7609" s="201" t="s">
        <v>194</v>
      </c>
      <c r="D7609" s="201">
        <v>38.630000000000003</v>
      </c>
      <c r="E7609" s="326" t="s">
        <v>3867</v>
      </c>
    </row>
    <row r="7610" spans="1:5" ht="25.5" x14ac:dyDescent="0.2">
      <c r="A7610" s="201">
        <v>101364</v>
      </c>
      <c r="B7610" s="201" t="s">
        <v>3368</v>
      </c>
      <c r="C7610" s="201" t="s">
        <v>194</v>
      </c>
      <c r="D7610" s="201">
        <v>46.92</v>
      </c>
      <c r="E7610" s="326" t="s">
        <v>3867</v>
      </c>
    </row>
    <row r="7611" spans="1:5" ht="25.5" x14ac:dyDescent="0.2">
      <c r="A7611" s="201">
        <v>101365</v>
      </c>
      <c r="B7611" s="201" t="s">
        <v>3369</v>
      </c>
      <c r="C7611" s="201" t="s">
        <v>194</v>
      </c>
      <c r="D7611" s="201">
        <v>38.630000000000003</v>
      </c>
      <c r="E7611" s="326" t="s">
        <v>3867</v>
      </c>
    </row>
    <row r="7612" spans="1:5" ht="25.5" x14ac:dyDescent="0.2">
      <c r="A7612" s="201">
        <v>101366</v>
      </c>
      <c r="B7612" s="201" t="s">
        <v>3370</v>
      </c>
      <c r="C7612" s="201" t="s">
        <v>194</v>
      </c>
      <c r="D7612" s="201">
        <v>45.4</v>
      </c>
      <c r="E7612" s="326" t="s">
        <v>3867</v>
      </c>
    </row>
    <row r="7613" spans="1:5" ht="25.5" x14ac:dyDescent="0.2">
      <c r="A7613" s="201">
        <v>101368</v>
      </c>
      <c r="B7613" s="201" t="s">
        <v>3371</v>
      </c>
      <c r="C7613" s="201" t="s">
        <v>194</v>
      </c>
      <c r="D7613" s="201">
        <v>62.5</v>
      </c>
      <c r="E7613" s="326" t="s">
        <v>3867</v>
      </c>
    </row>
    <row r="7614" spans="1:5" ht="25.5" x14ac:dyDescent="0.2">
      <c r="A7614" s="201">
        <v>101369</v>
      </c>
      <c r="B7614" s="201" t="s">
        <v>3372</v>
      </c>
      <c r="C7614" s="201" t="s">
        <v>194</v>
      </c>
      <c r="D7614" s="201">
        <v>55.69</v>
      </c>
      <c r="E7614" s="326" t="s">
        <v>3867</v>
      </c>
    </row>
    <row r="7615" spans="1:5" ht="25.5" x14ac:dyDescent="0.2">
      <c r="A7615" s="201">
        <v>101370</v>
      </c>
      <c r="B7615" s="201" t="s">
        <v>3373</v>
      </c>
      <c r="C7615" s="201" t="s">
        <v>194</v>
      </c>
      <c r="D7615" s="201">
        <v>38.17</v>
      </c>
      <c r="E7615" s="326" t="s">
        <v>3867</v>
      </c>
    </row>
    <row r="7616" spans="1:5" ht="25.5" x14ac:dyDescent="0.2">
      <c r="A7616" s="201">
        <v>101371</v>
      </c>
      <c r="B7616" s="201" t="s">
        <v>3374</v>
      </c>
      <c r="C7616" s="201" t="s">
        <v>194</v>
      </c>
      <c r="D7616" s="201">
        <v>44.43</v>
      </c>
      <c r="E7616" s="326" t="s">
        <v>3867</v>
      </c>
    </row>
    <row r="7617" spans="1:5" ht="25.5" x14ac:dyDescent="0.2">
      <c r="A7617" s="201">
        <v>101372</v>
      </c>
      <c r="B7617" s="201" t="s">
        <v>3375</v>
      </c>
      <c r="C7617" s="201" t="s">
        <v>194</v>
      </c>
      <c r="D7617" s="201">
        <v>12</v>
      </c>
      <c r="E7617" s="326" t="s">
        <v>3867</v>
      </c>
    </row>
    <row r="7618" spans="1:5" x14ac:dyDescent="0.2">
      <c r="A7618" s="201">
        <v>101374</v>
      </c>
      <c r="B7618" s="201" t="s">
        <v>928</v>
      </c>
      <c r="C7618" s="201" t="s">
        <v>194</v>
      </c>
      <c r="D7618" s="201">
        <v>4396.5</v>
      </c>
      <c r="E7618" s="326" t="s">
        <v>4455</v>
      </c>
    </row>
    <row r="7619" spans="1:5" x14ac:dyDescent="0.2">
      <c r="A7619" s="201">
        <v>101375</v>
      </c>
      <c r="B7619" s="201" t="s">
        <v>3376</v>
      </c>
      <c r="C7619" s="201" t="s">
        <v>194</v>
      </c>
      <c r="D7619" s="201">
        <v>4454.53</v>
      </c>
      <c r="E7619" s="326" t="s">
        <v>4455</v>
      </c>
    </row>
    <row r="7620" spans="1:5" x14ac:dyDescent="0.2">
      <c r="A7620" s="201">
        <v>101376</v>
      </c>
      <c r="B7620" s="201" t="s">
        <v>3377</v>
      </c>
      <c r="C7620" s="201" t="s">
        <v>194</v>
      </c>
      <c r="D7620" s="201">
        <v>4170.92</v>
      </c>
      <c r="E7620" s="326" t="s">
        <v>4455</v>
      </c>
    </row>
    <row r="7621" spans="1:5" x14ac:dyDescent="0.2">
      <c r="A7621" s="201">
        <v>101377</v>
      </c>
      <c r="B7621" s="201" t="s">
        <v>930</v>
      </c>
      <c r="C7621" s="201" t="s">
        <v>194</v>
      </c>
      <c r="D7621" s="201">
        <v>4384.41</v>
      </c>
      <c r="E7621" s="326" t="s">
        <v>4455</v>
      </c>
    </row>
    <row r="7622" spans="1:5" x14ac:dyDescent="0.2">
      <c r="A7622" s="201">
        <v>101378</v>
      </c>
      <c r="B7622" s="201" t="s">
        <v>1485</v>
      </c>
      <c r="C7622" s="201" t="s">
        <v>194</v>
      </c>
      <c r="D7622" s="201">
        <v>4712.2</v>
      </c>
      <c r="E7622" s="326" t="s">
        <v>4455</v>
      </c>
    </row>
    <row r="7623" spans="1:5" x14ac:dyDescent="0.2">
      <c r="A7623" s="201">
        <v>101379</v>
      </c>
      <c r="B7623" s="201" t="s">
        <v>3378</v>
      </c>
      <c r="C7623" s="201" t="s">
        <v>194</v>
      </c>
      <c r="D7623" s="201">
        <v>4396.5</v>
      </c>
      <c r="E7623" s="326" t="s">
        <v>4455</v>
      </c>
    </row>
    <row r="7624" spans="1:5" x14ac:dyDescent="0.2">
      <c r="A7624" s="201">
        <v>101380</v>
      </c>
      <c r="B7624" s="201" t="s">
        <v>932</v>
      </c>
      <c r="C7624" s="201" t="s">
        <v>194</v>
      </c>
      <c r="D7624" s="201">
        <v>4360.8100000000004</v>
      </c>
      <c r="E7624" s="326" t="s">
        <v>4455</v>
      </c>
    </row>
    <row r="7625" spans="1:5" x14ac:dyDescent="0.2">
      <c r="A7625" s="201">
        <v>101381</v>
      </c>
      <c r="B7625" s="201" t="s">
        <v>933</v>
      </c>
      <c r="C7625" s="201" t="s">
        <v>194</v>
      </c>
      <c r="D7625" s="201">
        <v>5571.96</v>
      </c>
      <c r="E7625" s="326" t="s">
        <v>4455</v>
      </c>
    </row>
    <row r="7626" spans="1:5" x14ac:dyDescent="0.2">
      <c r="A7626" s="201">
        <v>101382</v>
      </c>
      <c r="B7626" s="201" t="s">
        <v>3379</v>
      </c>
      <c r="C7626" s="201" t="s">
        <v>194</v>
      </c>
      <c r="D7626" s="201">
        <v>4553.24</v>
      </c>
      <c r="E7626" s="326" t="s">
        <v>4455</v>
      </c>
    </row>
    <row r="7627" spans="1:5" x14ac:dyDescent="0.2">
      <c r="A7627" s="201">
        <v>101383</v>
      </c>
      <c r="B7627" s="201" t="s">
        <v>1486</v>
      </c>
      <c r="C7627" s="201" t="s">
        <v>194</v>
      </c>
      <c r="D7627" s="201">
        <v>4209.3999999999996</v>
      </c>
      <c r="E7627" s="326" t="s">
        <v>4455</v>
      </c>
    </row>
    <row r="7628" spans="1:5" x14ac:dyDescent="0.2">
      <c r="A7628" s="201">
        <v>101384</v>
      </c>
      <c r="B7628" s="201" t="s">
        <v>104</v>
      </c>
      <c r="C7628" s="201" t="s">
        <v>194</v>
      </c>
      <c r="D7628" s="201">
        <v>4281.53</v>
      </c>
      <c r="E7628" s="326" t="s">
        <v>4455</v>
      </c>
    </row>
    <row r="7629" spans="1:5" x14ac:dyDescent="0.2">
      <c r="A7629" s="201">
        <v>101385</v>
      </c>
      <c r="B7629" s="201" t="s">
        <v>3380</v>
      </c>
      <c r="C7629" s="201" t="s">
        <v>194</v>
      </c>
      <c r="D7629" s="201">
        <v>6067.01</v>
      </c>
      <c r="E7629" s="326" t="s">
        <v>4455</v>
      </c>
    </row>
    <row r="7630" spans="1:5" x14ac:dyDescent="0.2">
      <c r="A7630" s="201">
        <v>101386</v>
      </c>
      <c r="B7630" s="201" t="s">
        <v>936</v>
      </c>
      <c r="C7630" s="201" t="s">
        <v>194</v>
      </c>
      <c r="D7630" s="201">
        <v>4170.92</v>
      </c>
      <c r="E7630" s="326" t="s">
        <v>4455</v>
      </c>
    </row>
    <row r="7631" spans="1:5" x14ac:dyDescent="0.2">
      <c r="A7631" s="201">
        <v>101387</v>
      </c>
      <c r="B7631" s="201" t="s">
        <v>3381</v>
      </c>
      <c r="C7631" s="201" t="s">
        <v>194</v>
      </c>
      <c r="D7631" s="201">
        <v>4404.04</v>
      </c>
      <c r="E7631" s="326" t="s">
        <v>4455</v>
      </c>
    </row>
    <row r="7632" spans="1:5" x14ac:dyDescent="0.2">
      <c r="A7632" s="201">
        <v>101388</v>
      </c>
      <c r="B7632" s="201" t="s">
        <v>937</v>
      </c>
      <c r="C7632" s="201" t="s">
        <v>194</v>
      </c>
      <c r="D7632" s="201">
        <v>4218.4799999999996</v>
      </c>
      <c r="E7632" s="326" t="s">
        <v>4455</v>
      </c>
    </row>
    <row r="7633" spans="1:5" x14ac:dyDescent="0.2">
      <c r="A7633" s="201">
        <v>101389</v>
      </c>
      <c r="B7633" s="201" t="s">
        <v>938</v>
      </c>
      <c r="C7633" s="201" t="s">
        <v>194</v>
      </c>
      <c r="D7633" s="201">
        <v>2166.77</v>
      </c>
      <c r="E7633" s="326" t="s">
        <v>4455</v>
      </c>
    </row>
    <row r="7634" spans="1:5" x14ac:dyDescent="0.2">
      <c r="A7634" s="201">
        <v>101390</v>
      </c>
      <c r="B7634" s="201" t="s">
        <v>3382</v>
      </c>
      <c r="C7634" s="201" t="s">
        <v>194</v>
      </c>
      <c r="D7634" s="201">
        <v>6072.73</v>
      </c>
      <c r="E7634" s="326" t="s">
        <v>4455</v>
      </c>
    </row>
    <row r="7635" spans="1:5" x14ac:dyDescent="0.2">
      <c r="A7635" s="201">
        <v>101391</v>
      </c>
      <c r="B7635" s="201" t="s">
        <v>3383</v>
      </c>
      <c r="C7635" s="201" t="s">
        <v>194</v>
      </c>
      <c r="D7635" s="201">
        <v>5582.73</v>
      </c>
      <c r="E7635" s="326" t="s">
        <v>4455</v>
      </c>
    </row>
    <row r="7636" spans="1:5" x14ac:dyDescent="0.2">
      <c r="A7636" s="201">
        <v>101392</v>
      </c>
      <c r="B7636" s="201" t="s">
        <v>3384</v>
      </c>
      <c r="C7636" s="201" t="s">
        <v>194</v>
      </c>
      <c r="D7636" s="201">
        <v>4226.96</v>
      </c>
      <c r="E7636" s="326" t="s">
        <v>4455</v>
      </c>
    </row>
    <row r="7637" spans="1:5" x14ac:dyDescent="0.2">
      <c r="A7637" s="201">
        <v>101394</v>
      </c>
      <c r="B7637" s="201" t="s">
        <v>175</v>
      </c>
      <c r="C7637" s="201" t="s">
        <v>194</v>
      </c>
      <c r="D7637" s="201">
        <v>5201.95</v>
      </c>
      <c r="E7637" s="326" t="s">
        <v>4455</v>
      </c>
    </row>
    <row r="7638" spans="1:5" x14ac:dyDescent="0.2">
      <c r="A7638" s="201">
        <v>101395</v>
      </c>
      <c r="B7638" s="201" t="s">
        <v>3385</v>
      </c>
      <c r="C7638" s="201" t="s">
        <v>194</v>
      </c>
      <c r="D7638" s="201">
        <v>4377.71</v>
      </c>
      <c r="E7638" s="326" t="s">
        <v>4455</v>
      </c>
    </row>
    <row r="7639" spans="1:5" x14ac:dyDescent="0.2">
      <c r="A7639" s="201">
        <v>101396</v>
      </c>
      <c r="B7639" s="201" t="s">
        <v>3386</v>
      </c>
      <c r="C7639" s="201" t="s">
        <v>194</v>
      </c>
      <c r="D7639" s="201">
        <v>5326.71</v>
      </c>
      <c r="E7639" s="326" t="s">
        <v>4455</v>
      </c>
    </row>
    <row r="7640" spans="1:5" x14ac:dyDescent="0.2">
      <c r="A7640" s="201">
        <v>101397</v>
      </c>
      <c r="B7640" s="201" t="s">
        <v>132</v>
      </c>
      <c r="C7640" s="201" t="s">
        <v>194</v>
      </c>
      <c r="D7640" s="201">
        <v>5545.63</v>
      </c>
      <c r="E7640" s="326" t="s">
        <v>4455</v>
      </c>
    </row>
    <row r="7641" spans="1:5" x14ac:dyDescent="0.2">
      <c r="A7641" s="201">
        <v>101398</v>
      </c>
      <c r="B7641" s="201" t="s">
        <v>3387</v>
      </c>
      <c r="C7641" s="201" t="s">
        <v>194</v>
      </c>
      <c r="D7641" s="201">
        <v>4609.57</v>
      </c>
      <c r="E7641" s="326" t="s">
        <v>4455</v>
      </c>
    </row>
    <row r="7642" spans="1:5" x14ac:dyDescent="0.2">
      <c r="A7642" s="201">
        <v>101399</v>
      </c>
      <c r="B7642" s="201" t="s">
        <v>111</v>
      </c>
      <c r="C7642" s="201" t="s">
        <v>194</v>
      </c>
      <c r="D7642" s="201">
        <v>5655.83</v>
      </c>
      <c r="E7642" s="326" t="s">
        <v>4455</v>
      </c>
    </row>
    <row r="7643" spans="1:5" x14ac:dyDescent="0.2">
      <c r="A7643" s="201">
        <v>101401</v>
      </c>
      <c r="B7643" s="201" t="s">
        <v>942</v>
      </c>
      <c r="C7643" s="201" t="s">
        <v>194</v>
      </c>
      <c r="D7643" s="201">
        <v>6824.04</v>
      </c>
      <c r="E7643" s="326" t="s">
        <v>4455</v>
      </c>
    </row>
    <row r="7644" spans="1:5" x14ac:dyDescent="0.2">
      <c r="A7644" s="201">
        <v>101402</v>
      </c>
      <c r="B7644" s="201" t="s">
        <v>105</v>
      </c>
      <c r="C7644" s="201" t="s">
        <v>194</v>
      </c>
      <c r="D7644" s="201">
        <v>5463.45</v>
      </c>
      <c r="E7644" s="326" t="s">
        <v>4455</v>
      </c>
    </row>
    <row r="7645" spans="1:5" x14ac:dyDescent="0.2">
      <c r="A7645" s="201">
        <v>101407</v>
      </c>
      <c r="B7645" s="201" t="s">
        <v>943</v>
      </c>
      <c r="C7645" s="201" t="s">
        <v>194</v>
      </c>
      <c r="D7645" s="201">
        <v>5571.96</v>
      </c>
      <c r="E7645" s="326" t="s">
        <v>4455</v>
      </c>
    </row>
    <row r="7646" spans="1:5" x14ac:dyDescent="0.2">
      <c r="A7646" s="201">
        <v>101408</v>
      </c>
      <c r="B7646" s="201" t="s">
        <v>944</v>
      </c>
      <c r="C7646" s="201" t="s">
        <v>194</v>
      </c>
      <c r="D7646" s="201">
        <v>5604.3</v>
      </c>
      <c r="E7646" s="326" t="s">
        <v>4455</v>
      </c>
    </row>
    <row r="7647" spans="1:5" x14ac:dyDescent="0.2">
      <c r="A7647" s="201">
        <v>101409</v>
      </c>
      <c r="B7647" s="201" t="s">
        <v>3388</v>
      </c>
      <c r="C7647" s="201" t="s">
        <v>194</v>
      </c>
      <c r="D7647" s="201">
        <v>4494.21</v>
      </c>
      <c r="E7647" s="326" t="s">
        <v>4455</v>
      </c>
    </row>
    <row r="7648" spans="1:5" x14ac:dyDescent="0.2">
      <c r="A7648" s="201">
        <v>101410</v>
      </c>
      <c r="B7648" s="201" t="s">
        <v>983</v>
      </c>
      <c r="C7648" s="201" t="s">
        <v>194</v>
      </c>
      <c r="D7648" s="201">
        <v>5006.47</v>
      </c>
      <c r="E7648" s="326" t="s">
        <v>4455</v>
      </c>
    </row>
    <row r="7649" spans="1:5" x14ac:dyDescent="0.2">
      <c r="A7649" s="201">
        <v>101412</v>
      </c>
      <c r="B7649" s="201" t="s">
        <v>3389</v>
      </c>
      <c r="C7649" s="201" t="s">
        <v>194</v>
      </c>
      <c r="D7649" s="201">
        <v>5675.83</v>
      </c>
      <c r="E7649" s="326" t="s">
        <v>4455</v>
      </c>
    </row>
    <row r="7650" spans="1:5" x14ac:dyDescent="0.2">
      <c r="A7650" s="201">
        <v>101413</v>
      </c>
      <c r="B7650" s="201" t="s">
        <v>946</v>
      </c>
      <c r="C7650" s="201" t="s">
        <v>194</v>
      </c>
      <c r="D7650" s="201">
        <v>5268.22</v>
      </c>
      <c r="E7650" s="326" t="s">
        <v>4455</v>
      </c>
    </row>
    <row r="7651" spans="1:5" x14ac:dyDescent="0.2">
      <c r="A7651" s="201">
        <v>101414</v>
      </c>
      <c r="B7651" s="201" t="s">
        <v>3390</v>
      </c>
      <c r="C7651" s="201" t="s">
        <v>194</v>
      </c>
      <c r="D7651" s="201">
        <v>5582.73</v>
      </c>
      <c r="E7651" s="326" t="s">
        <v>4455</v>
      </c>
    </row>
    <row r="7652" spans="1:5" x14ac:dyDescent="0.2">
      <c r="A7652" s="201">
        <v>101415</v>
      </c>
      <c r="B7652" s="201" t="s">
        <v>3391</v>
      </c>
      <c r="C7652" s="201" t="s">
        <v>194</v>
      </c>
      <c r="D7652" s="201">
        <v>6383.14</v>
      </c>
      <c r="E7652" s="326" t="s">
        <v>4455</v>
      </c>
    </row>
    <row r="7653" spans="1:5" x14ac:dyDescent="0.2">
      <c r="A7653" s="201">
        <v>101416</v>
      </c>
      <c r="B7653" s="201" t="s">
        <v>1488</v>
      </c>
      <c r="C7653" s="201" t="s">
        <v>194</v>
      </c>
      <c r="D7653" s="201">
        <v>5898.71</v>
      </c>
      <c r="E7653" s="326" t="s">
        <v>4455</v>
      </c>
    </row>
    <row r="7654" spans="1:5" x14ac:dyDescent="0.2">
      <c r="A7654" s="201">
        <v>101417</v>
      </c>
      <c r="B7654" s="201" t="s">
        <v>3392</v>
      </c>
      <c r="C7654" s="201" t="s">
        <v>194</v>
      </c>
      <c r="D7654" s="201">
        <v>5023.37</v>
      </c>
      <c r="E7654" s="326" t="s">
        <v>4455</v>
      </c>
    </row>
    <row r="7655" spans="1:5" x14ac:dyDescent="0.2">
      <c r="A7655" s="201">
        <v>101418</v>
      </c>
      <c r="B7655" s="201" t="s">
        <v>3393</v>
      </c>
      <c r="C7655" s="201" t="s">
        <v>194</v>
      </c>
      <c r="D7655" s="201">
        <v>4585.1899999999996</v>
      </c>
      <c r="E7655" s="326" t="s">
        <v>4455</v>
      </c>
    </row>
    <row r="7656" spans="1:5" x14ac:dyDescent="0.2">
      <c r="A7656" s="201">
        <v>101419</v>
      </c>
      <c r="B7656" s="201" t="s">
        <v>3394</v>
      </c>
      <c r="C7656" s="201" t="s">
        <v>194</v>
      </c>
      <c r="D7656" s="201">
        <v>4873.21</v>
      </c>
      <c r="E7656" s="326" t="s">
        <v>4455</v>
      </c>
    </row>
    <row r="7657" spans="1:5" x14ac:dyDescent="0.2">
      <c r="A7657" s="201">
        <v>101420</v>
      </c>
      <c r="B7657" s="201" t="s">
        <v>3395</v>
      </c>
      <c r="C7657" s="201" t="s">
        <v>194</v>
      </c>
      <c r="D7657" s="201">
        <v>5325.53</v>
      </c>
      <c r="E7657" s="326" t="s">
        <v>4455</v>
      </c>
    </row>
    <row r="7658" spans="1:5" x14ac:dyDescent="0.2">
      <c r="A7658" s="201">
        <v>101421</v>
      </c>
      <c r="B7658" s="201" t="s">
        <v>3396</v>
      </c>
      <c r="C7658" s="201" t="s">
        <v>194</v>
      </c>
      <c r="D7658" s="201">
        <v>6094.35</v>
      </c>
      <c r="E7658" s="326" t="s">
        <v>4455</v>
      </c>
    </row>
    <row r="7659" spans="1:5" x14ac:dyDescent="0.2">
      <c r="A7659" s="201">
        <v>101422</v>
      </c>
      <c r="B7659" s="201" t="s">
        <v>3397</v>
      </c>
      <c r="C7659" s="201" t="s">
        <v>194</v>
      </c>
      <c r="D7659" s="201">
        <v>4785.8900000000003</v>
      </c>
      <c r="E7659" s="326" t="s">
        <v>4455</v>
      </c>
    </row>
    <row r="7660" spans="1:5" x14ac:dyDescent="0.2">
      <c r="A7660" s="201">
        <v>101424</v>
      </c>
      <c r="B7660" s="201" t="s">
        <v>3398</v>
      </c>
      <c r="C7660" s="201" t="s">
        <v>194</v>
      </c>
      <c r="D7660" s="201">
        <v>5432.69</v>
      </c>
      <c r="E7660" s="326" t="s">
        <v>4455</v>
      </c>
    </row>
    <row r="7661" spans="1:5" x14ac:dyDescent="0.2">
      <c r="A7661" s="201">
        <v>101425</v>
      </c>
      <c r="B7661" s="201" t="s">
        <v>3399</v>
      </c>
      <c r="C7661" s="201" t="s">
        <v>194</v>
      </c>
      <c r="D7661" s="201">
        <v>3147.47</v>
      </c>
      <c r="E7661" s="326" t="s">
        <v>4455</v>
      </c>
    </row>
    <row r="7662" spans="1:5" x14ac:dyDescent="0.2">
      <c r="A7662" s="201">
        <v>101426</v>
      </c>
      <c r="B7662" s="201" t="s">
        <v>3400</v>
      </c>
      <c r="C7662" s="201" t="s">
        <v>194</v>
      </c>
      <c r="D7662" s="201">
        <v>4918.8500000000004</v>
      </c>
      <c r="E7662" s="326" t="s">
        <v>4455</v>
      </c>
    </row>
    <row r="7663" spans="1:5" x14ac:dyDescent="0.2">
      <c r="A7663" s="201">
        <v>101427</v>
      </c>
      <c r="B7663" s="201" t="s">
        <v>955</v>
      </c>
      <c r="C7663" s="201" t="s">
        <v>194</v>
      </c>
      <c r="D7663" s="201">
        <v>4652.41</v>
      </c>
      <c r="E7663" s="326" t="s">
        <v>4455</v>
      </c>
    </row>
    <row r="7664" spans="1:5" x14ac:dyDescent="0.2">
      <c r="A7664" s="201">
        <v>101428</v>
      </c>
      <c r="B7664" s="201" t="s">
        <v>3401</v>
      </c>
      <c r="C7664" s="201" t="s">
        <v>194</v>
      </c>
      <c r="D7664" s="201">
        <v>4650.05</v>
      </c>
      <c r="E7664" s="326" t="s">
        <v>4455</v>
      </c>
    </row>
    <row r="7665" spans="1:5" x14ac:dyDescent="0.2">
      <c r="A7665" s="201">
        <v>101429</v>
      </c>
      <c r="B7665" s="201" t="s">
        <v>3402</v>
      </c>
      <c r="C7665" s="201" t="s">
        <v>194</v>
      </c>
      <c r="D7665" s="201">
        <v>4107.82</v>
      </c>
      <c r="E7665" s="326" t="s">
        <v>4455</v>
      </c>
    </row>
    <row r="7666" spans="1:5" x14ac:dyDescent="0.2">
      <c r="A7666" s="201">
        <v>101430</v>
      </c>
      <c r="B7666" s="201" t="s">
        <v>3403</v>
      </c>
      <c r="C7666" s="201" t="s">
        <v>194</v>
      </c>
      <c r="D7666" s="201">
        <v>4652.41</v>
      </c>
      <c r="E7666" s="326" t="s">
        <v>4455</v>
      </c>
    </row>
    <row r="7667" spans="1:5" x14ac:dyDescent="0.2">
      <c r="A7667" s="201">
        <v>101431</v>
      </c>
      <c r="B7667" s="201" t="s">
        <v>958</v>
      </c>
      <c r="C7667" s="201" t="s">
        <v>194</v>
      </c>
      <c r="D7667" s="201">
        <v>5346.38</v>
      </c>
      <c r="E7667" s="326" t="s">
        <v>4455</v>
      </c>
    </row>
    <row r="7668" spans="1:5" x14ac:dyDescent="0.2">
      <c r="A7668" s="201">
        <v>101432</v>
      </c>
      <c r="B7668" s="201" t="s">
        <v>3404</v>
      </c>
      <c r="C7668" s="201" t="s">
        <v>194</v>
      </c>
      <c r="D7668" s="201">
        <v>4672.3</v>
      </c>
      <c r="E7668" s="326" t="s">
        <v>4455</v>
      </c>
    </row>
    <row r="7669" spans="1:5" x14ac:dyDescent="0.2">
      <c r="A7669" s="201">
        <v>101433</v>
      </c>
      <c r="B7669" s="201" t="s">
        <v>960</v>
      </c>
      <c r="C7669" s="201" t="s">
        <v>194</v>
      </c>
      <c r="D7669" s="201">
        <v>4672.3</v>
      </c>
      <c r="E7669" s="326" t="s">
        <v>4455</v>
      </c>
    </row>
    <row r="7670" spans="1:5" x14ac:dyDescent="0.2">
      <c r="A7670" s="201">
        <v>101434</v>
      </c>
      <c r="B7670" s="201" t="s">
        <v>3405</v>
      </c>
      <c r="C7670" s="201" t="s">
        <v>194</v>
      </c>
      <c r="D7670" s="201">
        <v>4284.37</v>
      </c>
      <c r="E7670" s="326" t="s">
        <v>4455</v>
      </c>
    </row>
    <row r="7671" spans="1:5" x14ac:dyDescent="0.2">
      <c r="A7671" s="201">
        <v>101435</v>
      </c>
      <c r="B7671" s="201" t="s">
        <v>3406</v>
      </c>
      <c r="C7671" s="201" t="s">
        <v>194</v>
      </c>
      <c r="D7671" s="201">
        <v>4658.96</v>
      </c>
      <c r="E7671" s="326" t="s">
        <v>4455</v>
      </c>
    </row>
    <row r="7672" spans="1:5" x14ac:dyDescent="0.2">
      <c r="A7672" s="201">
        <v>101436</v>
      </c>
      <c r="B7672" s="201" t="s">
        <v>962</v>
      </c>
      <c r="C7672" s="201" t="s">
        <v>194</v>
      </c>
      <c r="D7672" s="201">
        <v>4650.05</v>
      </c>
      <c r="E7672" s="326" t="s">
        <v>4455</v>
      </c>
    </row>
    <row r="7673" spans="1:5" x14ac:dyDescent="0.2">
      <c r="A7673" s="201">
        <v>101437</v>
      </c>
      <c r="B7673" s="201" t="s">
        <v>3407</v>
      </c>
      <c r="C7673" s="201" t="s">
        <v>194</v>
      </c>
      <c r="D7673" s="201">
        <v>7174.09</v>
      </c>
      <c r="E7673" s="326" t="s">
        <v>4455</v>
      </c>
    </row>
    <row r="7674" spans="1:5" x14ac:dyDescent="0.2">
      <c r="A7674" s="201">
        <v>101438</v>
      </c>
      <c r="B7674" s="201" t="s">
        <v>964</v>
      </c>
      <c r="C7674" s="201" t="s">
        <v>194</v>
      </c>
      <c r="D7674" s="201">
        <v>7174.09</v>
      </c>
      <c r="E7674" s="326" t="s">
        <v>4455</v>
      </c>
    </row>
    <row r="7675" spans="1:5" x14ac:dyDescent="0.2">
      <c r="A7675" s="201">
        <v>101439</v>
      </c>
      <c r="B7675" s="201" t="s">
        <v>965</v>
      </c>
      <c r="C7675" s="201" t="s">
        <v>194</v>
      </c>
      <c r="D7675" s="201">
        <v>4652.41</v>
      </c>
      <c r="E7675" s="326" t="s">
        <v>4455</v>
      </c>
    </row>
    <row r="7676" spans="1:5" x14ac:dyDescent="0.2">
      <c r="A7676" s="201">
        <v>101440</v>
      </c>
      <c r="B7676" s="201" t="s">
        <v>3408</v>
      </c>
      <c r="C7676" s="201" t="s">
        <v>194</v>
      </c>
      <c r="D7676" s="201">
        <v>4652.41</v>
      </c>
      <c r="E7676" s="326" t="s">
        <v>4455</v>
      </c>
    </row>
    <row r="7677" spans="1:5" x14ac:dyDescent="0.2">
      <c r="A7677" s="201">
        <v>101441</v>
      </c>
      <c r="B7677" s="201" t="s">
        <v>967</v>
      </c>
      <c r="C7677" s="201" t="s">
        <v>194</v>
      </c>
      <c r="D7677" s="201">
        <v>4650.05</v>
      </c>
      <c r="E7677" s="326" t="s">
        <v>4455</v>
      </c>
    </row>
    <row r="7678" spans="1:5" x14ac:dyDescent="0.2">
      <c r="A7678" s="201">
        <v>101443</v>
      </c>
      <c r="B7678" s="201" t="s">
        <v>968</v>
      </c>
      <c r="C7678" s="201" t="s">
        <v>194</v>
      </c>
      <c r="D7678" s="201">
        <v>7174.09</v>
      </c>
      <c r="E7678" s="326" t="s">
        <v>4455</v>
      </c>
    </row>
    <row r="7679" spans="1:5" x14ac:dyDescent="0.2">
      <c r="A7679" s="201">
        <v>101444</v>
      </c>
      <c r="B7679" s="201" t="s">
        <v>971</v>
      </c>
      <c r="C7679" s="201" t="s">
        <v>194</v>
      </c>
      <c r="D7679" s="201">
        <v>5582.73</v>
      </c>
      <c r="E7679" s="326" t="s">
        <v>4455</v>
      </c>
    </row>
    <row r="7680" spans="1:5" x14ac:dyDescent="0.2">
      <c r="A7680" s="201">
        <v>101445</v>
      </c>
      <c r="B7680" s="201" t="s">
        <v>103</v>
      </c>
      <c r="C7680" s="201" t="s">
        <v>194</v>
      </c>
      <c r="D7680" s="201">
        <v>5604.3</v>
      </c>
      <c r="E7680" s="326" t="s">
        <v>4455</v>
      </c>
    </row>
    <row r="7681" spans="1:5" x14ac:dyDescent="0.2">
      <c r="A7681" s="201">
        <v>101446</v>
      </c>
      <c r="B7681" s="201" t="s">
        <v>173</v>
      </c>
      <c r="C7681" s="201" t="s">
        <v>194</v>
      </c>
      <c r="D7681" s="201">
        <v>5890.89</v>
      </c>
      <c r="E7681" s="326" t="s">
        <v>4455</v>
      </c>
    </row>
    <row r="7682" spans="1:5" x14ac:dyDescent="0.2">
      <c r="A7682" s="201">
        <v>101447</v>
      </c>
      <c r="B7682" s="201" t="s">
        <v>972</v>
      </c>
      <c r="C7682" s="201" t="s">
        <v>194</v>
      </c>
      <c r="D7682" s="201">
        <v>5776.99</v>
      </c>
      <c r="E7682" s="326" t="s">
        <v>4455</v>
      </c>
    </row>
    <row r="7683" spans="1:5" x14ac:dyDescent="0.2">
      <c r="A7683" s="201">
        <v>101448</v>
      </c>
      <c r="B7683" s="201" t="s">
        <v>973</v>
      </c>
      <c r="C7683" s="201" t="s">
        <v>194</v>
      </c>
      <c r="D7683" s="201">
        <v>5890.89</v>
      </c>
      <c r="E7683" s="326" t="s">
        <v>4455</v>
      </c>
    </row>
    <row r="7684" spans="1:5" x14ac:dyDescent="0.2">
      <c r="A7684" s="201">
        <v>101449</v>
      </c>
      <c r="B7684" s="201" t="s">
        <v>3409</v>
      </c>
      <c r="C7684" s="201" t="s">
        <v>194</v>
      </c>
      <c r="D7684" s="201">
        <v>4685.6400000000003</v>
      </c>
      <c r="E7684" s="326" t="s">
        <v>4455</v>
      </c>
    </row>
    <row r="7685" spans="1:5" x14ac:dyDescent="0.2">
      <c r="A7685" s="201">
        <v>101451</v>
      </c>
      <c r="B7685" s="201" t="s">
        <v>162</v>
      </c>
      <c r="C7685" s="201" t="s">
        <v>194</v>
      </c>
      <c r="D7685" s="201">
        <v>5571.96</v>
      </c>
      <c r="E7685" s="326" t="s">
        <v>4455</v>
      </c>
    </row>
    <row r="7686" spans="1:5" x14ac:dyDescent="0.2">
      <c r="A7686" s="201">
        <v>101452</v>
      </c>
      <c r="B7686" s="201" t="s">
        <v>3410</v>
      </c>
      <c r="C7686" s="201" t="s">
        <v>194</v>
      </c>
      <c r="D7686" s="201">
        <v>4239.8599999999997</v>
      </c>
      <c r="E7686" s="326" t="s">
        <v>4455</v>
      </c>
    </row>
    <row r="7687" spans="1:5" x14ac:dyDescent="0.2">
      <c r="A7687" s="201">
        <v>101453</v>
      </c>
      <c r="B7687" s="201" t="s">
        <v>976</v>
      </c>
      <c r="C7687" s="201" t="s">
        <v>194</v>
      </c>
      <c r="D7687" s="201">
        <v>5753.58</v>
      </c>
      <c r="E7687" s="326" t="s">
        <v>4455</v>
      </c>
    </row>
    <row r="7688" spans="1:5" x14ac:dyDescent="0.2">
      <c r="A7688" s="201">
        <v>101454</v>
      </c>
      <c r="B7688" s="201" t="s">
        <v>3411</v>
      </c>
      <c r="C7688" s="201" t="s">
        <v>194</v>
      </c>
      <c r="D7688" s="201">
        <v>6441.02</v>
      </c>
      <c r="E7688" s="326" t="s">
        <v>4455</v>
      </c>
    </row>
    <row r="7689" spans="1:5" x14ac:dyDescent="0.2">
      <c r="A7689" s="201">
        <v>101456</v>
      </c>
      <c r="B7689" s="201" t="s">
        <v>3412</v>
      </c>
      <c r="C7689" s="201" t="s">
        <v>194</v>
      </c>
      <c r="D7689" s="201">
        <v>9210.36</v>
      </c>
      <c r="E7689" s="326" t="s">
        <v>4455</v>
      </c>
    </row>
    <row r="7690" spans="1:5" x14ac:dyDescent="0.2">
      <c r="A7690" s="201">
        <v>101457</v>
      </c>
      <c r="B7690" s="201" t="s">
        <v>3413</v>
      </c>
      <c r="C7690" s="201" t="s">
        <v>194</v>
      </c>
      <c r="D7690" s="201">
        <v>7080.1</v>
      </c>
      <c r="E7690" s="326" t="s">
        <v>4455</v>
      </c>
    </row>
    <row r="7691" spans="1:5" x14ac:dyDescent="0.2">
      <c r="A7691" s="201">
        <v>101458</v>
      </c>
      <c r="B7691" s="201" t="s">
        <v>3414</v>
      </c>
      <c r="C7691" s="201" t="s">
        <v>194</v>
      </c>
      <c r="D7691" s="201">
        <v>5498.97</v>
      </c>
      <c r="E7691" s="326" t="s">
        <v>4455</v>
      </c>
    </row>
    <row r="7692" spans="1:5" x14ac:dyDescent="0.2">
      <c r="A7692" s="201">
        <v>101459</v>
      </c>
      <c r="B7692" s="201" t="s">
        <v>981</v>
      </c>
      <c r="C7692" s="201" t="s">
        <v>194</v>
      </c>
      <c r="D7692" s="201">
        <v>5187.3100000000004</v>
      </c>
      <c r="E7692" s="326" t="s">
        <v>4455</v>
      </c>
    </row>
    <row r="7693" spans="1:5" x14ac:dyDescent="0.2">
      <c r="A7693" s="201">
        <v>101460</v>
      </c>
      <c r="B7693" s="201" t="s">
        <v>179</v>
      </c>
      <c r="C7693" s="201" t="s">
        <v>194</v>
      </c>
      <c r="D7693" s="201">
        <v>4376.49</v>
      </c>
      <c r="E7693" s="326" t="s">
        <v>4455</v>
      </c>
    </row>
    <row r="7695" spans="1:5" ht="25.5" x14ac:dyDescent="0.2">
      <c r="A7695" s="201" t="s">
        <v>3536</v>
      </c>
      <c r="B7695" s="201" t="s">
        <v>12732</v>
      </c>
      <c r="C7695" s="201" t="s">
        <v>923</v>
      </c>
      <c r="D7695" s="201">
        <v>15.25</v>
      </c>
      <c r="E7695" s="326" t="s">
        <v>174</v>
      </c>
    </row>
    <row r="7696" spans="1:5" ht="25.5" x14ac:dyDescent="0.2">
      <c r="A7696" s="201" t="s">
        <v>12733</v>
      </c>
      <c r="B7696" s="201" t="s">
        <v>12734</v>
      </c>
      <c r="C7696" s="201" t="s">
        <v>923</v>
      </c>
      <c r="D7696" s="201">
        <v>23.8</v>
      </c>
      <c r="E7696" s="326" t="s">
        <v>174</v>
      </c>
    </row>
  </sheetData>
  <autoFilter ref="A5:E7693" xr:uid="{00000000-0009-0000-0000-000005000000}"/>
  <pageMargins left="0.78740157499999996" right="0.78740157499999996" top="0.984251969" bottom="0.984251969"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4966"/>
  <sheetViews>
    <sheetView workbookViewId="0">
      <selection activeCell="K10" sqref="K10"/>
    </sheetView>
  </sheetViews>
  <sheetFormatPr defaultRowHeight="12.75" x14ac:dyDescent="0.2"/>
  <cols>
    <col min="1" max="1" width="10.5703125" style="201" customWidth="1"/>
    <col min="2" max="2" width="78.140625" style="201" customWidth="1"/>
    <col min="3" max="3" width="21.140625" style="201" customWidth="1"/>
    <col min="4" max="4" width="21" style="201" customWidth="1"/>
    <col min="5" max="5" width="9.140625" style="201"/>
    <col min="6" max="6" width="22.140625" style="102" customWidth="1"/>
    <col min="7" max="7" width="8.42578125" style="102" customWidth="1"/>
    <col min="8" max="8" width="9.140625" style="102"/>
    <col min="9" max="9" width="13.28515625" style="102" bestFit="1" customWidth="1"/>
    <col min="10" max="10" width="11.5703125" style="102" bestFit="1" customWidth="1"/>
    <col min="11" max="255" width="9.140625" style="102"/>
    <col min="256" max="256" width="10.5703125" style="102" customWidth="1"/>
    <col min="257" max="257" width="78.140625" style="102" customWidth="1"/>
    <col min="258" max="258" width="9.140625" style="102" bestFit="1" customWidth="1"/>
    <col min="259" max="259" width="22.28515625" style="102" customWidth="1"/>
    <col min="260" max="511" width="9.140625" style="102"/>
    <col min="512" max="512" width="10.5703125" style="102" customWidth="1"/>
    <col min="513" max="513" width="78.140625" style="102" customWidth="1"/>
    <col min="514" max="514" width="9.140625" style="102" bestFit="1" customWidth="1"/>
    <col min="515" max="515" width="22.28515625" style="102" customWidth="1"/>
    <col min="516" max="767" width="9.140625" style="102"/>
    <col min="768" max="768" width="10.5703125" style="102" customWidth="1"/>
    <col min="769" max="769" width="78.140625" style="102" customWidth="1"/>
    <col min="770" max="770" width="9.140625" style="102" bestFit="1" customWidth="1"/>
    <col min="771" max="771" width="22.28515625" style="102" customWidth="1"/>
    <col min="772" max="1023" width="9.140625" style="102"/>
    <col min="1024" max="1024" width="10.5703125" style="102" customWidth="1"/>
    <col min="1025" max="1025" width="78.140625" style="102" customWidth="1"/>
    <col min="1026" max="1026" width="9.140625" style="102" bestFit="1" customWidth="1"/>
    <col min="1027" max="1027" width="22.28515625" style="102" customWidth="1"/>
    <col min="1028" max="1279" width="9.140625" style="102"/>
    <col min="1280" max="1280" width="10.5703125" style="102" customWidth="1"/>
    <col min="1281" max="1281" width="78.140625" style="102" customWidth="1"/>
    <col min="1282" max="1282" width="9.140625" style="102" bestFit="1" customWidth="1"/>
    <col min="1283" max="1283" width="22.28515625" style="102" customWidth="1"/>
    <col min="1284" max="1535" width="9.140625" style="102"/>
    <col min="1536" max="1536" width="10.5703125" style="102" customWidth="1"/>
    <col min="1537" max="1537" width="78.140625" style="102" customWidth="1"/>
    <col min="1538" max="1538" width="9.140625" style="102" bestFit="1" customWidth="1"/>
    <col min="1539" max="1539" width="22.28515625" style="102" customWidth="1"/>
    <col min="1540" max="1791" width="9.140625" style="102"/>
    <col min="1792" max="1792" width="10.5703125" style="102" customWidth="1"/>
    <col min="1793" max="1793" width="78.140625" style="102" customWidth="1"/>
    <col min="1794" max="1794" width="9.140625" style="102" bestFit="1" customWidth="1"/>
    <col min="1795" max="1795" width="22.28515625" style="102" customWidth="1"/>
    <col min="1796" max="2047" width="9.140625" style="102"/>
    <col min="2048" max="2048" width="10.5703125" style="102" customWidth="1"/>
    <col min="2049" max="2049" width="78.140625" style="102" customWidth="1"/>
    <col min="2050" max="2050" width="9.140625" style="102" bestFit="1" customWidth="1"/>
    <col min="2051" max="2051" width="22.28515625" style="102" customWidth="1"/>
    <col min="2052" max="2303" width="9.140625" style="102"/>
    <col min="2304" max="2304" width="10.5703125" style="102" customWidth="1"/>
    <col min="2305" max="2305" width="78.140625" style="102" customWidth="1"/>
    <col min="2306" max="2306" width="9.140625" style="102" bestFit="1" customWidth="1"/>
    <col min="2307" max="2307" width="22.28515625" style="102" customWidth="1"/>
    <col min="2308" max="2559" width="9.140625" style="102"/>
    <col min="2560" max="2560" width="10.5703125" style="102" customWidth="1"/>
    <col min="2561" max="2561" width="78.140625" style="102" customWidth="1"/>
    <col min="2562" max="2562" width="9.140625" style="102" bestFit="1" customWidth="1"/>
    <col min="2563" max="2563" width="22.28515625" style="102" customWidth="1"/>
    <col min="2564" max="2815" width="9.140625" style="102"/>
    <col min="2816" max="2816" width="10.5703125" style="102" customWidth="1"/>
    <col min="2817" max="2817" width="78.140625" style="102" customWidth="1"/>
    <col min="2818" max="2818" width="9.140625" style="102" bestFit="1" customWidth="1"/>
    <col min="2819" max="2819" width="22.28515625" style="102" customWidth="1"/>
    <col min="2820" max="3071" width="9.140625" style="102"/>
    <col min="3072" max="3072" width="10.5703125" style="102" customWidth="1"/>
    <col min="3073" max="3073" width="78.140625" style="102" customWidth="1"/>
    <col min="3074" max="3074" width="9.140625" style="102" bestFit="1" customWidth="1"/>
    <col min="3075" max="3075" width="22.28515625" style="102" customWidth="1"/>
    <col min="3076" max="3327" width="9.140625" style="102"/>
    <col min="3328" max="3328" width="10.5703125" style="102" customWidth="1"/>
    <col min="3329" max="3329" width="78.140625" style="102" customWidth="1"/>
    <col min="3330" max="3330" width="9.140625" style="102" bestFit="1" customWidth="1"/>
    <col min="3331" max="3331" width="22.28515625" style="102" customWidth="1"/>
    <col min="3332" max="3583" width="9.140625" style="102"/>
    <col min="3584" max="3584" width="10.5703125" style="102" customWidth="1"/>
    <col min="3585" max="3585" width="78.140625" style="102" customWidth="1"/>
    <col min="3586" max="3586" width="9.140625" style="102" bestFit="1" customWidth="1"/>
    <col min="3587" max="3587" width="22.28515625" style="102" customWidth="1"/>
    <col min="3588" max="3839" width="9.140625" style="102"/>
    <col min="3840" max="3840" width="10.5703125" style="102" customWidth="1"/>
    <col min="3841" max="3841" width="78.140625" style="102" customWidth="1"/>
    <col min="3842" max="3842" width="9.140625" style="102" bestFit="1" customWidth="1"/>
    <col min="3843" max="3843" width="22.28515625" style="102" customWidth="1"/>
    <col min="3844" max="4095" width="9.140625" style="102"/>
    <col min="4096" max="4096" width="10.5703125" style="102" customWidth="1"/>
    <col min="4097" max="4097" width="78.140625" style="102" customWidth="1"/>
    <col min="4098" max="4098" width="9.140625" style="102" bestFit="1" customWidth="1"/>
    <col min="4099" max="4099" width="22.28515625" style="102" customWidth="1"/>
    <col min="4100" max="4351" width="9.140625" style="102"/>
    <col min="4352" max="4352" width="10.5703125" style="102" customWidth="1"/>
    <col min="4353" max="4353" width="78.140625" style="102" customWidth="1"/>
    <col min="4354" max="4354" width="9.140625" style="102" bestFit="1" customWidth="1"/>
    <col min="4355" max="4355" width="22.28515625" style="102" customWidth="1"/>
    <col min="4356" max="4607" width="9.140625" style="102"/>
    <col min="4608" max="4608" width="10.5703125" style="102" customWidth="1"/>
    <col min="4609" max="4609" width="78.140625" style="102" customWidth="1"/>
    <col min="4610" max="4610" width="9.140625" style="102" bestFit="1" customWidth="1"/>
    <col min="4611" max="4611" width="22.28515625" style="102" customWidth="1"/>
    <col min="4612" max="4863" width="9.140625" style="102"/>
    <col min="4864" max="4864" width="10.5703125" style="102" customWidth="1"/>
    <col min="4865" max="4865" width="78.140625" style="102" customWidth="1"/>
    <col min="4866" max="4866" width="9.140625" style="102" bestFit="1" customWidth="1"/>
    <col min="4867" max="4867" width="22.28515625" style="102" customWidth="1"/>
    <col min="4868" max="5119" width="9.140625" style="102"/>
    <col min="5120" max="5120" width="10.5703125" style="102" customWidth="1"/>
    <col min="5121" max="5121" width="78.140625" style="102" customWidth="1"/>
    <col min="5122" max="5122" width="9.140625" style="102" bestFit="1" customWidth="1"/>
    <col min="5123" max="5123" width="22.28515625" style="102" customWidth="1"/>
    <col min="5124" max="5375" width="9.140625" style="102"/>
    <col min="5376" max="5376" width="10.5703125" style="102" customWidth="1"/>
    <col min="5377" max="5377" width="78.140625" style="102" customWidth="1"/>
    <col min="5378" max="5378" width="9.140625" style="102" bestFit="1" customWidth="1"/>
    <col min="5379" max="5379" width="22.28515625" style="102" customWidth="1"/>
    <col min="5380" max="5631" width="9.140625" style="102"/>
    <col min="5632" max="5632" width="10.5703125" style="102" customWidth="1"/>
    <col min="5633" max="5633" width="78.140625" style="102" customWidth="1"/>
    <col min="5634" max="5634" width="9.140625" style="102" bestFit="1" customWidth="1"/>
    <col min="5635" max="5635" width="22.28515625" style="102" customWidth="1"/>
    <col min="5636" max="5887" width="9.140625" style="102"/>
    <col min="5888" max="5888" width="10.5703125" style="102" customWidth="1"/>
    <col min="5889" max="5889" width="78.140625" style="102" customWidth="1"/>
    <col min="5890" max="5890" width="9.140625" style="102" bestFit="1" customWidth="1"/>
    <col min="5891" max="5891" width="22.28515625" style="102" customWidth="1"/>
    <col min="5892" max="6143" width="9.140625" style="102"/>
    <col min="6144" max="6144" width="10.5703125" style="102" customWidth="1"/>
    <col min="6145" max="6145" width="78.140625" style="102" customWidth="1"/>
    <col min="6146" max="6146" width="9.140625" style="102" bestFit="1" customWidth="1"/>
    <col min="6147" max="6147" width="22.28515625" style="102" customWidth="1"/>
    <col min="6148" max="6399" width="9.140625" style="102"/>
    <col min="6400" max="6400" width="10.5703125" style="102" customWidth="1"/>
    <col min="6401" max="6401" width="78.140625" style="102" customWidth="1"/>
    <col min="6402" max="6402" width="9.140625" style="102" bestFit="1" customWidth="1"/>
    <col min="6403" max="6403" width="22.28515625" style="102" customWidth="1"/>
    <col min="6404" max="6655" width="9.140625" style="102"/>
    <col min="6656" max="6656" width="10.5703125" style="102" customWidth="1"/>
    <col min="6657" max="6657" width="78.140625" style="102" customWidth="1"/>
    <col min="6658" max="6658" width="9.140625" style="102" bestFit="1" customWidth="1"/>
    <col min="6659" max="6659" width="22.28515625" style="102" customWidth="1"/>
    <col min="6660" max="6911" width="9.140625" style="102"/>
    <col min="6912" max="6912" width="10.5703125" style="102" customWidth="1"/>
    <col min="6913" max="6913" width="78.140625" style="102" customWidth="1"/>
    <col min="6914" max="6914" width="9.140625" style="102" bestFit="1" customWidth="1"/>
    <col min="6915" max="6915" width="22.28515625" style="102" customWidth="1"/>
    <col min="6916" max="7167" width="9.140625" style="102"/>
    <col min="7168" max="7168" width="10.5703125" style="102" customWidth="1"/>
    <col min="7169" max="7169" width="78.140625" style="102" customWidth="1"/>
    <col min="7170" max="7170" width="9.140625" style="102" bestFit="1" customWidth="1"/>
    <col min="7171" max="7171" width="22.28515625" style="102" customWidth="1"/>
    <col min="7172" max="7423" width="9.140625" style="102"/>
    <col min="7424" max="7424" width="10.5703125" style="102" customWidth="1"/>
    <col min="7425" max="7425" width="78.140625" style="102" customWidth="1"/>
    <col min="7426" max="7426" width="9.140625" style="102" bestFit="1" customWidth="1"/>
    <col min="7427" max="7427" width="22.28515625" style="102" customWidth="1"/>
    <col min="7428" max="7679" width="9.140625" style="102"/>
    <col min="7680" max="7680" width="10.5703125" style="102" customWidth="1"/>
    <col min="7681" max="7681" width="78.140625" style="102" customWidth="1"/>
    <col min="7682" max="7682" width="9.140625" style="102" bestFit="1" customWidth="1"/>
    <col min="7683" max="7683" width="22.28515625" style="102" customWidth="1"/>
    <col min="7684" max="7935" width="9.140625" style="102"/>
    <col min="7936" max="7936" width="10.5703125" style="102" customWidth="1"/>
    <col min="7937" max="7937" width="78.140625" style="102" customWidth="1"/>
    <col min="7938" max="7938" width="9.140625" style="102" bestFit="1" customWidth="1"/>
    <col min="7939" max="7939" width="22.28515625" style="102" customWidth="1"/>
    <col min="7940" max="8191" width="9.140625" style="102"/>
    <col min="8192" max="8192" width="10.5703125" style="102" customWidth="1"/>
    <col min="8193" max="8193" width="78.140625" style="102" customWidth="1"/>
    <col min="8194" max="8194" width="9.140625" style="102" bestFit="1" customWidth="1"/>
    <col min="8195" max="8195" width="22.28515625" style="102" customWidth="1"/>
    <col min="8196" max="8447" width="9.140625" style="102"/>
    <col min="8448" max="8448" width="10.5703125" style="102" customWidth="1"/>
    <col min="8449" max="8449" width="78.140625" style="102" customWidth="1"/>
    <col min="8450" max="8450" width="9.140625" style="102" bestFit="1" customWidth="1"/>
    <col min="8451" max="8451" width="22.28515625" style="102" customWidth="1"/>
    <col min="8452" max="8703" width="9.140625" style="102"/>
    <col min="8704" max="8704" width="10.5703125" style="102" customWidth="1"/>
    <col min="8705" max="8705" width="78.140625" style="102" customWidth="1"/>
    <col min="8706" max="8706" width="9.140625" style="102" bestFit="1" customWidth="1"/>
    <col min="8707" max="8707" width="22.28515625" style="102" customWidth="1"/>
    <col min="8708" max="8959" width="9.140625" style="102"/>
    <col min="8960" max="8960" width="10.5703125" style="102" customWidth="1"/>
    <col min="8961" max="8961" width="78.140625" style="102" customWidth="1"/>
    <col min="8962" max="8962" width="9.140625" style="102" bestFit="1" customWidth="1"/>
    <col min="8963" max="8963" width="22.28515625" style="102" customWidth="1"/>
    <col min="8964" max="9215" width="9.140625" style="102"/>
    <col min="9216" max="9216" width="10.5703125" style="102" customWidth="1"/>
    <col min="9217" max="9217" width="78.140625" style="102" customWidth="1"/>
    <col min="9218" max="9218" width="9.140625" style="102" bestFit="1" customWidth="1"/>
    <col min="9219" max="9219" width="22.28515625" style="102" customWidth="1"/>
    <col min="9220" max="9471" width="9.140625" style="102"/>
    <col min="9472" max="9472" width="10.5703125" style="102" customWidth="1"/>
    <col min="9473" max="9473" width="78.140625" style="102" customWidth="1"/>
    <col min="9474" max="9474" width="9.140625" style="102" bestFit="1" customWidth="1"/>
    <col min="9475" max="9475" width="22.28515625" style="102" customWidth="1"/>
    <col min="9476" max="9727" width="9.140625" style="102"/>
    <col min="9728" max="9728" width="10.5703125" style="102" customWidth="1"/>
    <col min="9729" max="9729" width="78.140625" style="102" customWidth="1"/>
    <col min="9730" max="9730" width="9.140625" style="102" bestFit="1" customWidth="1"/>
    <col min="9731" max="9731" width="22.28515625" style="102" customWidth="1"/>
    <col min="9732" max="9983" width="9.140625" style="102"/>
    <col min="9984" max="9984" width="10.5703125" style="102" customWidth="1"/>
    <col min="9985" max="9985" width="78.140625" style="102" customWidth="1"/>
    <col min="9986" max="9986" width="9.140625" style="102" bestFit="1" customWidth="1"/>
    <col min="9987" max="9987" width="22.28515625" style="102" customWidth="1"/>
    <col min="9988" max="10239" width="9.140625" style="102"/>
    <col min="10240" max="10240" width="10.5703125" style="102" customWidth="1"/>
    <col min="10241" max="10241" width="78.140625" style="102" customWidth="1"/>
    <col min="10242" max="10242" width="9.140625" style="102" bestFit="1" customWidth="1"/>
    <col min="10243" max="10243" width="22.28515625" style="102" customWidth="1"/>
    <col min="10244" max="10495" width="9.140625" style="102"/>
    <col min="10496" max="10496" width="10.5703125" style="102" customWidth="1"/>
    <col min="10497" max="10497" width="78.140625" style="102" customWidth="1"/>
    <col min="10498" max="10498" width="9.140625" style="102" bestFit="1" customWidth="1"/>
    <col min="10499" max="10499" width="22.28515625" style="102" customWidth="1"/>
    <col min="10500" max="10751" width="9.140625" style="102"/>
    <col min="10752" max="10752" width="10.5703125" style="102" customWidth="1"/>
    <col min="10753" max="10753" width="78.140625" style="102" customWidth="1"/>
    <col min="10754" max="10754" width="9.140625" style="102" bestFit="1" customWidth="1"/>
    <col min="10755" max="10755" width="22.28515625" style="102" customWidth="1"/>
    <col min="10756" max="11007" width="9.140625" style="102"/>
    <col min="11008" max="11008" width="10.5703125" style="102" customWidth="1"/>
    <col min="11009" max="11009" width="78.140625" style="102" customWidth="1"/>
    <col min="11010" max="11010" width="9.140625" style="102" bestFit="1" customWidth="1"/>
    <col min="11011" max="11011" width="22.28515625" style="102" customWidth="1"/>
    <col min="11012" max="11263" width="9.140625" style="102"/>
    <col min="11264" max="11264" width="10.5703125" style="102" customWidth="1"/>
    <col min="11265" max="11265" width="78.140625" style="102" customWidth="1"/>
    <col min="11266" max="11266" width="9.140625" style="102" bestFit="1" customWidth="1"/>
    <col min="11267" max="11267" width="22.28515625" style="102" customWidth="1"/>
    <col min="11268" max="11519" width="9.140625" style="102"/>
    <col min="11520" max="11520" width="10.5703125" style="102" customWidth="1"/>
    <col min="11521" max="11521" width="78.140625" style="102" customWidth="1"/>
    <col min="11522" max="11522" width="9.140625" style="102" bestFit="1" customWidth="1"/>
    <col min="11523" max="11523" width="22.28515625" style="102" customWidth="1"/>
    <col min="11524" max="11775" width="9.140625" style="102"/>
    <col min="11776" max="11776" width="10.5703125" style="102" customWidth="1"/>
    <col min="11777" max="11777" width="78.140625" style="102" customWidth="1"/>
    <col min="11778" max="11778" width="9.140625" style="102" bestFit="1" customWidth="1"/>
    <col min="11779" max="11779" width="22.28515625" style="102" customWidth="1"/>
    <col min="11780" max="12031" width="9.140625" style="102"/>
    <col min="12032" max="12032" width="10.5703125" style="102" customWidth="1"/>
    <col min="12033" max="12033" width="78.140625" style="102" customWidth="1"/>
    <col min="12034" max="12034" width="9.140625" style="102" bestFit="1" customWidth="1"/>
    <col min="12035" max="12035" width="22.28515625" style="102" customWidth="1"/>
    <col min="12036" max="12287" width="9.140625" style="102"/>
    <col min="12288" max="12288" width="10.5703125" style="102" customWidth="1"/>
    <col min="12289" max="12289" width="78.140625" style="102" customWidth="1"/>
    <col min="12290" max="12290" width="9.140625" style="102" bestFit="1" customWidth="1"/>
    <col min="12291" max="12291" width="22.28515625" style="102" customWidth="1"/>
    <col min="12292" max="12543" width="9.140625" style="102"/>
    <col min="12544" max="12544" width="10.5703125" style="102" customWidth="1"/>
    <col min="12545" max="12545" width="78.140625" style="102" customWidth="1"/>
    <col min="12546" max="12546" width="9.140625" style="102" bestFit="1" customWidth="1"/>
    <col min="12547" max="12547" width="22.28515625" style="102" customWidth="1"/>
    <col min="12548" max="12799" width="9.140625" style="102"/>
    <col min="12800" max="12800" width="10.5703125" style="102" customWidth="1"/>
    <col min="12801" max="12801" width="78.140625" style="102" customWidth="1"/>
    <col min="12802" max="12802" width="9.140625" style="102" bestFit="1" customWidth="1"/>
    <col min="12803" max="12803" width="22.28515625" style="102" customWidth="1"/>
    <col min="12804" max="13055" width="9.140625" style="102"/>
    <col min="13056" max="13056" width="10.5703125" style="102" customWidth="1"/>
    <col min="13057" max="13057" width="78.140625" style="102" customWidth="1"/>
    <col min="13058" max="13058" width="9.140625" style="102" bestFit="1" customWidth="1"/>
    <col min="13059" max="13059" width="22.28515625" style="102" customWidth="1"/>
    <col min="13060" max="13311" width="9.140625" style="102"/>
    <col min="13312" max="13312" width="10.5703125" style="102" customWidth="1"/>
    <col min="13313" max="13313" width="78.140625" style="102" customWidth="1"/>
    <col min="13314" max="13314" width="9.140625" style="102" bestFit="1" customWidth="1"/>
    <col min="13315" max="13315" width="22.28515625" style="102" customWidth="1"/>
    <col min="13316" max="13567" width="9.140625" style="102"/>
    <col min="13568" max="13568" width="10.5703125" style="102" customWidth="1"/>
    <col min="13569" max="13569" width="78.140625" style="102" customWidth="1"/>
    <col min="13570" max="13570" width="9.140625" style="102" bestFit="1" customWidth="1"/>
    <col min="13571" max="13571" width="22.28515625" style="102" customWidth="1"/>
    <col min="13572" max="13823" width="9.140625" style="102"/>
    <col min="13824" max="13824" width="10.5703125" style="102" customWidth="1"/>
    <col min="13825" max="13825" width="78.140625" style="102" customWidth="1"/>
    <col min="13826" max="13826" width="9.140625" style="102" bestFit="1" customWidth="1"/>
    <col min="13827" max="13827" width="22.28515625" style="102" customWidth="1"/>
    <col min="13828" max="14079" width="9.140625" style="102"/>
    <col min="14080" max="14080" width="10.5703125" style="102" customWidth="1"/>
    <col min="14081" max="14081" width="78.140625" style="102" customWidth="1"/>
    <col min="14082" max="14082" width="9.140625" style="102" bestFit="1" customWidth="1"/>
    <col min="14083" max="14083" width="22.28515625" style="102" customWidth="1"/>
    <col min="14084" max="14335" width="9.140625" style="102"/>
    <col min="14336" max="14336" width="10.5703125" style="102" customWidth="1"/>
    <col min="14337" max="14337" width="78.140625" style="102" customWidth="1"/>
    <col min="14338" max="14338" width="9.140625" style="102" bestFit="1" customWidth="1"/>
    <col min="14339" max="14339" width="22.28515625" style="102" customWidth="1"/>
    <col min="14340" max="14591" width="9.140625" style="102"/>
    <col min="14592" max="14592" width="10.5703125" style="102" customWidth="1"/>
    <col min="14593" max="14593" width="78.140625" style="102" customWidth="1"/>
    <col min="14594" max="14594" width="9.140625" style="102" bestFit="1" customWidth="1"/>
    <col min="14595" max="14595" width="22.28515625" style="102" customWidth="1"/>
    <col min="14596" max="14847" width="9.140625" style="102"/>
    <col min="14848" max="14848" width="10.5703125" style="102" customWidth="1"/>
    <col min="14849" max="14849" width="78.140625" style="102" customWidth="1"/>
    <col min="14850" max="14850" width="9.140625" style="102" bestFit="1" customWidth="1"/>
    <col min="14851" max="14851" width="22.28515625" style="102" customWidth="1"/>
    <col min="14852" max="15103" width="9.140625" style="102"/>
    <col min="15104" max="15104" width="10.5703125" style="102" customWidth="1"/>
    <col min="15105" max="15105" width="78.140625" style="102" customWidth="1"/>
    <col min="15106" max="15106" width="9.140625" style="102" bestFit="1" customWidth="1"/>
    <col min="15107" max="15107" width="22.28515625" style="102" customWidth="1"/>
    <col min="15108" max="15359" width="9.140625" style="102"/>
    <col min="15360" max="15360" width="10.5703125" style="102" customWidth="1"/>
    <col min="15361" max="15361" width="78.140625" style="102" customWidth="1"/>
    <col min="15362" max="15362" width="9.140625" style="102" bestFit="1" customWidth="1"/>
    <col min="15363" max="15363" width="22.28515625" style="102" customWidth="1"/>
    <col min="15364" max="15615" width="9.140625" style="102"/>
    <col min="15616" max="15616" width="10.5703125" style="102" customWidth="1"/>
    <col min="15617" max="15617" width="78.140625" style="102" customWidth="1"/>
    <col min="15618" max="15618" width="9.140625" style="102" bestFit="1" customWidth="1"/>
    <col min="15619" max="15619" width="22.28515625" style="102" customWidth="1"/>
    <col min="15620" max="15871" width="9.140625" style="102"/>
    <col min="15872" max="15872" width="10.5703125" style="102" customWidth="1"/>
    <col min="15873" max="15873" width="78.140625" style="102" customWidth="1"/>
    <col min="15874" max="15874" width="9.140625" style="102" bestFit="1" customWidth="1"/>
    <col min="15875" max="15875" width="22.28515625" style="102" customWidth="1"/>
    <col min="15876" max="16127" width="9.140625" style="102"/>
    <col min="16128" max="16128" width="10.5703125" style="102" customWidth="1"/>
    <col min="16129" max="16129" width="78.140625" style="102" customWidth="1"/>
    <col min="16130" max="16130" width="9.140625" style="102" bestFit="1" customWidth="1"/>
    <col min="16131" max="16131" width="22.28515625" style="102" customWidth="1"/>
    <col min="16132" max="16384" width="9.140625" style="102"/>
  </cols>
  <sheetData>
    <row r="1" spans="1:6" s="101" customFormat="1" ht="15" x14ac:dyDescent="0.25">
      <c r="A1" t="s">
        <v>13062</v>
      </c>
      <c r="B1"/>
      <c r="C1" s="200"/>
      <c r="D1" s="200"/>
      <c r="E1" s="200"/>
    </row>
    <row r="2" spans="1:6" s="101" customFormat="1" ht="15" x14ac:dyDescent="0.25">
      <c r="A2" t="s">
        <v>156</v>
      </c>
      <c r="B2"/>
      <c r="C2" s="200"/>
      <c r="D2" s="200"/>
      <c r="E2" s="200"/>
    </row>
    <row r="3" spans="1:6" s="101" customFormat="1" ht="15" x14ac:dyDescent="0.25">
      <c r="A3" t="s">
        <v>13063</v>
      </c>
      <c r="B3"/>
      <c r="C3" s="200"/>
      <c r="D3" s="200"/>
      <c r="E3" s="200"/>
    </row>
    <row r="4" spans="1:6" s="101" customFormat="1" ht="15" x14ac:dyDescent="0.25">
      <c r="A4" t="s">
        <v>1100</v>
      </c>
      <c r="B4"/>
      <c r="C4" s="200"/>
      <c r="D4" s="200"/>
      <c r="E4" s="200"/>
    </row>
    <row r="5" spans="1:6" s="101" customFormat="1" ht="15" x14ac:dyDescent="0.25">
      <c r="A5" t="s">
        <v>12731</v>
      </c>
      <c r="B5"/>
      <c r="C5" s="200"/>
      <c r="D5" s="200"/>
      <c r="E5" s="200"/>
    </row>
    <row r="6" spans="1:6" s="101" customFormat="1" ht="15" x14ac:dyDescent="0.2">
      <c r="A6" s="200" t="s">
        <v>156</v>
      </c>
      <c r="B6" s="200"/>
      <c r="C6" s="200"/>
      <c r="D6" s="200"/>
      <c r="E6" s="200"/>
    </row>
    <row r="7" spans="1:6" s="101" customFormat="1" ht="15" x14ac:dyDescent="0.25">
      <c r="A7" s="461" t="s">
        <v>1101</v>
      </c>
      <c r="B7" s="460" t="s">
        <v>1102</v>
      </c>
      <c r="C7" s="461" t="s">
        <v>12728</v>
      </c>
      <c r="D7" s="461" t="s">
        <v>12729</v>
      </c>
      <c r="E7" s="461" t="s">
        <v>1978</v>
      </c>
      <c r="F7" s="461" t="s">
        <v>12730</v>
      </c>
    </row>
    <row r="8" spans="1:6" ht="30" x14ac:dyDescent="0.25">
      <c r="A8" s="461">
        <v>38605</v>
      </c>
      <c r="B8" s="460" t="s">
        <v>8325</v>
      </c>
      <c r="C8" s="461" t="s">
        <v>1104</v>
      </c>
      <c r="D8" s="461">
        <v>124.38</v>
      </c>
      <c r="E8" s="461" t="s">
        <v>161</v>
      </c>
      <c r="F8" s="461" t="s">
        <v>8326</v>
      </c>
    </row>
    <row r="9" spans="1:6" ht="30" x14ac:dyDescent="0.25">
      <c r="A9" s="461">
        <v>11270</v>
      </c>
      <c r="B9" s="460" t="s">
        <v>8327</v>
      </c>
      <c r="C9" s="461" t="s">
        <v>1104</v>
      </c>
      <c r="D9" s="461">
        <v>2.86</v>
      </c>
      <c r="E9" s="461" t="s">
        <v>161</v>
      </c>
      <c r="F9" s="461" t="s">
        <v>8328</v>
      </c>
    </row>
    <row r="10" spans="1:6" ht="30" x14ac:dyDescent="0.25">
      <c r="A10" s="461">
        <v>412</v>
      </c>
      <c r="B10" s="460" t="s">
        <v>8329</v>
      </c>
      <c r="C10" s="461" t="s">
        <v>1104</v>
      </c>
      <c r="D10" s="461">
        <v>1.02</v>
      </c>
      <c r="E10" s="461" t="s">
        <v>161</v>
      </c>
      <c r="F10" s="461" t="s">
        <v>8326</v>
      </c>
    </row>
    <row r="11" spans="1:6" ht="30" x14ac:dyDescent="0.25">
      <c r="A11" s="461">
        <v>414</v>
      </c>
      <c r="B11" s="460" t="s">
        <v>8330</v>
      </c>
      <c r="C11" s="461" t="s">
        <v>1104</v>
      </c>
      <c r="D11" s="461">
        <v>0.06</v>
      </c>
      <c r="E11" s="461" t="s">
        <v>161</v>
      </c>
      <c r="F11" s="461" t="s">
        <v>8326</v>
      </c>
    </row>
    <row r="12" spans="1:6" ht="30" x14ac:dyDescent="0.25">
      <c r="A12" s="461">
        <v>410</v>
      </c>
      <c r="B12" s="460" t="s">
        <v>8331</v>
      </c>
      <c r="C12" s="461" t="s">
        <v>1104</v>
      </c>
      <c r="D12" s="461">
        <v>0.15</v>
      </c>
      <c r="E12" s="461" t="s">
        <v>161</v>
      </c>
      <c r="F12" s="461" t="s">
        <v>8326</v>
      </c>
    </row>
    <row r="13" spans="1:6" ht="30" x14ac:dyDescent="0.25">
      <c r="A13" s="461">
        <v>411</v>
      </c>
      <c r="B13" s="460" t="s">
        <v>8332</v>
      </c>
      <c r="C13" s="461" t="s">
        <v>1104</v>
      </c>
      <c r="D13" s="461">
        <v>0.2</v>
      </c>
      <c r="E13" s="461" t="s">
        <v>161</v>
      </c>
      <c r="F13" s="461" t="s">
        <v>8333</v>
      </c>
    </row>
    <row r="14" spans="1:6" ht="30" x14ac:dyDescent="0.25">
      <c r="A14" s="461">
        <v>408</v>
      </c>
      <c r="B14" s="460" t="s">
        <v>8334</v>
      </c>
      <c r="C14" s="461" t="s">
        <v>1104</v>
      </c>
      <c r="D14" s="461">
        <v>0.99</v>
      </c>
      <c r="E14" s="461" t="s">
        <v>161</v>
      </c>
      <c r="F14" s="461" t="s">
        <v>8326</v>
      </c>
    </row>
    <row r="15" spans="1:6" ht="30" x14ac:dyDescent="0.25">
      <c r="A15" s="461">
        <v>39131</v>
      </c>
      <c r="B15" s="460" t="s">
        <v>8335</v>
      </c>
      <c r="C15" s="461" t="s">
        <v>1104</v>
      </c>
      <c r="D15" s="461">
        <v>3.64</v>
      </c>
      <c r="E15" s="461" t="s">
        <v>161</v>
      </c>
      <c r="F15" s="461" t="s">
        <v>8326</v>
      </c>
    </row>
    <row r="16" spans="1:6" ht="30" x14ac:dyDescent="0.25">
      <c r="A16" s="461">
        <v>394</v>
      </c>
      <c r="B16" s="460" t="s">
        <v>8336</v>
      </c>
      <c r="C16" s="461" t="s">
        <v>1104</v>
      </c>
      <c r="D16" s="461">
        <v>3.68</v>
      </c>
      <c r="E16" s="461" t="s">
        <v>161</v>
      </c>
      <c r="F16" s="461" t="s">
        <v>8326</v>
      </c>
    </row>
    <row r="17" spans="1:6" ht="30" x14ac:dyDescent="0.25">
      <c r="A17" s="461">
        <v>39130</v>
      </c>
      <c r="B17" s="460" t="s">
        <v>8337</v>
      </c>
      <c r="C17" s="461" t="s">
        <v>1104</v>
      </c>
      <c r="D17" s="461">
        <v>3.32</v>
      </c>
      <c r="E17" s="461" t="s">
        <v>161</v>
      </c>
      <c r="F17" s="461" t="s">
        <v>8326</v>
      </c>
    </row>
    <row r="18" spans="1:6" ht="30" x14ac:dyDescent="0.25">
      <c r="A18" s="461">
        <v>395</v>
      </c>
      <c r="B18" s="460" t="s">
        <v>8338</v>
      </c>
      <c r="C18" s="461" t="s">
        <v>1104</v>
      </c>
      <c r="D18" s="461">
        <v>3.55</v>
      </c>
      <c r="E18" s="461" t="s">
        <v>161</v>
      </c>
      <c r="F18" s="461" t="s">
        <v>8326</v>
      </c>
    </row>
    <row r="19" spans="1:6" ht="30" x14ac:dyDescent="0.25">
      <c r="A19" s="461">
        <v>39127</v>
      </c>
      <c r="B19" s="460" t="s">
        <v>8339</v>
      </c>
      <c r="C19" s="461" t="s">
        <v>1104</v>
      </c>
      <c r="D19" s="461">
        <v>1.75</v>
      </c>
      <c r="E19" s="461" t="s">
        <v>161</v>
      </c>
      <c r="F19" s="461" t="s">
        <v>8326</v>
      </c>
    </row>
    <row r="20" spans="1:6" ht="30" x14ac:dyDescent="0.25">
      <c r="A20" s="461">
        <v>392</v>
      </c>
      <c r="B20" s="460" t="s">
        <v>8340</v>
      </c>
      <c r="C20" s="461" t="s">
        <v>1104</v>
      </c>
      <c r="D20" s="461">
        <v>1.79</v>
      </c>
      <c r="E20" s="461" t="s">
        <v>161</v>
      </c>
      <c r="F20" s="461" t="s">
        <v>8326</v>
      </c>
    </row>
    <row r="21" spans="1:6" ht="30" x14ac:dyDescent="0.25">
      <c r="A21" s="461">
        <v>39129</v>
      </c>
      <c r="B21" s="460" t="s">
        <v>8341</v>
      </c>
      <c r="C21" s="461" t="s">
        <v>1104</v>
      </c>
      <c r="D21" s="461">
        <v>2.04</v>
      </c>
      <c r="E21" s="461" t="s">
        <v>161</v>
      </c>
      <c r="F21" s="461" t="s">
        <v>8326</v>
      </c>
    </row>
    <row r="22" spans="1:6" ht="30" x14ac:dyDescent="0.25">
      <c r="A22" s="461">
        <v>393</v>
      </c>
      <c r="B22" s="460" t="s">
        <v>8342</v>
      </c>
      <c r="C22" s="461" t="s">
        <v>1104</v>
      </c>
      <c r="D22" s="461">
        <v>2.14</v>
      </c>
      <c r="E22" s="461" t="s">
        <v>161</v>
      </c>
      <c r="F22" s="461" t="s">
        <v>8333</v>
      </c>
    </row>
    <row r="23" spans="1:6" ht="30" x14ac:dyDescent="0.25">
      <c r="A23" s="461">
        <v>39133</v>
      </c>
      <c r="B23" s="460" t="s">
        <v>8343</v>
      </c>
      <c r="C23" s="461" t="s">
        <v>1104</v>
      </c>
      <c r="D23" s="461">
        <v>4.78</v>
      </c>
      <c r="E23" s="461" t="s">
        <v>161</v>
      </c>
      <c r="F23" s="461" t="s">
        <v>8326</v>
      </c>
    </row>
    <row r="24" spans="1:6" ht="30" x14ac:dyDescent="0.25">
      <c r="A24" s="461">
        <v>397</v>
      </c>
      <c r="B24" s="460" t="s">
        <v>8344</v>
      </c>
      <c r="C24" s="461" t="s">
        <v>1104</v>
      </c>
      <c r="D24" s="461">
        <v>5.28</v>
      </c>
      <c r="E24" s="461" t="s">
        <v>161</v>
      </c>
      <c r="F24" s="461" t="s">
        <v>8326</v>
      </c>
    </row>
    <row r="25" spans="1:6" ht="30" x14ac:dyDescent="0.25">
      <c r="A25" s="461">
        <v>39132</v>
      </c>
      <c r="B25" s="460" t="s">
        <v>8345</v>
      </c>
      <c r="C25" s="461" t="s">
        <v>1104</v>
      </c>
      <c r="D25" s="461">
        <v>3.82</v>
      </c>
      <c r="E25" s="461" t="s">
        <v>161</v>
      </c>
      <c r="F25" s="461" t="s">
        <v>8326</v>
      </c>
    </row>
    <row r="26" spans="1:6" ht="30" x14ac:dyDescent="0.25">
      <c r="A26" s="461">
        <v>396</v>
      </c>
      <c r="B26" s="460" t="s">
        <v>8346</v>
      </c>
      <c r="C26" s="461" t="s">
        <v>1104</v>
      </c>
      <c r="D26" s="461">
        <v>4.09</v>
      </c>
      <c r="E26" s="461" t="s">
        <v>161</v>
      </c>
      <c r="F26" s="461" t="s">
        <v>8326</v>
      </c>
    </row>
    <row r="27" spans="1:6" ht="30" x14ac:dyDescent="0.25">
      <c r="A27" s="461">
        <v>39135</v>
      </c>
      <c r="B27" s="460" t="s">
        <v>8347</v>
      </c>
      <c r="C27" s="461" t="s">
        <v>1104</v>
      </c>
      <c r="D27" s="461">
        <v>7.64</v>
      </c>
      <c r="E27" s="461" t="s">
        <v>161</v>
      </c>
      <c r="F27" s="461" t="s">
        <v>8326</v>
      </c>
    </row>
    <row r="28" spans="1:6" ht="30" x14ac:dyDescent="0.25">
      <c r="A28" s="461">
        <v>39128</v>
      </c>
      <c r="B28" s="460" t="s">
        <v>8348</v>
      </c>
      <c r="C28" s="461" t="s">
        <v>1104</v>
      </c>
      <c r="D28" s="461">
        <v>1.91</v>
      </c>
      <c r="E28" s="461" t="s">
        <v>161</v>
      </c>
      <c r="F28" s="461" t="s">
        <v>8326</v>
      </c>
    </row>
    <row r="29" spans="1:6" ht="30" x14ac:dyDescent="0.25">
      <c r="A29" s="461">
        <v>400</v>
      </c>
      <c r="B29" s="460" t="s">
        <v>8349</v>
      </c>
      <c r="C29" s="461" t="s">
        <v>1104</v>
      </c>
      <c r="D29" s="461">
        <v>1.86</v>
      </c>
      <c r="E29" s="461" t="s">
        <v>161</v>
      </c>
      <c r="F29" s="461" t="s">
        <v>8326</v>
      </c>
    </row>
    <row r="30" spans="1:6" ht="30" x14ac:dyDescent="0.25">
      <c r="A30" s="461">
        <v>39125</v>
      </c>
      <c r="B30" s="460" t="s">
        <v>8350</v>
      </c>
      <c r="C30" s="461" t="s">
        <v>1104</v>
      </c>
      <c r="D30" s="461">
        <v>1.91</v>
      </c>
      <c r="E30" s="461" t="s">
        <v>161</v>
      </c>
      <c r="F30" s="461" t="s">
        <v>8326</v>
      </c>
    </row>
    <row r="31" spans="1:6" ht="30" x14ac:dyDescent="0.25">
      <c r="A31" s="461">
        <v>39134</v>
      </c>
      <c r="B31" s="460" t="s">
        <v>8351</v>
      </c>
      <c r="C31" s="461" t="s">
        <v>1104</v>
      </c>
      <c r="D31" s="461">
        <v>6.37</v>
      </c>
      <c r="E31" s="461" t="s">
        <v>161</v>
      </c>
      <c r="F31" s="461" t="s">
        <v>8326</v>
      </c>
    </row>
    <row r="32" spans="1:6" ht="30" x14ac:dyDescent="0.25">
      <c r="A32" s="461">
        <v>398</v>
      </c>
      <c r="B32" s="460" t="s">
        <v>8352</v>
      </c>
      <c r="C32" s="461" t="s">
        <v>1104</v>
      </c>
      <c r="D32" s="461">
        <v>5.87</v>
      </c>
      <c r="E32" s="461" t="s">
        <v>161</v>
      </c>
      <c r="F32" s="461" t="s">
        <v>8326</v>
      </c>
    </row>
    <row r="33" spans="1:6" ht="30" x14ac:dyDescent="0.25">
      <c r="A33" s="461">
        <v>39126</v>
      </c>
      <c r="B33" s="460" t="s">
        <v>8353</v>
      </c>
      <c r="C33" s="461" t="s">
        <v>1104</v>
      </c>
      <c r="D33" s="461">
        <v>8.6</v>
      </c>
      <c r="E33" s="461" t="s">
        <v>161</v>
      </c>
      <c r="F33" s="461" t="s">
        <v>8326</v>
      </c>
    </row>
    <row r="34" spans="1:6" ht="30" x14ac:dyDescent="0.25">
      <c r="A34" s="461">
        <v>399</v>
      </c>
      <c r="B34" s="460" t="s">
        <v>8354</v>
      </c>
      <c r="C34" s="461" t="s">
        <v>1104</v>
      </c>
      <c r="D34" s="461">
        <v>7.58</v>
      </c>
      <c r="E34" s="461" t="s">
        <v>161</v>
      </c>
      <c r="F34" s="461" t="s">
        <v>8326</v>
      </c>
    </row>
    <row r="35" spans="1:6" ht="30" x14ac:dyDescent="0.25">
      <c r="A35" s="461">
        <v>39158</v>
      </c>
      <c r="B35" s="460" t="s">
        <v>8355</v>
      </c>
      <c r="C35" s="461" t="s">
        <v>1104</v>
      </c>
      <c r="D35" s="461">
        <v>20.350000000000001</v>
      </c>
      <c r="E35" s="461" t="s">
        <v>161</v>
      </c>
      <c r="F35" s="461" t="s">
        <v>8326</v>
      </c>
    </row>
    <row r="36" spans="1:6" ht="30" x14ac:dyDescent="0.25">
      <c r="A36" s="461">
        <v>39141</v>
      </c>
      <c r="B36" s="460" t="s">
        <v>8356</v>
      </c>
      <c r="C36" s="461" t="s">
        <v>1104</v>
      </c>
      <c r="D36" s="461">
        <v>1.47</v>
      </c>
      <c r="E36" s="461" t="s">
        <v>161</v>
      </c>
      <c r="F36" s="461" t="s">
        <v>8326</v>
      </c>
    </row>
    <row r="37" spans="1:6" ht="30" x14ac:dyDescent="0.25">
      <c r="A37" s="461">
        <v>39140</v>
      </c>
      <c r="B37" s="460" t="s">
        <v>8357</v>
      </c>
      <c r="C37" s="461" t="s">
        <v>1104</v>
      </c>
      <c r="D37" s="461">
        <v>1.34</v>
      </c>
      <c r="E37" s="461" t="s">
        <v>161</v>
      </c>
      <c r="F37" s="461" t="s">
        <v>8326</v>
      </c>
    </row>
    <row r="38" spans="1:6" ht="30" x14ac:dyDescent="0.25">
      <c r="A38" s="461">
        <v>39137</v>
      </c>
      <c r="B38" s="460" t="s">
        <v>8358</v>
      </c>
      <c r="C38" s="461" t="s">
        <v>1104</v>
      </c>
      <c r="D38" s="461">
        <v>0.77</v>
      </c>
      <c r="E38" s="461" t="s">
        <v>161</v>
      </c>
      <c r="F38" s="461" t="s">
        <v>8326</v>
      </c>
    </row>
    <row r="39" spans="1:6" ht="30" x14ac:dyDescent="0.25">
      <c r="A39" s="461">
        <v>39139</v>
      </c>
      <c r="B39" s="460" t="s">
        <v>8359</v>
      </c>
      <c r="C39" s="461" t="s">
        <v>1104</v>
      </c>
      <c r="D39" s="461">
        <v>1.1100000000000001</v>
      </c>
      <c r="E39" s="461" t="s">
        <v>161</v>
      </c>
      <c r="F39" s="461" t="s">
        <v>8326</v>
      </c>
    </row>
    <row r="40" spans="1:6" ht="30" x14ac:dyDescent="0.25">
      <c r="A40" s="461">
        <v>39143</v>
      </c>
      <c r="B40" s="460" t="s">
        <v>8360</v>
      </c>
      <c r="C40" s="461" t="s">
        <v>1104</v>
      </c>
      <c r="D40" s="461">
        <v>3.05</v>
      </c>
      <c r="E40" s="461" t="s">
        <v>161</v>
      </c>
      <c r="F40" s="461" t="s">
        <v>8326</v>
      </c>
    </row>
    <row r="41" spans="1:6" ht="30" x14ac:dyDescent="0.25">
      <c r="A41" s="461">
        <v>39142</v>
      </c>
      <c r="B41" s="460" t="s">
        <v>8361</v>
      </c>
      <c r="C41" s="461" t="s">
        <v>1104</v>
      </c>
      <c r="D41" s="461">
        <v>2.1800000000000002</v>
      </c>
      <c r="E41" s="461" t="s">
        <v>161</v>
      </c>
      <c r="F41" s="461" t="s">
        <v>8326</v>
      </c>
    </row>
    <row r="42" spans="1:6" ht="30" x14ac:dyDescent="0.25">
      <c r="A42" s="461">
        <v>39138</v>
      </c>
      <c r="B42" s="460" t="s">
        <v>8362</v>
      </c>
      <c r="C42" s="461" t="s">
        <v>1104</v>
      </c>
      <c r="D42" s="461">
        <v>0.81</v>
      </c>
      <c r="E42" s="461" t="s">
        <v>161</v>
      </c>
      <c r="F42" s="461" t="s">
        <v>8326</v>
      </c>
    </row>
    <row r="43" spans="1:6" ht="30" x14ac:dyDescent="0.25">
      <c r="A43" s="461">
        <v>39136</v>
      </c>
      <c r="B43" s="460" t="s">
        <v>8363</v>
      </c>
      <c r="C43" s="461" t="s">
        <v>1104</v>
      </c>
      <c r="D43" s="461">
        <v>0.54</v>
      </c>
      <c r="E43" s="461" t="s">
        <v>161</v>
      </c>
      <c r="F43" s="461" t="s">
        <v>8326</v>
      </c>
    </row>
    <row r="44" spans="1:6" ht="30" x14ac:dyDescent="0.25">
      <c r="A44" s="461">
        <v>39144</v>
      </c>
      <c r="B44" s="460" t="s">
        <v>8364</v>
      </c>
      <c r="C44" s="461" t="s">
        <v>1104</v>
      </c>
      <c r="D44" s="461">
        <v>3.55</v>
      </c>
      <c r="E44" s="461" t="s">
        <v>161</v>
      </c>
      <c r="F44" s="461" t="s">
        <v>8326</v>
      </c>
    </row>
    <row r="45" spans="1:6" ht="30" x14ac:dyDescent="0.25">
      <c r="A45" s="461">
        <v>39145</v>
      </c>
      <c r="B45" s="460" t="s">
        <v>8365</v>
      </c>
      <c r="C45" s="461" t="s">
        <v>1104</v>
      </c>
      <c r="D45" s="461">
        <v>5.85</v>
      </c>
      <c r="E45" s="461" t="s">
        <v>161</v>
      </c>
      <c r="F45" s="461" t="s">
        <v>8326</v>
      </c>
    </row>
    <row r="46" spans="1:6" ht="30" x14ac:dyDescent="0.25">
      <c r="A46" s="461">
        <v>12615</v>
      </c>
      <c r="B46" s="460" t="s">
        <v>8366</v>
      </c>
      <c r="C46" s="461" t="s">
        <v>1104</v>
      </c>
      <c r="D46" s="461">
        <v>10.48</v>
      </c>
      <c r="E46" s="461" t="s">
        <v>161</v>
      </c>
      <c r="F46" s="461" t="s">
        <v>8326</v>
      </c>
    </row>
    <row r="47" spans="1:6" ht="30" x14ac:dyDescent="0.25">
      <c r="A47" s="461">
        <v>11927</v>
      </c>
      <c r="B47" s="460" t="s">
        <v>13064</v>
      </c>
      <c r="C47" s="461" t="s">
        <v>1104</v>
      </c>
      <c r="D47" s="461">
        <v>8.56</v>
      </c>
      <c r="E47" s="461" t="s">
        <v>161</v>
      </c>
      <c r="F47" s="461" t="s">
        <v>8328</v>
      </c>
    </row>
    <row r="48" spans="1:6" ht="30" x14ac:dyDescent="0.25">
      <c r="A48" s="461">
        <v>11928</v>
      </c>
      <c r="B48" s="460" t="s">
        <v>13065</v>
      </c>
      <c r="C48" s="461" t="s">
        <v>1104</v>
      </c>
      <c r="D48" s="461">
        <v>9.8000000000000007</v>
      </c>
      <c r="E48" s="461" t="s">
        <v>161</v>
      </c>
      <c r="F48" s="461" t="s">
        <v>8328</v>
      </c>
    </row>
    <row r="49" spans="1:6" ht="30" x14ac:dyDescent="0.25">
      <c r="A49" s="461">
        <v>11929</v>
      </c>
      <c r="B49" s="460" t="s">
        <v>13066</v>
      </c>
      <c r="C49" s="461" t="s">
        <v>1104</v>
      </c>
      <c r="D49" s="461">
        <v>15.17</v>
      </c>
      <c r="E49" s="461" t="s">
        <v>161</v>
      </c>
      <c r="F49" s="461" t="s">
        <v>8328</v>
      </c>
    </row>
    <row r="50" spans="1:6" ht="30" x14ac:dyDescent="0.25">
      <c r="A50" s="461">
        <v>36801</v>
      </c>
      <c r="B50" s="460" t="s">
        <v>13067</v>
      </c>
      <c r="C50" s="461" t="s">
        <v>1104</v>
      </c>
      <c r="D50" s="461">
        <v>33.01</v>
      </c>
      <c r="E50" s="461" t="s">
        <v>161</v>
      </c>
      <c r="F50" s="461" t="s">
        <v>8326</v>
      </c>
    </row>
    <row r="51" spans="1:6" ht="30" x14ac:dyDescent="0.25">
      <c r="A51" s="461">
        <v>36246</v>
      </c>
      <c r="B51" s="460" t="s">
        <v>8367</v>
      </c>
      <c r="C51" s="461" t="s">
        <v>1107</v>
      </c>
      <c r="D51" s="461">
        <v>2.95</v>
      </c>
      <c r="E51" s="461" t="s">
        <v>161</v>
      </c>
      <c r="F51" s="461" t="s">
        <v>8326</v>
      </c>
    </row>
    <row r="52" spans="1:6" ht="15" x14ac:dyDescent="0.25">
      <c r="A52" s="461">
        <v>37600</v>
      </c>
      <c r="B52" s="460" t="s">
        <v>8368</v>
      </c>
      <c r="C52" s="461" t="s">
        <v>1104</v>
      </c>
      <c r="D52" s="461">
        <v>115.69</v>
      </c>
      <c r="E52" s="461" t="s">
        <v>161</v>
      </c>
      <c r="F52" s="461" t="s">
        <v>8328</v>
      </c>
    </row>
    <row r="53" spans="1:6" ht="30" x14ac:dyDescent="0.25">
      <c r="A53" s="461">
        <v>37599</v>
      </c>
      <c r="B53" s="460" t="s">
        <v>8369</v>
      </c>
      <c r="C53" s="461" t="s">
        <v>1104</v>
      </c>
      <c r="D53" s="461">
        <v>107.68</v>
      </c>
      <c r="E53" s="461" t="s">
        <v>161</v>
      </c>
      <c r="F53" s="461" t="s">
        <v>8328</v>
      </c>
    </row>
    <row r="54" spans="1:6" ht="30" x14ac:dyDescent="0.25">
      <c r="A54" s="461">
        <v>1</v>
      </c>
      <c r="B54" s="460" t="s">
        <v>8370</v>
      </c>
      <c r="C54" s="461" t="s">
        <v>1108</v>
      </c>
      <c r="D54" s="461">
        <v>89.5</v>
      </c>
      <c r="E54" s="461" t="s">
        <v>161</v>
      </c>
      <c r="F54" s="461" t="s">
        <v>8328</v>
      </c>
    </row>
    <row r="55" spans="1:6" ht="15" x14ac:dyDescent="0.25">
      <c r="A55" s="461">
        <v>3</v>
      </c>
      <c r="B55" s="460" t="s">
        <v>8371</v>
      </c>
      <c r="C55" s="461" t="s">
        <v>1109</v>
      </c>
      <c r="D55" s="461">
        <v>14.05</v>
      </c>
      <c r="E55" s="461" t="s">
        <v>161</v>
      </c>
      <c r="F55" s="461" t="s">
        <v>8326</v>
      </c>
    </row>
    <row r="56" spans="1:6" ht="30" x14ac:dyDescent="0.25">
      <c r="A56" s="461">
        <v>43054</v>
      </c>
      <c r="B56" s="460" t="s">
        <v>8372</v>
      </c>
      <c r="C56" s="461" t="s">
        <v>1108</v>
      </c>
      <c r="D56" s="461">
        <v>8.48</v>
      </c>
      <c r="E56" s="461" t="s">
        <v>161</v>
      </c>
      <c r="F56" s="461" t="s">
        <v>8326</v>
      </c>
    </row>
    <row r="57" spans="1:6" ht="15" x14ac:dyDescent="0.25">
      <c r="A57" s="461">
        <v>42402</v>
      </c>
      <c r="B57" s="460" t="s">
        <v>8373</v>
      </c>
      <c r="C57" s="461" t="s">
        <v>1108</v>
      </c>
      <c r="D57" s="461">
        <v>8.11</v>
      </c>
      <c r="E57" s="461" t="s">
        <v>161</v>
      </c>
      <c r="F57" s="461" t="s">
        <v>8326</v>
      </c>
    </row>
    <row r="58" spans="1:6" ht="15" x14ac:dyDescent="0.25">
      <c r="A58" s="461">
        <v>42403</v>
      </c>
      <c r="B58" s="460" t="s">
        <v>8374</v>
      </c>
      <c r="C58" s="461" t="s">
        <v>1108</v>
      </c>
      <c r="D58" s="461">
        <v>10.4</v>
      </c>
      <c r="E58" s="461" t="s">
        <v>161</v>
      </c>
      <c r="F58" s="461" t="s">
        <v>8326</v>
      </c>
    </row>
    <row r="59" spans="1:6" ht="15" x14ac:dyDescent="0.25">
      <c r="A59" s="461">
        <v>42404</v>
      </c>
      <c r="B59" s="460" t="s">
        <v>8375</v>
      </c>
      <c r="C59" s="461" t="s">
        <v>1108</v>
      </c>
      <c r="D59" s="461">
        <v>10.34</v>
      </c>
      <c r="E59" s="461" t="s">
        <v>161</v>
      </c>
      <c r="F59" s="461" t="s">
        <v>8326</v>
      </c>
    </row>
    <row r="60" spans="1:6" ht="15" x14ac:dyDescent="0.25">
      <c r="A60" s="461">
        <v>42405</v>
      </c>
      <c r="B60" s="460" t="s">
        <v>8376</v>
      </c>
      <c r="C60" s="461" t="s">
        <v>1108</v>
      </c>
      <c r="D60" s="461">
        <v>11.02</v>
      </c>
      <c r="E60" s="461" t="s">
        <v>161</v>
      </c>
      <c r="F60" s="461" t="s">
        <v>8326</v>
      </c>
    </row>
    <row r="61" spans="1:6" ht="15" x14ac:dyDescent="0.25">
      <c r="A61" s="461">
        <v>34341</v>
      </c>
      <c r="B61" s="460" t="s">
        <v>8377</v>
      </c>
      <c r="C61" s="461" t="s">
        <v>1108</v>
      </c>
      <c r="D61" s="461">
        <v>9.56</v>
      </c>
      <c r="E61" s="461" t="s">
        <v>161</v>
      </c>
      <c r="F61" s="461" t="s">
        <v>8326</v>
      </c>
    </row>
    <row r="62" spans="1:6" ht="15" x14ac:dyDescent="0.25">
      <c r="A62" s="461">
        <v>43053</v>
      </c>
      <c r="B62" s="460" t="s">
        <v>8378</v>
      </c>
      <c r="C62" s="461" t="s">
        <v>1108</v>
      </c>
      <c r="D62" s="461">
        <v>7.58</v>
      </c>
      <c r="E62" s="461" t="s">
        <v>161</v>
      </c>
      <c r="F62" s="461" t="s">
        <v>8326</v>
      </c>
    </row>
    <row r="63" spans="1:6" ht="15" x14ac:dyDescent="0.25">
      <c r="A63" s="461">
        <v>43058</v>
      </c>
      <c r="B63" s="460" t="s">
        <v>8379</v>
      </c>
      <c r="C63" s="461" t="s">
        <v>1108</v>
      </c>
      <c r="D63" s="461">
        <v>7.86</v>
      </c>
      <c r="E63" s="461" t="s">
        <v>161</v>
      </c>
      <c r="F63" s="461" t="s">
        <v>8326</v>
      </c>
    </row>
    <row r="64" spans="1:6" ht="15" x14ac:dyDescent="0.25">
      <c r="A64" s="461">
        <v>34</v>
      </c>
      <c r="B64" s="460" t="s">
        <v>8380</v>
      </c>
      <c r="C64" s="461" t="s">
        <v>1108</v>
      </c>
      <c r="D64" s="461">
        <v>7.89</v>
      </c>
      <c r="E64" s="461" t="s">
        <v>161</v>
      </c>
      <c r="F64" s="461" t="s">
        <v>8326</v>
      </c>
    </row>
    <row r="65" spans="1:6" ht="15" x14ac:dyDescent="0.25">
      <c r="A65" s="461">
        <v>43055</v>
      </c>
      <c r="B65" s="460" t="s">
        <v>8381</v>
      </c>
      <c r="C65" s="461" t="s">
        <v>1108</v>
      </c>
      <c r="D65" s="461">
        <v>6.84</v>
      </c>
      <c r="E65" s="461" t="s">
        <v>161</v>
      </c>
      <c r="F65" s="461" t="s">
        <v>8333</v>
      </c>
    </row>
    <row r="66" spans="1:6" ht="15" x14ac:dyDescent="0.25">
      <c r="A66" s="461">
        <v>43056</v>
      </c>
      <c r="B66" s="460" t="s">
        <v>8382</v>
      </c>
      <c r="C66" s="461" t="s">
        <v>1108</v>
      </c>
      <c r="D66" s="461">
        <v>7.89</v>
      </c>
      <c r="E66" s="461" t="s">
        <v>161</v>
      </c>
      <c r="F66" s="461" t="s">
        <v>8326</v>
      </c>
    </row>
    <row r="67" spans="1:6" ht="15" x14ac:dyDescent="0.25">
      <c r="A67" s="461">
        <v>43057</v>
      </c>
      <c r="B67" s="460" t="s">
        <v>8383</v>
      </c>
      <c r="C67" s="461" t="s">
        <v>1108</v>
      </c>
      <c r="D67" s="461">
        <v>8.67</v>
      </c>
      <c r="E67" s="461" t="s">
        <v>161</v>
      </c>
      <c r="F67" s="461" t="s">
        <v>8326</v>
      </c>
    </row>
    <row r="68" spans="1:6" ht="15" x14ac:dyDescent="0.25">
      <c r="A68" s="461">
        <v>34449</v>
      </c>
      <c r="B68" s="460" t="s">
        <v>8384</v>
      </c>
      <c r="C68" s="461" t="s">
        <v>1108</v>
      </c>
      <c r="D68" s="461">
        <v>9.26</v>
      </c>
      <c r="E68" s="461" t="s">
        <v>161</v>
      </c>
      <c r="F68" s="461" t="s">
        <v>8326</v>
      </c>
    </row>
    <row r="69" spans="1:6" ht="15" x14ac:dyDescent="0.25">
      <c r="A69" s="461">
        <v>32</v>
      </c>
      <c r="B69" s="460" t="s">
        <v>8385</v>
      </c>
      <c r="C69" s="461" t="s">
        <v>1108</v>
      </c>
      <c r="D69" s="461">
        <v>8.33</v>
      </c>
      <c r="E69" s="461" t="s">
        <v>161</v>
      </c>
      <c r="F69" s="461" t="s">
        <v>8326</v>
      </c>
    </row>
    <row r="70" spans="1:6" ht="15" x14ac:dyDescent="0.25">
      <c r="A70" s="461">
        <v>33</v>
      </c>
      <c r="B70" s="460" t="s">
        <v>8386</v>
      </c>
      <c r="C70" s="461" t="s">
        <v>1108</v>
      </c>
      <c r="D70" s="461">
        <v>8.3800000000000008</v>
      </c>
      <c r="E70" s="461" t="s">
        <v>161</v>
      </c>
      <c r="F70" s="461" t="s">
        <v>8326</v>
      </c>
    </row>
    <row r="71" spans="1:6" ht="15" x14ac:dyDescent="0.25">
      <c r="A71" s="461">
        <v>43061</v>
      </c>
      <c r="B71" s="460" t="s">
        <v>8387</v>
      </c>
      <c r="C71" s="461" t="s">
        <v>1108</v>
      </c>
      <c r="D71" s="461">
        <v>7.83</v>
      </c>
      <c r="E71" s="461" t="s">
        <v>161</v>
      </c>
      <c r="F71" s="461" t="s">
        <v>8326</v>
      </c>
    </row>
    <row r="72" spans="1:6" ht="15" x14ac:dyDescent="0.25">
      <c r="A72" s="461">
        <v>43059</v>
      </c>
      <c r="B72" s="460" t="s">
        <v>8388</v>
      </c>
      <c r="C72" s="461" t="s">
        <v>1108</v>
      </c>
      <c r="D72" s="461">
        <v>7.47</v>
      </c>
      <c r="E72" s="461" t="s">
        <v>161</v>
      </c>
      <c r="F72" s="461" t="s">
        <v>8326</v>
      </c>
    </row>
    <row r="73" spans="1:6" ht="15" x14ac:dyDescent="0.25">
      <c r="A73" s="461">
        <v>43062</v>
      </c>
      <c r="B73" s="460" t="s">
        <v>8389</v>
      </c>
      <c r="C73" s="461" t="s">
        <v>1108</v>
      </c>
      <c r="D73" s="461">
        <v>8.2799999999999994</v>
      </c>
      <c r="E73" s="461" t="s">
        <v>161</v>
      </c>
      <c r="F73" s="461" t="s">
        <v>8326</v>
      </c>
    </row>
    <row r="74" spans="1:6" ht="15" x14ac:dyDescent="0.25">
      <c r="A74" s="461">
        <v>43060</v>
      </c>
      <c r="B74" s="460" t="s">
        <v>8390</v>
      </c>
      <c r="C74" s="461" t="s">
        <v>1108</v>
      </c>
      <c r="D74" s="461">
        <v>6.51</v>
      </c>
      <c r="E74" s="461" t="s">
        <v>161</v>
      </c>
      <c r="F74" s="461" t="s">
        <v>8326</v>
      </c>
    </row>
    <row r="75" spans="1:6" ht="30" x14ac:dyDescent="0.25">
      <c r="A75" s="461">
        <v>40410</v>
      </c>
      <c r="B75" s="460" t="s">
        <v>8391</v>
      </c>
      <c r="C75" s="461" t="s">
        <v>1104</v>
      </c>
      <c r="D75" s="461">
        <v>20</v>
      </c>
      <c r="E75" s="461" t="s">
        <v>161</v>
      </c>
      <c r="F75" s="461" t="s">
        <v>8328</v>
      </c>
    </row>
    <row r="76" spans="1:6" ht="30" x14ac:dyDescent="0.25">
      <c r="A76" s="461">
        <v>40411</v>
      </c>
      <c r="B76" s="460" t="s">
        <v>8392</v>
      </c>
      <c r="C76" s="461" t="s">
        <v>1104</v>
      </c>
      <c r="D76" s="461">
        <v>21.7</v>
      </c>
      <c r="E76" s="461" t="s">
        <v>161</v>
      </c>
      <c r="F76" s="461" t="s">
        <v>8328</v>
      </c>
    </row>
    <row r="77" spans="1:6" ht="30" x14ac:dyDescent="0.25">
      <c r="A77" s="461">
        <v>40412</v>
      </c>
      <c r="B77" s="460" t="s">
        <v>8393</v>
      </c>
      <c r="C77" s="461" t="s">
        <v>1104</v>
      </c>
      <c r="D77" s="461">
        <v>24.36</v>
      </c>
      <c r="E77" s="461" t="s">
        <v>161</v>
      </c>
      <c r="F77" s="461" t="s">
        <v>8328</v>
      </c>
    </row>
    <row r="78" spans="1:6" ht="30" x14ac:dyDescent="0.25">
      <c r="A78" s="461">
        <v>44254</v>
      </c>
      <c r="B78" s="460" t="s">
        <v>8394</v>
      </c>
      <c r="C78" s="461" t="s">
        <v>1104</v>
      </c>
      <c r="D78" s="461">
        <v>23.73</v>
      </c>
      <c r="E78" s="461" t="s">
        <v>161</v>
      </c>
      <c r="F78" s="461" t="s">
        <v>8326</v>
      </c>
    </row>
    <row r="79" spans="1:6" ht="30" x14ac:dyDescent="0.25">
      <c r="A79" s="461">
        <v>44255</v>
      </c>
      <c r="B79" s="460" t="s">
        <v>8395</v>
      </c>
      <c r="C79" s="461" t="s">
        <v>1104</v>
      </c>
      <c r="D79" s="461">
        <v>26.3</v>
      </c>
      <c r="E79" s="461" t="s">
        <v>161</v>
      </c>
      <c r="F79" s="461" t="s">
        <v>8326</v>
      </c>
    </row>
    <row r="80" spans="1:6" ht="30" x14ac:dyDescent="0.25">
      <c r="A80" s="461">
        <v>44256</v>
      </c>
      <c r="B80" s="460" t="s">
        <v>8396</v>
      </c>
      <c r="C80" s="461" t="s">
        <v>1104</v>
      </c>
      <c r="D80" s="461">
        <v>29.71</v>
      </c>
      <c r="E80" s="461" t="s">
        <v>161</v>
      </c>
      <c r="F80" s="461" t="s">
        <v>8326</v>
      </c>
    </row>
    <row r="81" spans="1:6" ht="30" x14ac:dyDescent="0.25">
      <c r="A81" s="461">
        <v>44257</v>
      </c>
      <c r="B81" s="460" t="s">
        <v>8397</v>
      </c>
      <c r="C81" s="461" t="s">
        <v>1104</v>
      </c>
      <c r="D81" s="461">
        <v>47</v>
      </c>
      <c r="E81" s="461" t="s">
        <v>161</v>
      </c>
      <c r="F81" s="461" t="s">
        <v>8326</v>
      </c>
    </row>
    <row r="82" spans="1:6" ht="30" x14ac:dyDescent="0.25">
      <c r="A82" s="461">
        <v>44258</v>
      </c>
      <c r="B82" s="460" t="s">
        <v>8398</v>
      </c>
      <c r="C82" s="461" t="s">
        <v>1104</v>
      </c>
      <c r="D82" s="461">
        <v>53.71</v>
      </c>
      <c r="E82" s="461" t="s">
        <v>161</v>
      </c>
      <c r="F82" s="461" t="s">
        <v>8326</v>
      </c>
    </row>
    <row r="83" spans="1:6" ht="30" x14ac:dyDescent="0.25">
      <c r="A83" s="461">
        <v>44259</v>
      </c>
      <c r="B83" s="460" t="s">
        <v>8399</v>
      </c>
      <c r="C83" s="461" t="s">
        <v>1104</v>
      </c>
      <c r="D83" s="461">
        <v>73.73</v>
      </c>
      <c r="E83" s="461" t="s">
        <v>161</v>
      </c>
      <c r="F83" s="461" t="s">
        <v>8326</v>
      </c>
    </row>
    <row r="84" spans="1:6" ht="15" x14ac:dyDescent="0.25">
      <c r="A84" s="461">
        <v>37997</v>
      </c>
      <c r="B84" s="460" t="s">
        <v>8400</v>
      </c>
      <c r="C84" s="461" t="s">
        <v>1104</v>
      </c>
      <c r="D84" s="461">
        <v>14.14</v>
      </c>
      <c r="E84" s="461" t="s">
        <v>161</v>
      </c>
      <c r="F84" s="461" t="s">
        <v>8326</v>
      </c>
    </row>
    <row r="85" spans="1:6" ht="15" x14ac:dyDescent="0.25">
      <c r="A85" s="461">
        <v>37998</v>
      </c>
      <c r="B85" s="460" t="s">
        <v>8401</v>
      </c>
      <c r="C85" s="461" t="s">
        <v>1104</v>
      </c>
      <c r="D85" s="461">
        <v>18.920000000000002</v>
      </c>
      <c r="E85" s="461" t="s">
        <v>161</v>
      </c>
      <c r="F85" s="461" t="s">
        <v>8326</v>
      </c>
    </row>
    <row r="86" spans="1:6" ht="30" x14ac:dyDescent="0.25">
      <c r="A86" s="461">
        <v>55</v>
      </c>
      <c r="B86" s="460" t="s">
        <v>8402</v>
      </c>
      <c r="C86" s="461" t="s">
        <v>1104</v>
      </c>
      <c r="D86" s="461">
        <v>4.17</v>
      </c>
      <c r="E86" s="461" t="s">
        <v>161</v>
      </c>
      <c r="F86" s="461" t="s">
        <v>8328</v>
      </c>
    </row>
    <row r="87" spans="1:6" ht="30" x14ac:dyDescent="0.25">
      <c r="A87" s="461">
        <v>61</v>
      </c>
      <c r="B87" s="460" t="s">
        <v>8403</v>
      </c>
      <c r="C87" s="461" t="s">
        <v>1104</v>
      </c>
      <c r="D87" s="461">
        <v>3.94</v>
      </c>
      <c r="E87" s="461" t="s">
        <v>161</v>
      </c>
      <c r="F87" s="461" t="s">
        <v>8328</v>
      </c>
    </row>
    <row r="88" spans="1:6" ht="30" x14ac:dyDescent="0.25">
      <c r="A88" s="461">
        <v>62</v>
      </c>
      <c r="B88" s="460" t="s">
        <v>8404</v>
      </c>
      <c r="C88" s="461" t="s">
        <v>1104</v>
      </c>
      <c r="D88" s="461">
        <v>8.17</v>
      </c>
      <c r="E88" s="461" t="s">
        <v>161</v>
      </c>
      <c r="F88" s="461" t="s">
        <v>8328</v>
      </c>
    </row>
    <row r="89" spans="1:6" ht="30" x14ac:dyDescent="0.25">
      <c r="A89" s="461">
        <v>10899</v>
      </c>
      <c r="B89" s="460" t="s">
        <v>8405</v>
      </c>
      <c r="C89" s="461" t="s">
        <v>1104</v>
      </c>
      <c r="D89" s="461">
        <v>87.61</v>
      </c>
      <c r="E89" s="461" t="s">
        <v>161</v>
      </c>
      <c r="F89" s="461" t="s">
        <v>8326</v>
      </c>
    </row>
    <row r="90" spans="1:6" ht="30" x14ac:dyDescent="0.25">
      <c r="A90" s="461">
        <v>10900</v>
      </c>
      <c r="B90" s="460" t="s">
        <v>8406</v>
      </c>
      <c r="C90" s="461" t="s">
        <v>1104</v>
      </c>
      <c r="D90" s="461">
        <v>68.569999999999993</v>
      </c>
      <c r="E90" s="461" t="s">
        <v>161</v>
      </c>
      <c r="F90" s="461" t="s">
        <v>8326</v>
      </c>
    </row>
    <row r="91" spans="1:6" ht="15" x14ac:dyDescent="0.25">
      <c r="A91" s="461">
        <v>47</v>
      </c>
      <c r="B91" s="460" t="s">
        <v>8407</v>
      </c>
      <c r="C91" s="461" t="s">
        <v>1104</v>
      </c>
      <c r="D91" s="461">
        <v>64.36</v>
      </c>
      <c r="E91" s="461" t="s">
        <v>161</v>
      </c>
      <c r="F91" s="461" t="s">
        <v>8328</v>
      </c>
    </row>
    <row r="92" spans="1:6" ht="15" x14ac:dyDescent="0.25">
      <c r="A92" s="461">
        <v>48</v>
      </c>
      <c r="B92" s="460" t="s">
        <v>8408</v>
      </c>
      <c r="C92" s="461" t="s">
        <v>1104</v>
      </c>
      <c r="D92" s="461">
        <v>16.79</v>
      </c>
      <c r="E92" s="461" t="s">
        <v>161</v>
      </c>
      <c r="F92" s="461" t="s">
        <v>8328</v>
      </c>
    </row>
    <row r="93" spans="1:6" ht="15" x14ac:dyDescent="0.25">
      <c r="A93" s="461">
        <v>46</v>
      </c>
      <c r="B93" s="460" t="s">
        <v>13068</v>
      </c>
      <c r="C93" s="461" t="s">
        <v>1104</v>
      </c>
      <c r="D93" s="461">
        <v>37.64</v>
      </c>
      <c r="E93" s="461" t="s">
        <v>161</v>
      </c>
      <c r="F93" s="461" t="s">
        <v>8328</v>
      </c>
    </row>
    <row r="94" spans="1:6" ht="15" x14ac:dyDescent="0.25">
      <c r="A94" s="461">
        <v>52</v>
      </c>
      <c r="B94" s="460" t="s">
        <v>13069</v>
      </c>
      <c r="C94" s="461" t="s">
        <v>1104</v>
      </c>
      <c r="D94" s="461">
        <v>12.75</v>
      </c>
      <c r="E94" s="461" t="s">
        <v>161</v>
      </c>
      <c r="F94" s="461" t="s">
        <v>8328</v>
      </c>
    </row>
    <row r="95" spans="1:6" ht="15" x14ac:dyDescent="0.25">
      <c r="A95" s="461">
        <v>43</v>
      </c>
      <c r="B95" s="460" t="s">
        <v>13070</v>
      </c>
      <c r="C95" s="461" t="s">
        <v>1104</v>
      </c>
      <c r="D95" s="461">
        <v>43.04</v>
      </c>
      <c r="E95" s="461" t="s">
        <v>161</v>
      </c>
      <c r="F95" s="461" t="s">
        <v>8328</v>
      </c>
    </row>
    <row r="96" spans="1:6" ht="30" x14ac:dyDescent="0.25">
      <c r="A96" s="461">
        <v>103</v>
      </c>
      <c r="B96" s="460" t="s">
        <v>8409</v>
      </c>
      <c r="C96" s="461" t="s">
        <v>1104</v>
      </c>
      <c r="D96" s="461">
        <v>42.49</v>
      </c>
      <c r="E96" s="461" t="s">
        <v>161</v>
      </c>
      <c r="F96" s="461" t="s">
        <v>8326</v>
      </c>
    </row>
    <row r="97" spans="1:6" ht="30" x14ac:dyDescent="0.25">
      <c r="A97" s="461">
        <v>107</v>
      </c>
      <c r="B97" s="460" t="s">
        <v>8410</v>
      </c>
      <c r="C97" s="461" t="s">
        <v>1104</v>
      </c>
      <c r="D97" s="461">
        <v>0.8</v>
      </c>
      <c r="E97" s="461" t="s">
        <v>161</v>
      </c>
      <c r="F97" s="461" t="s">
        <v>8326</v>
      </c>
    </row>
    <row r="98" spans="1:6" ht="30" x14ac:dyDescent="0.25">
      <c r="A98" s="461">
        <v>65</v>
      </c>
      <c r="B98" s="460" t="s">
        <v>8411</v>
      </c>
      <c r="C98" s="461" t="s">
        <v>1104</v>
      </c>
      <c r="D98" s="461">
        <v>0.87</v>
      </c>
      <c r="E98" s="461" t="s">
        <v>161</v>
      </c>
      <c r="F98" s="461" t="s">
        <v>8326</v>
      </c>
    </row>
    <row r="99" spans="1:6" ht="30" x14ac:dyDescent="0.25">
      <c r="A99" s="461">
        <v>108</v>
      </c>
      <c r="B99" s="460" t="s">
        <v>8412</v>
      </c>
      <c r="C99" s="461" t="s">
        <v>1104</v>
      </c>
      <c r="D99" s="461">
        <v>1.76</v>
      </c>
      <c r="E99" s="461" t="s">
        <v>161</v>
      </c>
      <c r="F99" s="461" t="s">
        <v>8326</v>
      </c>
    </row>
    <row r="100" spans="1:6" ht="30" x14ac:dyDescent="0.25">
      <c r="A100" s="461">
        <v>110</v>
      </c>
      <c r="B100" s="460" t="s">
        <v>8413</v>
      </c>
      <c r="C100" s="461" t="s">
        <v>1104</v>
      </c>
      <c r="D100" s="461">
        <v>6.11</v>
      </c>
      <c r="E100" s="461" t="s">
        <v>161</v>
      </c>
      <c r="F100" s="461" t="s">
        <v>8326</v>
      </c>
    </row>
    <row r="101" spans="1:6" ht="30" x14ac:dyDescent="0.25">
      <c r="A101" s="461">
        <v>109</v>
      </c>
      <c r="B101" s="460" t="s">
        <v>8414</v>
      </c>
      <c r="C101" s="461" t="s">
        <v>1104</v>
      </c>
      <c r="D101" s="461">
        <v>3.64</v>
      </c>
      <c r="E101" s="461" t="s">
        <v>161</v>
      </c>
      <c r="F101" s="461" t="s">
        <v>8326</v>
      </c>
    </row>
    <row r="102" spans="1:6" ht="30" x14ac:dyDescent="0.25">
      <c r="A102" s="461">
        <v>111</v>
      </c>
      <c r="B102" s="460" t="s">
        <v>8415</v>
      </c>
      <c r="C102" s="461" t="s">
        <v>1104</v>
      </c>
      <c r="D102" s="461">
        <v>8.27</v>
      </c>
      <c r="E102" s="461" t="s">
        <v>161</v>
      </c>
      <c r="F102" s="461" t="s">
        <v>8326</v>
      </c>
    </row>
    <row r="103" spans="1:6" ht="30" x14ac:dyDescent="0.25">
      <c r="A103" s="461">
        <v>112</v>
      </c>
      <c r="B103" s="460" t="s">
        <v>8416</v>
      </c>
      <c r="C103" s="461" t="s">
        <v>1104</v>
      </c>
      <c r="D103" s="461">
        <v>4.38</v>
      </c>
      <c r="E103" s="461" t="s">
        <v>161</v>
      </c>
      <c r="F103" s="461" t="s">
        <v>8326</v>
      </c>
    </row>
    <row r="104" spans="1:6" ht="30" x14ac:dyDescent="0.25">
      <c r="A104" s="461">
        <v>113</v>
      </c>
      <c r="B104" s="460" t="s">
        <v>8417</v>
      </c>
      <c r="C104" s="461" t="s">
        <v>1104</v>
      </c>
      <c r="D104" s="461">
        <v>10.97</v>
      </c>
      <c r="E104" s="461" t="s">
        <v>161</v>
      </c>
      <c r="F104" s="461" t="s">
        <v>8326</v>
      </c>
    </row>
    <row r="105" spans="1:6" ht="30" x14ac:dyDescent="0.25">
      <c r="A105" s="461">
        <v>104</v>
      </c>
      <c r="B105" s="460" t="s">
        <v>8418</v>
      </c>
      <c r="C105" s="461" t="s">
        <v>1104</v>
      </c>
      <c r="D105" s="461">
        <v>19.100000000000001</v>
      </c>
      <c r="E105" s="461" t="s">
        <v>161</v>
      </c>
      <c r="F105" s="461" t="s">
        <v>8326</v>
      </c>
    </row>
    <row r="106" spans="1:6" ht="30" x14ac:dyDescent="0.25">
      <c r="A106" s="461">
        <v>102</v>
      </c>
      <c r="B106" s="460" t="s">
        <v>8419</v>
      </c>
      <c r="C106" s="461" t="s">
        <v>1104</v>
      </c>
      <c r="D106" s="461">
        <v>26.33</v>
      </c>
      <c r="E106" s="461" t="s">
        <v>161</v>
      </c>
      <c r="F106" s="461" t="s">
        <v>8326</v>
      </c>
    </row>
    <row r="107" spans="1:6" ht="30" x14ac:dyDescent="0.25">
      <c r="A107" s="461">
        <v>95</v>
      </c>
      <c r="B107" s="460" t="s">
        <v>8420</v>
      </c>
      <c r="C107" s="461" t="s">
        <v>1104</v>
      </c>
      <c r="D107" s="461">
        <v>11.13</v>
      </c>
      <c r="E107" s="461" t="s">
        <v>161</v>
      </c>
      <c r="F107" s="461" t="s">
        <v>8326</v>
      </c>
    </row>
    <row r="108" spans="1:6" ht="30" x14ac:dyDescent="0.25">
      <c r="A108" s="461">
        <v>96</v>
      </c>
      <c r="B108" s="460" t="s">
        <v>8421</v>
      </c>
      <c r="C108" s="461" t="s">
        <v>1104</v>
      </c>
      <c r="D108" s="461">
        <v>12.1</v>
      </c>
      <c r="E108" s="461" t="s">
        <v>161</v>
      </c>
      <c r="F108" s="461" t="s">
        <v>8326</v>
      </c>
    </row>
    <row r="109" spans="1:6" ht="30" x14ac:dyDescent="0.25">
      <c r="A109" s="461">
        <v>97</v>
      </c>
      <c r="B109" s="460" t="s">
        <v>8422</v>
      </c>
      <c r="C109" s="461" t="s">
        <v>1104</v>
      </c>
      <c r="D109" s="461">
        <v>18.21</v>
      </c>
      <c r="E109" s="461" t="s">
        <v>161</v>
      </c>
      <c r="F109" s="461" t="s">
        <v>8326</v>
      </c>
    </row>
    <row r="110" spans="1:6" ht="30" x14ac:dyDescent="0.25">
      <c r="A110" s="461">
        <v>98</v>
      </c>
      <c r="B110" s="460" t="s">
        <v>8423</v>
      </c>
      <c r="C110" s="461" t="s">
        <v>1104</v>
      </c>
      <c r="D110" s="461">
        <v>27.26</v>
      </c>
      <c r="E110" s="461" t="s">
        <v>161</v>
      </c>
      <c r="F110" s="461" t="s">
        <v>8326</v>
      </c>
    </row>
    <row r="111" spans="1:6" ht="30" x14ac:dyDescent="0.25">
      <c r="A111" s="461">
        <v>99</v>
      </c>
      <c r="B111" s="460" t="s">
        <v>8424</v>
      </c>
      <c r="C111" s="461" t="s">
        <v>1104</v>
      </c>
      <c r="D111" s="461">
        <v>25.76</v>
      </c>
      <c r="E111" s="461" t="s">
        <v>161</v>
      </c>
      <c r="F111" s="461" t="s">
        <v>8326</v>
      </c>
    </row>
    <row r="112" spans="1:6" ht="30" x14ac:dyDescent="0.25">
      <c r="A112" s="461">
        <v>60</v>
      </c>
      <c r="B112" s="460" t="s">
        <v>8425</v>
      </c>
      <c r="C112" s="461" t="s">
        <v>1104</v>
      </c>
      <c r="D112" s="461">
        <v>5.41</v>
      </c>
      <c r="E112" s="461" t="s">
        <v>161</v>
      </c>
      <c r="F112" s="461" t="s">
        <v>8328</v>
      </c>
    </row>
    <row r="113" spans="1:6" ht="30" x14ac:dyDescent="0.25">
      <c r="A113" s="461">
        <v>72</v>
      </c>
      <c r="B113" s="460" t="s">
        <v>8426</v>
      </c>
      <c r="C113" s="461" t="s">
        <v>1104</v>
      </c>
      <c r="D113" s="461">
        <v>49.41</v>
      </c>
      <c r="E113" s="461" t="s">
        <v>161</v>
      </c>
      <c r="F113" s="461" t="s">
        <v>8326</v>
      </c>
    </row>
    <row r="114" spans="1:6" ht="30" x14ac:dyDescent="0.25">
      <c r="A114" s="461">
        <v>67</v>
      </c>
      <c r="B114" s="460" t="s">
        <v>13071</v>
      </c>
      <c r="C114" s="461" t="s">
        <v>1104</v>
      </c>
      <c r="D114" s="461">
        <v>15.97</v>
      </c>
      <c r="E114" s="461" t="s">
        <v>161</v>
      </c>
      <c r="F114" s="461" t="s">
        <v>8326</v>
      </c>
    </row>
    <row r="115" spans="1:6" ht="30" x14ac:dyDescent="0.25">
      <c r="A115" s="461">
        <v>71</v>
      </c>
      <c r="B115" s="460" t="s">
        <v>8427</v>
      </c>
      <c r="C115" s="461" t="s">
        <v>1104</v>
      </c>
      <c r="D115" s="461">
        <v>30.51</v>
      </c>
      <c r="E115" s="461" t="s">
        <v>161</v>
      </c>
      <c r="F115" s="461" t="s">
        <v>8326</v>
      </c>
    </row>
    <row r="116" spans="1:6" ht="30" x14ac:dyDescent="0.25">
      <c r="A116" s="461">
        <v>73</v>
      </c>
      <c r="B116" s="460" t="s">
        <v>8428</v>
      </c>
      <c r="C116" s="461" t="s">
        <v>1104</v>
      </c>
      <c r="D116" s="461">
        <v>15.29</v>
      </c>
      <c r="E116" s="461" t="s">
        <v>161</v>
      </c>
      <c r="F116" s="461" t="s">
        <v>8326</v>
      </c>
    </row>
    <row r="117" spans="1:6" ht="30" x14ac:dyDescent="0.25">
      <c r="A117" s="461">
        <v>100</v>
      </c>
      <c r="B117" s="460" t="s">
        <v>8429</v>
      </c>
      <c r="C117" s="461" t="s">
        <v>1104</v>
      </c>
      <c r="D117" s="461">
        <v>45.01</v>
      </c>
      <c r="E117" s="461" t="s">
        <v>161</v>
      </c>
      <c r="F117" s="461" t="s">
        <v>8326</v>
      </c>
    </row>
    <row r="118" spans="1:6" ht="30" x14ac:dyDescent="0.25">
      <c r="A118" s="461">
        <v>75</v>
      </c>
      <c r="B118" s="460" t="s">
        <v>8430</v>
      </c>
      <c r="C118" s="461" t="s">
        <v>1104</v>
      </c>
      <c r="D118" s="461">
        <v>262.43</v>
      </c>
      <c r="E118" s="461" t="s">
        <v>161</v>
      </c>
      <c r="F118" s="461" t="s">
        <v>8326</v>
      </c>
    </row>
    <row r="119" spans="1:6" ht="30" x14ac:dyDescent="0.25">
      <c r="A119" s="461">
        <v>83</v>
      </c>
      <c r="B119" s="460" t="s">
        <v>13072</v>
      </c>
      <c r="C119" s="461" t="s">
        <v>1104</v>
      </c>
      <c r="D119" s="461">
        <v>209.8</v>
      </c>
      <c r="E119" s="461" t="s">
        <v>161</v>
      </c>
      <c r="F119" s="461" t="s">
        <v>8326</v>
      </c>
    </row>
    <row r="120" spans="1:6" ht="15" x14ac:dyDescent="0.25">
      <c r="A120" s="461">
        <v>74</v>
      </c>
      <c r="B120" s="460" t="s">
        <v>8431</v>
      </c>
      <c r="C120" s="461" t="s">
        <v>1104</v>
      </c>
      <c r="D120" s="461">
        <v>299.95999999999998</v>
      </c>
      <c r="E120" s="461" t="s">
        <v>161</v>
      </c>
      <c r="F120" s="461" t="s">
        <v>8326</v>
      </c>
    </row>
    <row r="121" spans="1:6" ht="30" x14ac:dyDescent="0.25">
      <c r="A121" s="461">
        <v>106</v>
      </c>
      <c r="B121" s="460" t="s">
        <v>13073</v>
      </c>
      <c r="C121" s="461" t="s">
        <v>1104</v>
      </c>
      <c r="D121" s="461">
        <v>379.31</v>
      </c>
      <c r="E121" s="461" t="s">
        <v>161</v>
      </c>
      <c r="F121" s="461" t="s">
        <v>8326</v>
      </c>
    </row>
    <row r="122" spans="1:6" ht="30" x14ac:dyDescent="0.25">
      <c r="A122" s="461">
        <v>88</v>
      </c>
      <c r="B122" s="460" t="s">
        <v>13074</v>
      </c>
      <c r="C122" s="461" t="s">
        <v>1104</v>
      </c>
      <c r="D122" s="461">
        <v>10.66</v>
      </c>
      <c r="E122" s="461" t="s">
        <v>161</v>
      </c>
      <c r="F122" s="461" t="s">
        <v>8326</v>
      </c>
    </row>
    <row r="123" spans="1:6" ht="30" x14ac:dyDescent="0.25">
      <c r="A123" s="461">
        <v>82</v>
      </c>
      <c r="B123" s="460" t="s">
        <v>13075</v>
      </c>
      <c r="C123" s="461" t="s">
        <v>1104</v>
      </c>
      <c r="D123" s="461">
        <v>199.61</v>
      </c>
      <c r="E123" s="461" t="s">
        <v>161</v>
      </c>
      <c r="F123" s="461" t="s">
        <v>8326</v>
      </c>
    </row>
    <row r="124" spans="1:6" ht="30" x14ac:dyDescent="0.25">
      <c r="A124" s="461">
        <v>105</v>
      </c>
      <c r="B124" s="460" t="s">
        <v>13076</v>
      </c>
      <c r="C124" s="461" t="s">
        <v>1104</v>
      </c>
      <c r="D124" s="461">
        <v>282.83999999999997</v>
      </c>
      <c r="E124" s="461" t="s">
        <v>161</v>
      </c>
      <c r="F124" s="461" t="s">
        <v>8326</v>
      </c>
    </row>
    <row r="125" spans="1:6" ht="30" x14ac:dyDescent="0.25">
      <c r="A125" s="461">
        <v>39719</v>
      </c>
      <c r="B125" s="460" t="s">
        <v>8432</v>
      </c>
      <c r="C125" s="461" t="s">
        <v>1109</v>
      </c>
      <c r="D125" s="461">
        <v>179.74</v>
      </c>
      <c r="E125" s="461" t="s">
        <v>161</v>
      </c>
      <c r="F125" s="461" t="s">
        <v>8326</v>
      </c>
    </row>
    <row r="126" spans="1:6" ht="15" x14ac:dyDescent="0.25">
      <c r="A126" s="461">
        <v>3410</v>
      </c>
      <c r="B126" s="460" t="s">
        <v>8433</v>
      </c>
      <c r="C126" s="461" t="s">
        <v>1108</v>
      </c>
      <c r="D126" s="461">
        <v>40.43</v>
      </c>
      <c r="E126" s="461" t="s">
        <v>161</v>
      </c>
      <c r="F126" s="461" t="s">
        <v>8326</v>
      </c>
    </row>
    <row r="127" spans="1:6" ht="15" x14ac:dyDescent="0.25">
      <c r="A127" s="461">
        <v>4791</v>
      </c>
      <c r="B127" s="460" t="s">
        <v>8434</v>
      </c>
      <c r="C127" s="461" t="s">
        <v>1108</v>
      </c>
      <c r="D127" s="461">
        <v>49.37</v>
      </c>
      <c r="E127" s="461" t="s">
        <v>161</v>
      </c>
      <c r="F127" s="461" t="s">
        <v>8326</v>
      </c>
    </row>
    <row r="128" spans="1:6" ht="30" x14ac:dyDescent="0.25">
      <c r="A128" s="461">
        <v>157</v>
      </c>
      <c r="B128" s="460" t="s">
        <v>8435</v>
      </c>
      <c r="C128" s="461" t="s">
        <v>1108</v>
      </c>
      <c r="D128" s="461">
        <v>166.73</v>
      </c>
      <c r="E128" s="461" t="s">
        <v>161</v>
      </c>
      <c r="F128" s="461" t="s">
        <v>8326</v>
      </c>
    </row>
    <row r="129" spans="1:6" ht="15" x14ac:dyDescent="0.25">
      <c r="A129" s="461">
        <v>156</v>
      </c>
      <c r="B129" s="460" t="s">
        <v>8436</v>
      </c>
      <c r="C129" s="461" t="s">
        <v>1108</v>
      </c>
      <c r="D129" s="461">
        <v>59.36</v>
      </c>
      <c r="E129" s="461" t="s">
        <v>161</v>
      </c>
      <c r="F129" s="461" t="s">
        <v>8326</v>
      </c>
    </row>
    <row r="130" spans="1:6" ht="30" x14ac:dyDescent="0.25">
      <c r="A130" s="461">
        <v>131</v>
      </c>
      <c r="B130" s="460" t="s">
        <v>8437</v>
      </c>
      <c r="C130" s="461" t="s">
        <v>1108</v>
      </c>
      <c r="D130" s="461">
        <v>50.77</v>
      </c>
      <c r="E130" s="461" t="s">
        <v>161</v>
      </c>
      <c r="F130" s="461" t="s">
        <v>8326</v>
      </c>
    </row>
    <row r="131" spans="1:6" ht="15" x14ac:dyDescent="0.25">
      <c r="A131" s="461">
        <v>21114</v>
      </c>
      <c r="B131" s="460" t="s">
        <v>8438</v>
      </c>
      <c r="C131" s="461" t="s">
        <v>1104</v>
      </c>
      <c r="D131" s="461">
        <v>35.43</v>
      </c>
      <c r="E131" s="461" t="s">
        <v>161</v>
      </c>
      <c r="F131" s="461" t="s">
        <v>8326</v>
      </c>
    </row>
    <row r="132" spans="1:6" ht="15" x14ac:dyDescent="0.25">
      <c r="A132" s="461">
        <v>119</v>
      </c>
      <c r="B132" s="460" t="s">
        <v>8439</v>
      </c>
      <c r="C132" s="461" t="s">
        <v>1104</v>
      </c>
      <c r="D132" s="461">
        <v>8.98</v>
      </c>
      <c r="E132" s="461" t="s">
        <v>161</v>
      </c>
      <c r="F132" s="461" t="s">
        <v>8333</v>
      </c>
    </row>
    <row r="133" spans="1:6" ht="15" x14ac:dyDescent="0.25">
      <c r="A133" s="461">
        <v>122</v>
      </c>
      <c r="B133" s="460" t="s">
        <v>8440</v>
      </c>
      <c r="C133" s="461" t="s">
        <v>1104</v>
      </c>
      <c r="D133" s="461">
        <v>69.09</v>
      </c>
      <c r="E133" s="461" t="s">
        <v>161</v>
      </c>
      <c r="F133" s="461" t="s">
        <v>8326</v>
      </c>
    </row>
    <row r="134" spans="1:6" ht="15" x14ac:dyDescent="0.25">
      <c r="A134" s="461">
        <v>20080</v>
      </c>
      <c r="B134" s="460" t="s">
        <v>8441</v>
      </c>
      <c r="C134" s="461" t="s">
        <v>1104</v>
      </c>
      <c r="D134" s="461">
        <v>22.55</v>
      </c>
      <c r="E134" s="461" t="s">
        <v>161</v>
      </c>
      <c r="F134" s="461" t="s">
        <v>8326</v>
      </c>
    </row>
    <row r="135" spans="1:6" ht="30" x14ac:dyDescent="0.25">
      <c r="A135" s="461">
        <v>124</v>
      </c>
      <c r="B135" s="460" t="s">
        <v>8442</v>
      </c>
      <c r="C135" s="461" t="s">
        <v>1109</v>
      </c>
      <c r="D135" s="461">
        <v>19.579999999999998</v>
      </c>
      <c r="E135" s="461" t="s">
        <v>161</v>
      </c>
      <c r="F135" s="461" t="s">
        <v>8326</v>
      </c>
    </row>
    <row r="136" spans="1:6" ht="15" x14ac:dyDescent="0.25">
      <c r="A136" s="461">
        <v>7334</v>
      </c>
      <c r="B136" s="460" t="s">
        <v>8443</v>
      </c>
      <c r="C136" s="461" t="s">
        <v>1109</v>
      </c>
      <c r="D136" s="461">
        <v>17.149999999999999</v>
      </c>
      <c r="E136" s="461" t="s">
        <v>161</v>
      </c>
      <c r="F136" s="461" t="s">
        <v>8326</v>
      </c>
    </row>
    <row r="137" spans="1:6" ht="15" x14ac:dyDescent="0.25">
      <c r="A137" s="461">
        <v>45146</v>
      </c>
      <c r="B137" s="460" t="s">
        <v>8444</v>
      </c>
      <c r="C137" s="461" t="s">
        <v>1108</v>
      </c>
      <c r="D137" s="461">
        <v>37.54</v>
      </c>
      <c r="E137" s="461" t="s">
        <v>161</v>
      </c>
      <c r="F137" s="461" t="s">
        <v>8326</v>
      </c>
    </row>
    <row r="138" spans="1:6" ht="30" x14ac:dyDescent="0.25">
      <c r="A138" s="461">
        <v>123</v>
      </c>
      <c r="B138" s="460" t="s">
        <v>8445</v>
      </c>
      <c r="C138" s="461" t="s">
        <v>1109</v>
      </c>
      <c r="D138" s="461">
        <v>8.01</v>
      </c>
      <c r="E138" s="461" t="s">
        <v>161</v>
      </c>
      <c r="F138" s="461" t="s">
        <v>8333</v>
      </c>
    </row>
    <row r="139" spans="1:6" ht="30" x14ac:dyDescent="0.25">
      <c r="A139" s="461">
        <v>127</v>
      </c>
      <c r="B139" s="460" t="s">
        <v>8446</v>
      </c>
      <c r="C139" s="461" t="s">
        <v>1109</v>
      </c>
      <c r="D139" s="461">
        <v>19.12</v>
      </c>
      <c r="E139" s="461" t="s">
        <v>161</v>
      </c>
      <c r="F139" s="461" t="s">
        <v>8326</v>
      </c>
    </row>
    <row r="140" spans="1:6" ht="30" x14ac:dyDescent="0.25">
      <c r="A140" s="461">
        <v>133</v>
      </c>
      <c r="B140" s="460" t="s">
        <v>8447</v>
      </c>
      <c r="C140" s="461" t="s">
        <v>1109</v>
      </c>
      <c r="D140" s="461">
        <v>7.94</v>
      </c>
      <c r="E140" s="461" t="s">
        <v>161</v>
      </c>
      <c r="F140" s="461" t="s">
        <v>8326</v>
      </c>
    </row>
    <row r="141" spans="1:6" ht="30" x14ac:dyDescent="0.25">
      <c r="A141" s="461">
        <v>43617</v>
      </c>
      <c r="B141" s="460" t="s">
        <v>8448</v>
      </c>
      <c r="C141" s="461" t="s">
        <v>1109</v>
      </c>
      <c r="D141" s="461">
        <v>8.8699999999999992</v>
      </c>
      <c r="E141" s="461" t="s">
        <v>161</v>
      </c>
      <c r="F141" s="461" t="s">
        <v>8326</v>
      </c>
    </row>
    <row r="142" spans="1:6" ht="30" x14ac:dyDescent="0.25">
      <c r="A142" s="461">
        <v>132</v>
      </c>
      <c r="B142" s="460" t="s">
        <v>8449</v>
      </c>
      <c r="C142" s="461" t="s">
        <v>1109</v>
      </c>
      <c r="D142" s="461">
        <v>8.23</v>
      </c>
      <c r="E142" s="461" t="s">
        <v>161</v>
      </c>
      <c r="F142" s="461" t="s">
        <v>8326</v>
      </c>
    </row>
    <row r="143" spans="1:6" ht="30" x14ac:dyDescent="0.25">
      <c r="A143" s="461">
        <v>43618</v>
      </c>
      <c r="B143" s="460" t="s">
        <v>8450</v>
      </c>
      <c r="C143" s="461" t="s">
        <v>1108</v>
      </c>
      <c r="D143" s="461">
        <v>20.73</v>
      </c>
      <c r="E143" s="461" t="s">
        <v>161</v>
      </c>
      <c r="F143" s="461" t="s">
        <v>8326</v>
      </c>
    </row>
    <row r="144" spans="1:6" ht="45" x14ac:dyDescent="0.25">
      <c r="A144" s="461">
        <v>37476</v>
      </c>
      <c r="B144" s="460" t="s">
        <v>8451</v>
      </c>
      <c r="C144" s="461" t="s">
        <v>1104</v>
      </c>
      <c r="D144" s="511">
        <v>3905.09</v>
      </c>
      <c r="E144" s="461" t="s">
        <v>161</v>
      </c>
      <c r="F144" s="461" t="s">
        <v>8326</v>
      </c>
    </row>
    <row r="145" spans="1:6" ht="45" x14ac:dyDescent="0.25">
      <c r="A145" s="461">
        <v>37478</v>
      </c>
      <c r="B145" s="460" t="s">
        <v>8452</v>
      </c>
      <c r="C145" s="461" t="s">
        <v>1104</v>
      </c>
      <c r="D145" s="511">
        <v>4891.22</v>
      </c>
      <c r="E145" s="461" t="s">
        <v>161</v>
      </c>
      <c r="F145" s="461" t="s">
        <v>8326</v>
      </c>
    </row>
    <row r="146" spans="1:6" ht="45" x14ac:dyDescent="0.25">
      <c r="A146" s="461">
        <v>37477</v>
      </c>
      <c r="B146" s="460" t="s">
        <v>8453</v>
      </c>
      <c r="C146" s="461" t="s">
        <v>1104</v>
      </c>
      <c r="D146" s="511">
        <v>6626.82</v>
      </c>
      <c r="E146" s="461" t="s">
        <v>161</v>
      </c>
      <c r="F146" s="461" t="s">
        <v>8326</v>
      </c>
    </row>
    <row r="147" spans="1:6" ht="45" x14ac:dyDescent="0.25">
      <c r="A147" s="461">
        <v>37479</v>
      </c>
      <c r="B147" s="460" t="s">
        <v>8454</v>
      </c>
      <c r="C147" s="461" t="s">
        <v>1104</v>
      </c>
      <c r="D147" s="511">
        <v>7859.49</v>
      </c>
      <c r="E147" s="461" t="s">
        <v>161</v>
      </c>
      <c r="F147" s="461" t="s">
        <v>8326</v>
      </c>
    </row>
    <row r="148" spans="1:6" ht="15" x14ac:dyDescent="0.25">
      <c r="A148" s="461">
        <v>4319</v>
      </c>
      <c r="B148" s="460" t="s">
        <v>8455</v>
      </c>
      <c r="C148" s="461" t="s">
        <v>1104</v>
      </c>
      <c r="D148" s="461">
        <v>1.95</v>
      </c>
      <c r="E148" s="461" t="s">
        <v>161</v>
      </c>
      <c r="F148" s="461" t="s">
        <v>8328</v>
      </c>
    </row>
    <row r="149" spans="1:6" ht="30" x14ac:dyDescent="0.25">
      <c r="A149" s="461">
        <v>42409</v>
      </c>
      <c r="B149" s="460" t="s">
        <v>8456</v>
      </c>
      <c r="C149" s="461" t="s">
        <v>1108</v>
      </c>
      <c r="D149" s="461">
        <v>13.05</v>
      </c>
      <c r="E149" s="461" t="s">
        <v>161</v>
      </c>
      <c r="F149" s="461" t="s">
        <v>8326</v>
      </c>
    </row>
    <row r="150" spans="1:6" ht="15" x14ac:dyDescent="0.25">
      <c r="A150" s="461">
        <v>40553</v>
      </c>
      <c r="B150" s="460" t="s">
        <v>8457</v>
      </c>
      <c r="C150" s="461" t="s">
        <v>1105</v>
      </c>
      <c r="D150" s="461">
        <v>54</v>
      </c>
      <c r="E150" s="461" t="s">
        <v>161</v>
      </c>
      <c r="F150" s="461" t="s">
        <v>8328</v>
      </c>
    </row>
    <row r="151" spans="1:6" ht="15" x14ac:dyDescent="0.25">
      <c r="A151" s="461">
        <v>6114</v>
      </c>
      <c r="B151" s="460" t="s">
        <v>8458</v>
      </c>
      <c r="C151" s="461" t="s">
        <v>1103</v>
      </c>
      <c r="D151" s="461">
        <v>15.27</v>
      </c>
      <c r="E151" s="461" t="s">
        <v>4455</v>
      </c>
      <c r="F151" s="461" t="s">
        <v>8326</v>
      </c>
    </row>
    <row r="152" spans="1:6" ht="15" x14ac:dyDescent="0.25">
      <c r="A152" s="461">
        <v>40912</v>
      </c>
      <c r="B152" s="460" t="s">
        <v>8459</v>
      </c>
      <c r="C152" s="461" t="s">
        <v>1110</v>
      </c>
      <c r="D152" s="511">
        <v>2722.88</v>
      </c>
      <c r="E152" s="461" t="s">
        <v>4455</v>
      </c>
      <c r="F152" s="461" t="s">
        <v>8326</v>
      </c>
    </row>
    <row r="153" spans="1:6" ht="15" x14ac:dyDescent="0.25">
      <c r="A153" s="461">
        <v>247</v>
      </c>
      <c r="B153" s="460" t="s">
        <v>8460</v>
      </c>
      <c r="C153" s="461" t="s">
        <v>1103</v>
      </c>
      <c r="D153" s="461">
        <v>15.27</v>
      </c>
      <c r="E153" s="461" t="s">
        <v>4455</v>
      </c>
      <c r="F153" s="461" t="s">
        <v>8326</v>
      </c>
    </row>
    <row r="154" spans="1:6" ht="15" x14ac:dyDescent="0.25">
      <c r="A154" s="461">
        <v>40919</v>
      </c>
      <c r="B154" s="460" t="s">
        <v>8461</v>
      </c>
      <c r="C154" s="461" t="s">
        <v>1110</v>
      </c>
      <c r="D154" s="511">
        <v>2722.88</v>
      </c>
      <c r="E154" s="461" t="s">
        <v>4455</v>
      </c>
      <c r="F154" s="461" t="s">
        <v>8326</v>
      </c>
    </row>
    <row r="155" spans="1:6" ht="15" x14ac:dyDescent="0.25">
      <c r="A155" s="461">
        <v>44499</v>
      </c>
      <c r="B155" s="460" t="s">
        <v>8462</v>
      </c>
      <c r="C155" s="461" t="s">
        <v>1103</v>
      </c>
      <c r="D155" s="461">
        <v>15.27</v>
      </c>
      <c r="E155" s="461" t="s">
        <v>4455</v>
      </c>
      <c r="F155" s="461" t="s">
        <v>8326</v>
      </c>
    </row>
    <row r="156" spans="1:6" ht="15" x14ac:dyDescent="0.25">
      <c r="A156" s="461">
        <v>40984</v>
      </c>
      <c r="B156" s="460" t="s">
        <v>8463</v>
      </c>
      <c r="C156" s="461" t="s">
        <v>1110</v>
      </c>
      <c r="D156" s="511">
        <v>2722.88</v>
      </c>
      <c r="E156" s="461" t="s">
        <v>4455</v>
      </c>
      <c r="F156" s="461" t="s">
        <v>8326</v>
      </c>
    </row>
    <row r="157" spans="1:6" ht="15" x14ac:dyDescent="0.25">
      <c r="A157" s="461">
        <v>248</v>
      </c>
      <c r="B157" s="460" t="s">
        <v>8464</v>
      </c>
      <c r="C157" s="461" t="s">
        <v>1103</v>
      </c>
      <c r="D157" s="461">
        <v>15.21</v>
      </c>
      <c r="E157" s="461" t="s">
        <v>4455</v>
      </c>
      <c r="F157" s="461" t="s">
        <v>8326</v>
      </c>
    </row>
    <row r="158" spans="1:6" ht="15" x14ac:dyDescent="0.25">
      <c r="A158" s="461">
        <v>41086</v>
      </c>
      <c r="B158" s="460" t="s">
        <v>8465</v>
      </c>
      <c r="C158" s="461" t="s">
        <v>1110</v>
      </c>
      <c r="D158" s="511">
        <v>2710.91</v>
      </c>
      <c r="E158" s="461" t="s">
        <v>4455</v>
      </c>
      <c r="F158" s="461" t="s">
        <v>8326</v>
      </c>
    </row>
    <row r="159" spans="1:6" ht="15" x14ac:dyDescent="0.25">
      <c r="A159" s="461">
        <v>34466</v>
      </c>
      <c r="B159" s="460" t="s">
        <v>8466</v>
      </c>
      <c r="C159" s="461" t="s">
        <v>1103</v>
      </c>
      <c r="D159" s="461">
        <v>15.27</v>
      </c>
      <c r="E159" s="461" t="s">
        <v>4455</v>
      </c>
      <c r="F159" s="461" t="s">
        <v>8326</v>
      </c>
    </row>
    <row r="160" spans="1:6" ht="15" x14ac:dyDescent="0.25">
      <c r="A160" s="461">
        <v>41083</v>
      </c>
      <c r="B160" s="460" t="s">
        <v>8467</v>
      </c>
      <c r="C160" s="461" t="s">
        <v>1110</v>
      </c>
      <c r="D160" s="511">
        <v>2722.88</v>
      </c>
      <c r="E160" s="461" t="s">
        <v>4455</v>
      </c>
      <c r="F160" s="461" t="s">
        <v>8326</v>
      </c>
    </row>
    <row r="161" spans="1:6" ht="15" x14ac:dyDescent="0.25">
      <c r="A161" s="461">
        <v>252</v>
      </c>
      <c r="B161" s="460" t="s">
        <v>8468</v>
      </c>
      <c r="C161" s="461" t="s">
        <v>1103</v>
      </c>
      <c r="D161" s="461">
        <v>15.27</v>
      </c>
      <c r="E161" s="461" t="s">
        <v>4455</v>
      </c>
      <c r="F161" s="461" t="s">
        <v>8326</v>
      </c>
    </row>
    <row r="162" spans="1:6" ht="15" x14ac:dyDescent="0.25">
      <c r="A162" s="461">
        <v>40909</v>
      </c>
      <c r="B162" s="460" t="s">
        <v>8469</v>
      </c>
      <c r="C162" s="461" t="s">
        <v>1110</v>
      </c>
      <c r="D162" s="511">
        <v>2722.88</v>
      </c>
      <c r="E162" s="461" t="s">
        <v>4455</v>
      </c>
      <c r="F162" s="461" t="s">
        <v>8326</v>
      </c>
    </row>
    <row r="163" spans="1:6" ht="15" x14ac:dyDescent="0.25">
      <c r="A163" s="461">
        <v>242</v>
      </c>
      <c r="B163" s="460" t="s">
        <v>8470</v>
      </c>
      <c r="C163" s="461" t="s">
        <v>1103</v>
      </c>
      <c r="D163" s="461">
        <v>15.21</v>
      </c>
      <c r="E163" s="461" t="s">
        <v>4455</v>
      </c>
      <c r="F163" s="461" t="s">
        <v>8326</v>
      </c>
    </row>
    <row r="164" spans="1:6" ht="15" x14ac:dyDescent="0.25">
      <c r="A164" s="461">
        <v>41085</v>
      </c>
      <c r="B164" s="460" t="s">
        <v>8471</v>
      </c>
      <c r="C164" s="461" t="s">
        <v>1110</v>
      </c>
      <c r="D164" s="511">
        <v>2710.91</v>
      </c>
      <c r="E164" s="461" t="s">
        <v>4455</v>
      </c>
      <c r="F164" s="461" t="s">
        <v>8326</v>
      </c>
    </row>
    <row r="165" spans="1:6" ht="30" x14ac:dyDescent="0.25">
      <c r="A165" s="461">
        <v>427</v>
      </c>
      <c r="B165" s="460" t="s">
        <v>8472</v>
      </c>
      <c r="C165" s="461" t="s">
        <v>1104</v>
      </c>
      <c r="D165" s="461">
        <v>9.31</v>
      </c>
      <c r="E165" s="461" t="s">
        <v>161</v>
      </c>
      <c r="F165" s="461" t="s">
        <v>8326</v>
      </c>
    </row>
    <row r="166" spans="1:6" ht="30" x14ac:dyDescent="0.25">
      <c r="A166" s="461">
        <v>417</v>
      </c>
      <c r="B166" s="460" t="s">
        <v>8473</v>
      </c>
      <c r="C166" s="461" t="s">
        <v>1104</v>
      </c>
      <c r="D166" s="461">
        <v>4.38</v>
      </c>
      <c r="E166" s="461" t="s">
        <v>161</v>
      </c>
      <c r="F166" s="461" t="s">
        <v>8326</v>
      </c>
    </row>
    <row r="167" spans="1:6" ht="30" x14ac:dyDescent="0.25">
      <c r="A167" s="461">
        <v>11273</v>
      </c>
      <c r="B167" s="460" t="s">
        <v>8474</v>
      </c>
      <c r="C167" s="461" t="s">
        <v>1104</v>
      </c>
      <c r="D167" s="461">
        <v>13.61</v>
      </c>
      <c r="E167" s="461" t="s">
        <v>161</v>
      </c>
      <c r="F167" s="461" t="s">
        <v>8326</v>
      </c>
    </row>
    <row r="168" spans="1:6" ht="30" x14ac:dyDescent="0.25">
      <c r="A168" s="461">
        <v>11272</v>
      </c>
      <c r="B168" s="460" t="s">
        <v>8475</v>
      </c>
      <c r="C168" s="461" t="s">
        <v>1104</v>
      </c>
      <c r="D168" s="461">
        <v>8.2200000000000006</v>
      </c>
      <c r="E168" s="461" t="s">
        <v>161</v>
      </c>
      <c r="F168" s="461" t="s">
        <v>8326</v>
      </c>
    </row>
    <row r="169" spans="1:6" ht="30" x14ac:dyDescent="0.25">
      <c r="A169" s="461">
        <v>11275</v>
      </c>
      <c r="B169" s="460" t="s">
        <v>8476</v>
      </c>
      <c r="C169" s="461" t="s">
        <v>1104</v>
      </c>
      <c r="D169" s="461">
        <v>3.29</v>
      </c>
      <c r="E169" s="461" t="s">
        <v>161</v>
      </c>
      <c r="F169" s="461" t="s">
        <v>8326</v>
      </c>
    </row>
    <row r="170" spans="1:6" ht="30" x14ac:dyDescent="0.25">
      <c r="A170" s="461">
        <v>11274</v>
      </c>
      <c r="B170" s="460" t="s">
        <v>8477</v>
      </c>
      <c r="C170" s="461" t="s">
        <v>1104</v>
      </c>
      <c r="D170" s="461">
        <v>2.5099999999999998</v>
      </c>
      <c r="E170" s="461" t="s">
        <v>161</v>
      </c>
      <c r="F170" s="461" t="s">
        <v>8326</v>
      </c>
    </row>
    <row r="171" spans="1:6" ht="15" x14ac:dyDescent="0.25">
      <c r="A171" s="461">
        <v>38470</v>
      </c>
      <c r="B171" s="460" t="s">
        <v>13077</v>
      </c>
      <c r="C171" s="461" t="s">
        <v>1104</v>
      </c>
      <c r="D171" s="461">
        <v>41.99</v>
      </c>
      <c r="E171" s="461" t="s">
        <v>161</v>
      </c>
      <c r="F171" s="461" t="s">
        <v>8333</v>
      </c>
    </row>
    <row r="172" spans="1:6" ht="15" x14ac:dyDescent="0.25">
      <c r="A172" s="461">
        <v>38547</v>
      </c>
      <c r="B172" s="460" t="s">
        <v>8478</v>
      </c>
      <c r="C172" s="461" t="s">
        <v>1104</v>
      </c>
      <c r="D172" s="461">
        <v>114.58</v>
      </c>
      <c r="E172" s="461" t="s">
        <v>161</v>
      </c>
      <c r="F172" s="461" t="s">
        <v>8326</v>
      </c>
    </row>
    <row r="173" spans="1:6" ht="15" x14ac:dyDescent="0.25">
      <c r="A173" s="461">
        <v>38469</v>
      </c>
      <c r="B173" s="460" t="s">
        <v>13078</v>
      </c>
      <c r="C173" s="461" t="s">
        <v>1104</v>
      </c>
      <c r="D173" s="461">
        <v>123.21</v>
      </c>
      <c r="E173" s="461" t="s">
        <v>161</v>
      </c>
      <c r="F173" s="461" t="s">
        <v>8326</v>
      </c>
    </row>
    <row r="174" spans="1:6" ht="15" x14ac:dyDescent="0.25">
      <c r="A174" s="461">
        <v>38467</v>
      </c>
      <c r="B174" s="460" t="s">
        <v>13079</v>
      </c>
      <c r="C174" s="461" t="s">
        <v>1104</v>
      </c>
      <c r="D174" s="461">
        <v>69.319999999999993</v>
      </c>
      <c r="E174" s="461" t="s">
        <v>161</v>
      </c>
      <c r="F174" s="461" t="s">
        <v>8326</v>
      </c>
    </row>
    <row r="175" spans="1:6" ht="15" x14ac:dyDescent="0.25">
      <c r="A175" s="461">
        <v>38468</v>
      </c>
      <c r="B175" s="460" t="s">
        <v>13080</v>
      </c>
      <c r="C175" s="461" t="s">
        <v>1104</v>
      </c>
      <c r="D175" s="461">
        <v>76.28</v>
      </c>
      <c r="E175" s="461" t="s">
        <v>161</v>
      </c>
      <c r="F175" s="461" t="s">
        <v>8326</v>
      </c>
    </row>
    <row r="176" spans="1:6" ht="15" x14ac:dyDescent="0.25">
      <c r="A176" s="461">
        <v>38471</v>
      </c>
      <c r="B176" s="460" t="s">
        <v>8479</v>
      </c>
      <c r="C176" s="461" t="s">
        <v>1104</v>
      </c>
      <c r="D176" s="461">
        <v>99.07</v>
      </c>
      <c r="E176" s="461" t="s">
        <v>161</v>
      </c>
      <c r="F176" s="461" t="s">
        <v>8326</v>
      </c>
    </row>
    <row r="177" spans="1:6" ht="15" x14ac:dyDescent="0.25">
      <c r="A177" s="461">
        <v>37370</v>
      </c>
      <c r="B177" s="460" t="s">
        <v>8480</v>
      </c>
      <c r="C177" s="461" t="s">
        <v>1103</v>
      </c>
      <c r="D177" s="461">
        <v>3.8</v>
      </c>
      <c r="E177" s="461" t="s">
        <v>4455</v>
      </c>
      <c r="F177" s="461" t="s">
        <v>8333</v>
      </c>
    </row>
    <row r="178" spans="1:6" ht="15" x14ac:dyDescent="0.25">
      <c r="A178" s="461">
        <v>40862</v>
      </c>
      <c r="B178" s="460" t="s">
        <v>8481</v>
      </c>
      <c r="C178" s="461" t="s">
        <v>1110</v>
      </c>
      <c r="D178" s="461">
        <v>715.63</v>
      </c>
      <c r="E178" s="461" t="s">
        <v>4455</v>
      </c>
      <c r="F178" s="461" t="s">
        <v>8333</v>
      </c>
    </row>
    <row r="179" spans="1:6" ht="30" x14ac:dyDescent="0.25">
      <c r="A179" s="461">
        <v>10658</v>
      </c>
      <c r="B179" s="460" t="s">
        <v>8482</v>
      </c>
      <c r="C179" s="461" t="s">
        <v>1104</v>
      </c>
      <c r="D179" s="511">
        <v>7359</v>
      </c>
      <c r="E179" s="461" t="s">
        <v>161</v>
      </c>
      <c r="F179" s="461" t="s">
        <v>8328</v>
      </c>
    </row>
    <row r="180" spans="1:6" ht="15" x14ac:dyDescent="0.25">
      <c r="A180" s="461">
        <v>253</v>
      </c>
      <c r="B180" s="460" t="s">
        <v>8483</v>
      </c>
      <c r="C180" s="461" t="s">
        <v>1103</v>
      </c>
      <c r="D180" s="461">
        <v>33.409999999999997</v>
      </c>
      <c r="E180" s="461" t="s">
        <v>4455</v>
      </c>
      <c r="F180" s="461" t="s">
        <v>8333</v>
      </c>
    </row>
    <row r="181" spans="1:6" ht="15" x14ac:dyDescent="0.25">
      <c r="A181" s="461">
        <v>40809</v>
      </c>
      <c r="B181" s="460" t="s">
        <v>8484</v>
      </c>
      <c r="C181" s="461" t="s">
        <v>1110</v>
      </c>
      <c r="D181" s="511">
        <v>5947.99</v>
      </c>
      <c r="E181" s="461" t="s">
        <v>4455</v>
      </c>
      <c r="F181" s="461" t="s">
        <v>8326</v>
      </c>
    </row>
    <row r="182" spans="1:6" ht="45" x14ac:dyDescent="0.25">
      <c r="A182" s="461">
        <v>42428</v>
      </c>
      <c r="B182" s="460" t="s">
        <v>8485</v>
      </c>
      <c r="C182" s="461" t="s">
        <v>1104</v>
      </c>
      <c r="D182" s="511">
        <v>2271</v>
      </c>
      <c r="E182" s="461" t="s">
        <v>161</v>
      </c>
      <c r="F182" s="461" t="s">
        <v>8328</v>
      </c>
    </row>
    <row r="183" spans="1:6" ht="15" x14ac:dyDescent="0.25">
      <c r="A183" s="461">
        <v>301</v>
      </c>
      <c r="B183" s="460" t="s">
        <v>8486</v>
      </c>
      <c r="C183" s="461" t="s">
        <v>1104</v>
      </c>
      <c r="D183" s="461">
        <v>2.97</v>
      </c>
      <c r="E183" s="461" t="s">
        <v>161</v>
      </c>
      <c r="F183" s="461" t="s">
        <v>8333</v>
      </c>
    </row>
    <row r="184" spans="1:6" ht="15" x14ac:dyDescent="0.25">
      <c r="A184" s="461">
        <v>296</v>
      </c>
      <c r="B184" s="460" t="s">
        <v>8487</v>
      </c>
      <c r="C184" s="461" t="s">
        <v>1104</v>
      </c>
      <c r="D184" s="461">
        <v>1.68</v>
      </c>
      <c r="E184" s="461" t="s">
        <v>161</v>
      </c>
      <c r="F184" s="461" t="s">
        <v>8326</v>
      </c>
    </row>
    <row r="185" spans="1:6" ht="15" x14ac:dyDescent="0.25">
      <c r="A185" s="461">
        <v>297</v>
      </c>
      <c r="B185" s="460" t="s">
        <v>8488</v>
      </c>
      <c r="C185" s="461" t="s">
        <v>1104</v>
      </c>
      <c r="D185" s="461">
        <v>2.46</v>
      </c>
      <c r="E185" s="461" t="s">
        <v>161</v>
      </c>
      <c r="F185" s="461" t="s">
        <v>8326</v>
      </c>
    </row>
    <row r="186" spans="1:6" ht="15" x14ac:dyDescent="0.25">
      <c r="A186" s="461">
        <v>299</v>
      </c>
      <c r="B186" s="460" t="s">
        <v>8489</v>
      </c>
      <c r="C186" s="461" t="s">
        <v>1104</v>
      </c>
      <c r="D186" s="461">
        <v>3.48</v>
      </c>
      <c r="E186" s="461" t="s">
        <v>161</v>
      </c>
      <c r="F186" s="461" t="s">
        <v>8326</v>
      </c>
    </row>
    <row r="187" spans="1:6" ht="15" x14ac:dyDescent="0.25">
      <c r="A187" s="461">
        <v>300</v>
      </c>
      <c r="B187" s="460" t="s">
        <v>8490</v>
      </c>
      <c r="C187" s="461" t="s">
        <v>1104</v>
      </c>
      <c r="D187" s="461">
        <v>12.05</v>
      </c>
      <c r="E187" s="461" t="s">
        <v>161</v>
      </c>
      <c r="F187" s="461" t="s">
        <v>8326</v>
      </c>
    </row>
    <row r="188" spans="1:6" ht="15" x14ac:dyDescent="0.25">
      <c r="A188" s="461">
        <v>20085</v>
      </c>
      <c r="B188" s="460" t="s">
        <v>8491</v>
      </c>
      <c r="C188" s="461" t="s">
        <v>1104</v>
      </c>
      <c r="D188" s="461">
        <v>2.2000000000000002</v>
      </c>
      <c r="E188" s="461" t="s">
        <v>161</v>
      </c>
      <c r="F188" s="461" t="s">
        <v>8326</v>
      </c>
    </row>
    <row r="189" spans="1:6" ht="15" x14ac:dyDescent="0.25">
      <c r="A189" s="461">
        <v>298</v>
      </c>
      <c r="B189" s="460" t="s">
        <v>8492</v>
      </c>
      <c r="C189" s="461" t="s">
        <v>1104</v>
      </c>
      <c r="D189" s="461">
        <v>2.68</v>
      </c>
      <c r="E189" s="461" t="s">
        <v>161</v>
      </c>
      <c r="F189" s="461" t="s">
        <v>8326</v>
      </c>
    </row>
    <row r="190" spans="1:6" ht="15" x14ac:dyDescent="0.25">
      <c r="A190" s="461">
        <v>311</v>
      </c>
      <c r="B190" s="460" t="s">
        <v>8493</v>
      </c>
      <c r="C190" s="461" t="s">
        <v>1104</v>
      </c>
      <c r="D190" s="461">
        <v>9.94</v>
      </c>
      <c r="E190" s="461" t="s">
        <v>161</v>
      </c>
      <c r="F190" s="461" t="s">
        <v>8326</v>
      </c>
    </row>
    <row r="191" spans="1:6" ht="15" x14ac:dyDescent="0.25">
      <c r="A191" s="461">
        <v>318</v>
      </c>
      <c r="B191" s="460" t="s">
        <v>8494</v>
      </c>
      <c r="C191" s="461" t="s">
        <v>1104</v>
      </c>
      <c r="D191" s="461">
        <v>20.02</v>
      </c>
      <c r="E191" s="461" t="s">
        <v>161</v>
      </c>
      <c r="F191" s="461" t="s">
        <v>8326</v>
      </c>
    </row>
    <row r="192" spans="1:6" ht="15" x14ac:dyDescent="0.25">
      <c r="A192" s="461">
        <v>319</v>
      </c>
      <c r="B192" s="460" t="s">
        <v>8495</v>
      </c>
      <c r="C192" s="461" t="s">
        <v>1104</v>
      </c>
      <c r="D192" s="461">
        <v>31.39</v>
      </c>
      <c r="E192" s="461" t="s">
        <v>161</v>
      </c>
      <c r="F192" s="461" t="s">
        <v>8326</v>
      </c>
    </row>
    <row r="193" spans="1:6" ht="15" x14ac:dyDescent="0.25">
      <c r="A193" s="461">
        <v>303</v>
      </c>
      <c r="B193" s="460" t="s">
        <v>8496</v>
      </c>
      <c r="C193" s="461" t="s">
        <v>1104</v>
      </c>
      <c r="D193" s="461">
        <v>3.29</v>
      </c>
      <c r="E193" s="461" t="s">
        <v>161</v>
      </c>
      <c r="F193" s="461" t="s">
        <v>8326</v>
      </c>
    </row>
    <row r="194" spans="1:6" ht="15" x14ac:dyDescent="0.25">
      <c r="A194" s="461">
        <v>305</v>
      </c>
      <c r="B194" s="460" t="s">
        <v>8497</v>
      </c>
      <c r="C194" s="461" t="s">
        <v>1104</v>
      </c>
      <c r="D194" s="461">
        <v>10.35</v>
      </c>
      <c r="E194" s="461" t="s">
        <v>161</v>
      </c>
      <c r="F194" s="461" t="s">
        <v>8326</v>
      </c>
    </row>
    <row r="195" spans="1:6" ht="15" x14ac:dyDescent="0.25">
      <c r="A195" s="461">
        <v>306</v>
      </c>
      <c r="B195" s="460" t="s">
        <v>8498</v>
      </c>
      <c r="C195" s="461" t="s">
        <v>1104</v>
      </c>
      <c r="D195" s="461">
        <v>15.69</v>
      </c>
      <c r="E195" s="461" t="s">
        <v>161</v>
      </c>
      <c r="F195" s="461" t="s">
        <v>8326</v>
      </c>
    </row>
    <row r="196" spans="1:6" ht="15" x14ac:dyDescent="0.25">
      <c r="A196" s="461">
        <v>307</v>
      </c>
      <c r="B196" s="460" t="s">
        <v>8499</v>
      </c>
      <c r="C196" s="461" t="s">
        <v>1104</v>
      </c>
      <c r="D196" s="461">
        <v>39.659999999999997</v>
      </c>
      <c r="E196" s="461" t="s">
        <v>161</v>
      </c>
      <c r="F196" s="461" t="s">
        <v>8326</v>
      </c>
    </row>
    <row r="197" spans="1:6" ht="15" x14ac:dyDescent="0.25">
      <c r="A197" s="461">
        <v>309</v>
      </c>
      <c r="B197" s="460" t="s">
        <v>8500</v>
      </c>
      <c r="C197" s="461" t="s">
        <v>1104</v>
      </c>
      <c r="D197" s="461">
        <v>64.959999999999994</v>
      </c>
      <c r="E197" s="461" t="s">
        <v>161</v>
      </c>
      <c r="F197" s="461" t="s">
        <v>8326</v>
      </c>
    </row>
    <row r="198" spans="1:6" ht="15" x14ac:dyDescent="0.25">
      <c r="A198" s="461">
        <v>310</v>
      </c>
      <c r="B198" s="460" t="s">
        <v>8501</v>
      </c>
      <c r="C198" s="461" t="s">
        <v>1104</v>
      </c>
      <c r="D198" s="461">
        <v>90.04</v>
      </c>
      <c r="E198" s="461" t="s">
        <v>161</v>
      </c>
      <c r="F198" s="461" t="s">
        <v>8326</v>
      </c>
    </row>
    <row r="199" spans="1:6" ht="15" x14ac:dyDescent="0.25">
      <c r="A199" s="461">
        <v>328</v>
      </c>
      <c r="B199" s="460" t="s">
        <v>8502</v>
      </c>
      <c r="C199" s="461" t="s">
        <v>1104</v>
      </c>
      <c r="D199" s="461">
        <v>7.87</v>
      </c>
      <c r="E199" s="461" t="s">
        <v>161</v>
      </c>
      <c r="F199" s="461" t="s">
        <v>8326</v>
      </c>
    </row>
    <row r="200" spans="1:6" ht="15" x14ac:dyDescent="0.25">
      <c r="A200" s="461">
        <v>325</v>
      </c>
      <c r="B200" s="460" t="s">
        <v>8503</v>
      </c>
      <c r="C200" s="461" t="s">
        <v>1104</v>
      </c>
      <c r="D200" s="461">
        <v>2.3199999999999998</v>
      </c>
      <c r="E200" s="461" t="s">
        <v>161</v>
      </c>
      <c r="F200" s="461" t="s">
        <v>8326</v>
      </c>
    </row>
    <row r="201" spans="1:6" ht="15" x14ac:dyDescent="0.25">
      <c r="A201" s="461">
        <v>20326</v>
      </c>
      <c r="B201" s="460" t="s">
        <v>8504</v>
      </c>
      <c r="C201" s="461" t="s">
        <v>1104</v>
      </c>
      <c r="D201" s="461">
        <v>4.25</v>
      </c>
      <c r="E201" s="461" t="s">
        <v>161</v>
      </c>
      <c r="F201" s="461" t="s">
        <v>8326</v>
      </c>
    </row>
    <row r="202" spans="1:6" ht="15" x14ac:dyDescent="0.25">
      <c r="A202" s="461">
        <v>329</v>
      </c>
      <c r="B202" s="460" t="s">
        <v>8505</v>
      </c>
      <c r="C202" s="461" t="s">
        <v>1104</v>
      </c>
      <c r="D202" s="461">
        <v>6.58</v>
      </c>
      <c r="E202" s="461" t="s">
        <v>161</v>
      </c>
      <c r="F202" s="461" t="s">
        <v>8326</v>
      </c>
    </row>
    <row r="203" spans="1:6" ht="15" x14ac:dyDescent="0.25">
      <c r="A203" s="461">
        <v>308</v>
      </c>
      <c r="B203" s="460" t="s">
        <v>8506</v>
      </c>
      <c r="C203" s="461" t="s">
        <v>1104</v>
      </c>
      <c r="D203" s="461">
        <v>88.51</v>
      </c>
      <c r="E203" s="461" t="s">
        <v>161</v>
      </c>
      <c r="F203" s="461" t="s">
        <v>8326</v>
      </c>
    </row>
    <row r="204" spans="1:6" ht="30" x14ac:dyDescent="0.25">
      <c r="A204" s="461">
        <v>39642</v>
      </c>
      <c r="B204" s="460" t="s">
        <v>8507</v>
      </c>
      <c r="C204" s="461" t="s">
        <v>1104</v>
      </c>
      <c r="D204" s="461">
        <v>2.91</v>
      </c>
      <c r="E204" s="461" t="s">
        <v>161</v>
      </c>
      <c r="F204" s="461" t="s">
        <v>8326</v>
      </c>
    </row>
    <row r="205" spans="1:6" ht="30" x14ac:dyDescent="0.25">
      <c r="A205" s="461">
        <v>39641</v>
      </c>
      <c r="B205" s="460" t="s">
        <v>8508</v>
      </c>
      <c r="C205" s="461" t="s">
        <v>1104</v>
      </c>
      <c r="D205" s="461">
        <v>2.56</v>
      </c>
      <c r="E205" s="461" t="s">
        <v>161</v>
      </c>
      <c r="F205" s="461" t="s">
        <v>8326</v>
      </c>
    </row>
    <row r="206" spans="1:6" ht="30" x14ac:dyDescent="0.25">
      <c r="A206" s="461">
        <v>39643</v>
      </c>
      <c r="B206" s="460" t="s">
        <v>8509</v>
      </c>
      <c r="C206" s="461" t="s">
        <v>1104</v>
      </c>
      <c r="D206" s="461">
        <v>3.42</v>
      </c>
      <c r="E206" s="461" t="s">
        <v>161</v>
      </c>
      <c r="F206" s="461" t="s">
        <v>8326</v>
      </c>
    </row>
    <row r="207" spans="1:6" ht="30" x14ac:dyDescent="0.25">
      <c r="A207" s="461">
        <v>39644</v>
      </c>
      <c r="B207" s="460" t="s">
        <v>8510</v>
      </c>
      <c r="C207" s="461" t="s">
        <v>1104</v>
      </c>
      <c r="D207" s="461">
        <v>5.31</v>
      </c>
      <c r="E207" s="461" t="s">
        <v>161</v>
      </c>
      <c r="F207" s="461" t="s">
        <v>8326</v>
      </c>
    </row>
    <row r="208" spans="1:6" ht="30" x14ac:dyDescent="0.25">
      <c r="A208" s="461">
        <v>39645</v>
      </c>
      <c r="B208" s="460" t="s">
        <v>8511</v>
      </c>
      <c r="C208" s="461" t="s">
        <v>1104</v>
      </c>
      <c r="D208" s="461">
        <v>5.82</v>
      </c>
      <c r="E208" s="461" t="s">
        <v>161</v>
      </c>
      <c r="F208" s="461" t="s">
        <v>8326</v>
      </c>
    </row>
    <row r="209" spans="1:6" ht="15" x14ac:dyDescent="0.25">
      <c r="A209" s="461">
        <v>41610</v>
      </c>
      <c r="B209" s="460" t="s">
        <v>8512</v>
      </c>
      <c r="C209" s="461" t="s">
        <v>1104</v>
      </c>
      <c r="D209" s="461">
        <v>724.49</v>
      </c>
      <c r="E209" s="461" t="s">
        <v>161</v>
      </c>
      <c r="F209" s="461" t="s">
        <v>8326</v>
      </c>
    </row>
    <row r="210" spans="1:6" ht="15" x14ac:dyDescent="0.25">
      <c r="A210" s="461">
        <v>41611</v>
      </c>
      <c r="B210" s="460" t="s">
        <v>8513</v>
      </c>
      <c r="C210" s="461" t="s">
        <v>1104</v>
      </c>
      <c r="D210" s="511">
        <v>1141.94</v>
      </c>
      <c r="E210" s="461" t="s">
        <v>161</v>
      </c>
      <c r="F210" s="461" t="s">
        <v>8326</v>
      </c>
    </row>
    <row r="211" spans="1:6" ht="15" x14ac:dyDescent="0.25">
      <c r="A211" s="461">
        <v>41612</v>
      </c>
      <c r="B211" s="460" t="s">
        <v>8514</v>
      </c>
      <c r="C211" s="461" t="s">
        <v>1104</v>
      </c>
      <c r="D211" s="511">
        <v>1603.45</v>
      </c>
      <c r="E211" s="461" t="s">
        <v>161</v>
      </c>
      <c r="F211" s="461" t="s">
        <v>8326</v>
      </c>
    </row>
    <row r="212" spans="1:6" ht="30" x14ac:dyDescent="0.25">
      <c r="A212" s="461">
        <v>41637</v>
      </c>
      <c r="B212" s="460" t="s">
        <v>8515</v>
      </c>
      <c r="C212" s="461" t="s">
        <v>1104</v>
      </c>
      <c r="D212" s="461">
        <v>149.88999999999999</v>
      </c>
      <c r="E212" s="461" t="s">
        <v>161</v>
      </c>
      <c r="F212" s="461" t="s">
        <v>8326</v>
      </c>
    </row>
    <row r="213" spans="1:6" ht="30" x14ac:dyDescent="0.25">
      <c r="A213" s="461">
        <v>41638</v>
      </c>
      <c r="B213" s="460" t="s">
        <v>8516</v>
      </c>
      <c r="C213" s="461" t="s">
        <v>1104</v>
      </c>
      <c r="D213" s="461">
        <v>195.25</v>
      </c>
      <c r="E213" s="461" t="s">
        <v>161</v>
      </c>
      <c r="F213" s="461" t="s">
        <v>8326</v>
      </c>
    </row>
    <row r="214" spans="1:6" ht="30" x14ac:dyDescent="0.25">
      <c r="A214" s="461">
        <v>41639</v>
      </c>
      <c r="B214" s="460" t="s">
        <v>8517</v>
      </c>
      <c r="C214" s="461" t="s">
        <v>1104</v>
      </c>
      <c r="D214" s="461">
        <v>472.35</v>
      </c>
      <c r="E214" s="461" t="s">
        <v>161</v>
      </c>
      <c r="F214" s="461" t="s">
        <v>8326</v>
      </c>
    </row>
    <row r="215" spans="1:6" ht="15" x14ac:dyDescent="0.25">
      <c r="A215" s="461">
        <v>11789</v>
      </c>
      <c r="B215" s="460" t="s">
        <v>8518</v>
      </c>
      <c r="C215" s="461" t="s">
        <v>1104</v>
      </c>
      <c r="D215" s="461">
        <v>1.24</v>
      </c>
      <c r="E215" s="461" t="s">
        <v>161</v>
      </c>
      <c r="F215" s="461" t="s">
        <v>8326</v>
      </c>
    </row>
    <row r="216" spans="1:6" ht="30" x14ac:dyDescent="0.25">
      <c r="A216" s="461">
        <v>20975</v>
      </c>
      <c r="B216" s="460" t="s">
        <v>8519</v>
      </c>
      <c r="C216" s="461" t="s">
        <v>1104</v>
      </c>
      <c r="D216" s="461">
        <v>13.74</v>
      </c>
      <c r="E216" s="461" t="s">
        <v>161</v>
      </c>
      <c r="F216" s="461" t="s">
        <v>8326</v>
      </c>
    </row>
    <row r="217" spans="1:6" ht="30" x14ac:dyDescent="0.25">
      <c r="A217" s="461">
        <v>20976</v>
      </c>
      <c r="B217" s="460" t="s">
        <v>8520</v>
      </c>
      <c r="C217" s="461" t="s">
        <v>1104</v>
      </c>
      <c r="D217" s="461">
        <v>20.76</v>
      </c>
      <c r="E217" s="461" t="s">
        <v>161</v>
      </c>
      <c r="F217" s="461" t="s">
        <v>8326</v>
      </c>
    </row>
    <row r="218" spans="1:6" ht="30" x14ac:dyDescent="0.25">
      <c r="A218" s="461">
        <v>40340</v>
      </c>
      <c r="B218" s="460" t="s">
        <v>8521</v>
      </c>
      <c r="C218" s="461" t="s">
        <v>1104</v>
      </c>
      <c r="D218" s="461">
        <v>21.85</v>
      </c>
      <c r="E218" s="461" t="s">
        <v>161</v>
      </c>
      <c r="F218" s="461" t="s">
        <v>8326</v>
      </c>
    </row>
    <row r="219" spans="1:6" ht="30" x14ac:dyDescent="0.25">
      <c r="A219" s="461">
        <v>40341</v>
      </c>
      <c r="B219" s="460" t="s">
        <v>8522</v>
      </c>
      <c r="C219" s="461" t="s">
        <v>1104</v>
      </c>
      <c r="D219" s="461">
        <v>26.07</v>
      </c>
      <c r="E219" s="461" t="s">
        <v>161</v>
      </c>
      <c r="F219" s="461" t="s">
        <v>8326</v>
      </c>
    </row>
    <row r="220" spans="1:6" ht="30" x14ac:dyDescent="0.25">
      <c r="A220" s="461">
        <v>40342</v>
      </c>
      <c r="B220" s="460" t="s">
        <v>8523</v>
      </c>
      <c r="C220" s="461" t="s">
        <v>1104</v>
      </c>
      <c r="D220" s="461">
        <v>31.1</v>
      </c>
      <c r="E220" s="461" t="s">
        <v>161</v>
      </c>
      <c r="F220" s="461" t="s">
        <v>8326</v>
      </c>
    </row>
    <row r="221" spans="1:6" ht="30" x14ac:dyDescent="0.25">
      <c r="A221" s="461">
        <v>40343</v>
      </c>
      <c r="B221" s="460" t="s">
        <v>8524</v>
      </c>
      <c r="C221" s="461" t="s">
        <v>1104</v>
      </c>
      <c r="D221" s="461">
        <v>36.880000000000003</v>
      </c>
      <c r="E221" s="461" t="s">
        <v>161</v>
      </c>
      <c r="F221" s="461" t="s">
        <v>8326</v>
      </c>
    </row>
    <row r="222" spans="1:6" ht="30" x14ac:dyDescent="0.25">
      <c r="A222" s="461">
        <v>40344</v>
      </c>
      <c r="B222" s="460" t="s">
        <v>8525</v>
      </c>
      <c r="C222" s="461" t="s">
        <v>1104</v>
      </c>
      <c r="D222" s="461">
        <v>50.28</v>
      </c>
      <c r="E222" s="461" t="s">
        <v>161</v>
      </c>
      <c r="F222" s="461" t="s">
        <v>8326</v>
      </c>
    </row>
    <row r="223" spans="1:6" ht="30" x14ac:dyDescent="0.25">
      <c r="A223" s="461">
        <v>40345</v>
      </c>
      <c r="B223" s="460" t="s">
        <v>8526</v>
      </c>
      <c r="C223" s="461" t="s">
        <v>1104</v>
      </c>
      <c r="D223" s="461">
        <v>61.96</v>
      </c>
      <c r="E223" s="461" t="s">
        <v>161</v>
      </c>
      <c r="F223" s="461" t="s">
        <v>8326</v>
      </c>
    </row>
    <row r="224" spans="1:6" ht="30" x14ac:dyDescent="0.25">
      <c r="A224" s="461">
        <v>40346</v>
      </c>
      <c r="B224" s="460" t="s">
        <v>8527</v>
      </c>
      <c r="C224" s="461" t="s">
        <v>1104</v>
      </c>
      <c r="D224" s="461">
        <v>71.87</v>
      </c>
      <c r="E224" s="461" t="s">
        <v>161</v>
      </c>
      <c r="F224" s="461" t="s">
        <v>8326</v>
      </c>
    </row>
    <row r="225" spans="1:6" ht="30" x14ac:dyDescent="0.25">
      <c r="A225" s="461">
        <v>40347</v>
      </c>
      <c r="B225" s="460" t="s">
        <v>8528</v>
      </c>
      <c r="C225" s="461" t="s">
        <v>1104</v>
      </c>
      <c r="D225" s="461">
        <v>90.3</v>
      </c>
      <c r="E225" s="461" t="s">
        <v>161</v>
      </c>
      <c r="F225" s="461" t="s">
        <v>8326</v>
      </c>
    </row>
    <row r="226" spans="1:6" ht="15" x14ac:dyDescent="0.25">
      <c r="A226" s="461">
        <v>6138</v>
      </c>
      <c r="B226" s="460" t="s">
        <v>8529</v>
      </c>
      <c r="C226" s="461" t="s">
        <v>1104</v>
      </c>
      <c r="D226" s="461">
        <v>15.17</v>
      </c>
      <c r="E226" s="461" t="s">
        <v>161</v>
      </c>
      <c r="F226" s="461" t="s">
        <v>8326</v>
      </c>
    </row>
    <row r="227" spans="1:6" ht="30" x14ac:dyDescent="0.25">
      <c r="A227" s="461">
        <v>43424</v>
      </c>
      <c r="B227" s="460" t="s">
        <v>13081</v>
      </c>
      <c r="C227" s="461" t="s">
        <v>1104</v>
      </c>
      <c r="D227" s="461">
        <v>607</v>
      </c>
      <c r="E227" s="461" t="s">
        <v>161</v>
      </c>
      <c r="F227" s="461" t="s">
        <v>8326</v>
      </c>
    </row>
    <row r="228" spans="1:6" ht="30" x14ac:dyDescent="0.25">
      <c r="A228" s="461">
        <v>43426</v>
      </c>
      <c r="B228" s="460" t="s">
        <v>8530</v>
      </c>
      <c r="C228" s="461" t="s">
        <v>1104</v>
      </c>
      <c r="D228" s="511">
        <v>2093.56</v>
      </c>
      <c r="E228" s="461" t="s">
        <v>161</v>
      </c>
      <c r="F228" s="461" t="s">
        <v>8326</v>
      </c>
    </row>
    <row r="229" spans="1:6" ht="30" x14ac:dyDescent="0.25">
      <c r="A229" s="461">
        <v>12565</v>
      </c>
      <c r="B229" s="460" t="s">
        <v>8531</v>
      </c>
      <c r="C229" s="461" t="s">
        <v>1104</v>
      </c>
      <c r="D229" s="461">
        <v>734.18</v>
      </c>
      <c r="E229" s="461" t="s">
        <v>161</v>
      </c>
      <c r="F229" s="461" t="s">
        <v>8326</v>
      </c>
    </row>
    <row r="230" spans="1:6" ht="30" x14ac:dyDescent="0.25">
      <c r="A230" s="461">
        <v>12567</v>
      </c>
      <c r="B230" s="460" t="s">
        <v>8532</v>
      </c>
      <c r="C230" s="461" t="s">
        <v>1104</v>
      </c>
      <c r="D230" s="461">
        <v>986.13</v>
      </c>
      <c r="E230" s="461" t="s">
        <v>161</v>
      </c>
      <c r="F230" s="461" t="s">
        <v>8326</v>
      </c>
    </row>
    <row r="231" spans="1:6" ht="30" x14ac:dyDescent="0.25">
      <c r="A231" s="461">
        <v>12568</v>
      </c>
      <c r="B231" s="460" t="s">
        <v>8533</v>
      </c>
      <c r="C231" s="461" t="s">
        <v>1104</v>
      </c>
      <c r="D231" s="511">
        <v>1380.58</v>
      </c>
      <c r="E231" s="461" t="s">
        <v>161</v>
      </c>
      <c r="F231" s="461" t="s">
        <v>8326</v>
      </c>
    </row>
    <row r="232" spans="1:6" ht="30" x14ac:dyDescent="0.25">
      <c r="A232" s="461">
        <v>43441</v>
      </c>
      <c r="B232" s="460" t="s">
        <v>8534</v>
      </c>
      <c r="C232" s="461" t="s">
        <v>1104</v>
      </c>
      <c r="D232" s="461">
        <v>177.5</v>
      </c>
      <c r="E232" s="461" t="s">
        <v>161</v>
      </c>
      <c r="F232" s="461" t="s">
        <v>8326</v>
      </c>
    </row>
    <row r="233" spans="1:6" ht="30" x14ac:dyDescent="0.25">
      <c r="A233" s="461">
        <v>43423</v>
      </c>
      <c r="B233" s="460" t="s">
        <v>8535</v>
      </c>
      <c r="C233" s="461" t="s">
        <v>1104</v>
      </c>
      <c r="D233" s="461">
        <v>82.83</v>
      </c>
      <c r="E233" s="461" t="s">
        <v>161</v>
      </c>
      <c r="F233" s="461" t="s">
        <v>8326</v>
      </c>
    </row>
    <row r="234" spans="1:6" ht="30" x14ac:dyDescent="0.25">
      <c r="A234" s="461">
        <v>12532</v>
      </c>
      <c r="B234" s="460" t="s">
        <v>8536</v>
      </c>
      <c r="C234" s="461" t="s">
        <v>1104</v>
      </c>
      <c r="D234" s="461">
        <v>127.75</v>
      </c>
      <c r="E234" s="461" t="s">
        <v>161</v>
      </c>
      <c r="F234" s="461" t="s">
        <v>8326</v>
      </c>
    </row>
    <row r="235" spans="1:6" ht="45" x14ac:dyDescent="0.25">
      <c r="A235" s="461">
        <v>43444</v>
      </c>
      <c r="B235" s="460" t="s">
        <v>8537</v>
      </c>
      <c r="C235" s="461" t="s">
        <v>1104</v>
      </c>
      <c r="D235" s="461">
        <v>428.96</v>
      </c>
      <c r="E235" s="461" t="s">
        <v>161</v>
      </c>
      <c r="F235" s="461" t="s">
        <v>8326</v>
      </c>
    </row>
    <row r="236" spans="1:6" ht="45" x14ac:dyDescent="0.25">
      <c r="A236" s="461">
        <v>12551</v>
      </c>
      <c r="B236" s="460" t="s">
        <v>8538</v>
      </c>
      <c r="C236" s="461" t="s">
        <v>1104</v>
      </c>
      <c r="D236" s="461">
        <v>306.05</v>
      </c>
      <c r="E236" s="461" t="s">
        <v>161</v>
      </c>
      <c r="F236" s="461" t="s">
        <v>8326</v>
      </c>
    </row>
    <row r="237" spans="1:6" ht="45" x14ac:dyDescent="0.25">
      <c r="A237" s="461">
        <v>43442</v>
      </c>
      <c r="B237" s="460" t="s">
        <v>8539</v>
      </c>
      <c r="C237" s="461" t="s">
        <v>1104</v>
      </c>
      <c r="D237" s="461">
        <v>236.67</v>
      </c>
      <c r="E237" s="461" t="s">
        <v>161</v>
      </c>
      <c r="F237" s="461" t="s">
        <v>8326</v>
      </c>
    </row>
    <row r="238" spans="1:6" ht="45" x14ac:dyDescent="0.25">
      <c r="A238" s="461">
        <v>43443</v>
      </c>
      <c r="B238" s="460" t="s">
        <v>8540</v>
      </c>
      <c r="C238" s="461" t="s">
        <v>1104</v>
      </c>
      <c r="D238" s="461">
        <v>310.63</v>
      </c>
      <c r="E238" s="461" t="s">
        <v>161</v>
      </c>
      <c r="F238" s="461" t="s">
        <v>8326</v>
      </c>
    </row>
    <row r="239" spans="1:6" ht="45" x14ac:dyDescent="0.25">
      <c r="A239" s="461">
        <v>12544</v>
      </c>
      <c r="B239" s="460" t="s">
        <v>8541</v>
      </c>
      <c r="C239" s="461" t="s">
        <v>1104</v>
      </c>
      <c r="D239" s="461">
        <v>167.64</v>
      </c>
      <c r="E239" s="461" t="s">
        <v>161</v>
      </c>
      <c r="F239" s="461" t="s">
        <v>8326</v>
      </c>
    </row>
    <row r="240" spans="1:6" ht="45" x14ac:dyDescent="0.25">
      <c r="A240" s="461">
        <v>12547</v>
      </c>
      <c r="B240" s="460" t="s">
        <v>8542</v>
      </c>
      <c r="C240" s="461" t="s">
        <v>1104</v>
      </c>
      <c r="D240" s="461">
        <v>225.46</v>
      </c>
      <c r="E240" s="461" t="s">
        <v>161</v>
      </c>
      <c r="F240" s="461" t="s">
        <v>8326</v>
      </c>
    </row>
    <row r="241" spans="1:6" ht="45" x14ac:dyDescent="0.25">
      <c r="A241" s="461">
        <v>43445</v>
      </c>
      <c r="B241" s="460" t="s">
        <v>8543</v>
      </c>
      <c r="C241" s="461" t="s">
        <v>1104</v>
      </c>
      <c r="D241" s="461">
        <v>591.67999999999995</v>
      </c>
      <c r="E241" s="461" t="s">
        <v>161</v>
      </c>
      <c r="F241" s="461" t="s">
        <v>8326</v>
      </c>
    </row>
    <row r="242" spans="1:6" ht="45" x14ac:dyDescent="0.25">
      <c r="A242" s="461">
        <v>12563</v>
      </c>
      <c r="B242" s="460" t="s">
        <v>8544</v>
      </c>
      <c r="C242" s="461" t="s">
        <v>1104</v>
      </c>
      <c r="D242" s="461">
        <v>423.32</v>
      </c>
      <c r="E242" s="461" t="s">
        <v>161</v>
      </c>
      <c r="F242" s="461" t="s">
        <v>8326</v>
      </c>
    </row>
    <row r="243" spans="1:6" ht="30" x14ac:dyDescent="0.25">
      <c r="A243" s="461">
        <v>43425</v>
      </c>
      <c r="B243" s="460" t="s">
        <v>13082</v>
      </c>
      <c r="C243" s="461" t="s">
        <v>1104</v>
      </c>
      <c r="D243" s="461">
        <v>266.25</v>
      </c>
      <c r="E243" s="461" t="s">
        <v>161</v>
      </c>
      <c r="F243" s="461" t="s">
        <v>8326</v>
      </c>
    </row>
    <row r="244" spans="1:6" ht="30" x14ac:dyDescent="0.25">
      <c r="A244" s="461">
        <v>43446</v>
      </c>
      <c r="B244" s="460" t="s">
        <v>8545</v>
      </c>
      <c r="C244" s="461" t="s">
        <v>1104</v>
      </c>
      <c r="D244" s="461">
        <v>562.09</v>
      </c>
      <c r="E244" s="461" t="s">
        <v>161</v>
      </c>
      <c r="F244" s="461" t="s">
        <v>8326</v>
      </c>
    </row>
    <row r="245" spans="1:6" ht="30" x14ac:dyDescent="0.25">
      <c r="A245" s="461">
        <v>43447</v>
      </c>
      <c r="B245" s="460" t="s">
        <v>8546</v>
      </c>
      <c r="C245" s="461" t="s">
        <v>1104</v>
      </c>
      <c r="D245" s="461">
        <v>690.29</v>
      </c>
      <c r="E245" s="461" t="s">
        <v>161</v>
      </c>
      <c r="F245" s="461" t="s">
        <v>8326</v>
      </c>
    </row>
    <row r="246" spans="1:6" ht="30" x14ac:dyDescent="0.25">
      <c r="A246" s="461">
        <v>43448</v>
      </c>
      <c r="B246" s="460" t="s">
        <v>8547</v>
      </c>
      <c r="C246" s="461" t="s">
        <v>1104</v>
      </c>
      <c r="D246" s="461">
        <v>966.41</v>
      </c>
      <c r="E246" s="461" t="s">
        <v>161</v>
      </c>
      <c r="F246" s="461" t="s">
        <v>8326</v>
      </c>
    </row>
    <row r="247" spans="1:6" ht="30" x14ac:dyDescent="0.25">
      <c r="A247" s="461">
        <v>13761</v>
      </c>
      <c r="B247" s="460" t="s">
        <v>8548</v>
      </c>
      <c r="C247" s="461" t="s">
        <v>1104</v>
      </c>
      <c r="D247" s="511">
        <v>2365.3000000000002</v>
      </c>
      <c r="E247" s="461" t="s">
        <v>161</v>
      </c>
      <c r="F247" s="461" t="s">
        <v>8326</v>
      </c>
    </row>
    <row r="248" spans="1:6" ht="30" x14ac:dyDescent="0.25">
      <c r="A248" s="461">
        <v>4814</v>
      </c>
      <c r="B248" s="460" t="s">
        <v>8549</v>
      </c>
      <c r="C248" s="461" t="s">
        <v>1104</v>
      </c>
      <c r="D248" s="461">
        <v>61.9</v>
      </c>
      <c r="E248" s="461" t="s">
        <v>161</v>
      </c>
      <c r="F248" s="461" t="s">
        <v>8326</v>
      </c>
    </row>
    <row r="249" spans="1:6" ht="15" x14ac:dyDescent="0.25">
      <c r="A249" s="461">
        <v>44473</v>
      </c>
      <c r="B249" s="460" t="s">
        <v>8550</v>
      </c>
      <c r="C249" s="461" t="s">
        <v>1104</v>
      </c>
      <c r="D249" s="511">
        <v>2230.19</v>
      </c>
      <c r="E249" s="461" t="s">
        <v>161</v>
      </c>
      <c r="F249" s="461" t="s">
        <v>8328</v>
      </c>
    </row>
    <row r="250" spans="1:6" ht="15" x14ac:dyDescent="0.25">
      <c r="A250" s="461">
        <v>6122</v>
      </c>
      <c r="B250" s="460" t="s">
        <v>8551</v>
      </c>
      <c r="C250" s="461" t="s">
        <v>1103</v>
      </c>
      <c r="D250" s="461">
        <v>31.79</v>
      </c>
      <c r="E250" s="461" t="s">
        <v>4455</v>
      </c>
      <c r="F250" s="461" t="s">
        <v>8326</v>
      </c>
    </row>
    <row r="251" spans="1:6" ht="15" x14ac:dyDescent="0.25">
      <c r="A251" s="461">
        <v>40810</v>
      </c>
      <c r="B251" s="460" t="s">
        <v>8552</v>
      </c>
      <c r="C251" s="461" t="s">
        <v>1110</v>
      </c>
      <c r="D251" s="511">
        <v>5662.55</v>
      </c>
      <c r="E251" s="461" t="s">
        <v>4455</v>
      </c>
      <c r="F251" s="461" t="s">
        <v>8326</v>
      </c>
    </row>
    <row r="252" spans="1:6" ht="30" x14ac:dyDescent="0.25">
      <c r="A252" s="461">
        <v>21100</v>
      </c>
      <c r="B252" s="460" t="s">
        <v>8553</v>
      </c>
      <c r="C252" s="461" t="s">
        <v>1104</v>
      </c>
      <c r="D252" s="511">
        <v>3845.1</v>
      </c>
      <c r="E252" s="461" t="s">
        <v>161</v>
      </c>
      <c r="F252" s="461" t="s">
        <v>8328</v>
      </c>
    </row>
    <row r="253" spans="1:6" ht="45" x14ac:dyDescent="0.25">
      <c r="A253" s="461">
        <v>11811</v>
      </c>
      <c r="B253" s="460" t="s">
        <v>8554</v>
      </c>
      <c r="C253" s="461" t="s">
        <v>1104</v>
      </c>
      <c r="D253" s="511">
        <v>5550.48</v>
      </c>
      <c r="E253" s="461" t="s">
        <v>161</v>
      </c>
      <c r="F253" s="461" t="s">
        <v>8328</v>
      </c>
    </row>
    <row r="254" spans="1:6" ht="30" x14ac:dyDescent="0.25">
      <c r="A254" s="461">
        <v>11816</v>
      </c>
      <c r="B254" s="460" t="s">
        <v>13083</v>
      </c>
      <c r="C254" s="461" t="s">
        <v>1104</v>
      </c>
      <c r="D254" s="511">
        <v>4100</v>
      </c>
      <c r="E254" s="461" t="s">
        <v>161</v>
      </c>
      <c r="F254" s="461" t="s">
        <v>8328</v>
      </c>
    </row>
    <row r="255" spans="1:6" ht="30" x14ac:dyDescent="0.25">
      <c r="A255" s="461">
        <v>11814</v>
      </c>
      <c r="B255" s="460" t="s">
        <v>13084</v>
      </c>
      <c r="C255" s="461" t="s">
        <v>1104</v>
      </c>
      <c r="D255" s="511">
        <v>8924.67</v>
      </c>
      <c r="E255" s="461" t="s">
        <v>161</v>
      </c>
      <c r="F255" s="461" t="s">
        <v>8328</v>
      </c>
    </row>
    <row r="256" spans="1:6" ht="45" x14ac:dyDescent="0.25">
      <c r="A256" s="461">
        <v>14186</v>
      </c>
      <c r="B256" s="460" t="s">
        <v>13085</v>
      </c>
      <c r="C256" s="461" t="s">
        <v>1104</v>
      </c>
      <c r="D256" s="511">
        <v>11206.13</v>
      </c>
      <c r="E256" s="461" t="s">
        <v>161</v>
      </c>
      <c r="F256" s="461" t="s">
        <v>8328</v>
      </c>
    </row>
    <row r="257" spans="1:6" ht="30" x14ac:dyDescent="0.25">
      <c r="A257" s="461">
        <v>14185</v>
      </c>
      <c r="B257" s="460" t="s">
        <v>13086</v>
      </c>
      <c r="C257" s="461" t="s">
        <v>1104</v>
      </c>
      <c r="D257" s="511">
        <v>14516.3</v>
      </c>
      <c r="E257" s="461" t="s">
        <v>161</v>
      </c>
      <c r="F257" s="461" t="s">
        <v>8328</v>
      </c>
    </row>
    <row r="258" spans="1:6" ht="15" x14ac:dyDescent="0.25">
      <c r="A258" s="461">
        <v>44498</v>
      </c>
      <c r="B258" s="460" t="s">
        <v>8555</v>
      </c>
      <c r="C258" s="461" t="s">
        <v>1104</v>
      </c>
      <c r="D258" s="511">
        <v>318204.48</v>
      </c>
      <c r="E258" s="461" t="s">
        <v>161</v>
      </c>
      <c r="F258" s="461" t="s">
        <v>8328</v>
      </c>
    </row>
    <row r="259" spans="1:6" ht="30" x14ac:dyDescent="0.25">
      <c r="A259" s="461">
        <v>34469</v>
      </c>
      <c r="B259" s="460" t="s">
        <v>8556</v>
      </c>
      <c r="C259" s="461" t="s">
        <v>1104</v>
      </c>
      <c r="D259" s="511">
        <v>11310.87</v>
      </c>
      <c r="E259" s="461" t="s">
        <v>161</v>
      </c>
      <c r="F259" s="461" t="s">
        <v>8328</v>
      </c>
    </row>
    <row r="260" spans="1:6" ht="30" x14ac:dyDescent="0.25">
      <c r="A260" s="461">
        <v>34476</v>
      </c>
      <c r="B260" s="460" t="s">
        <v>8557</v>
      </c>
      <c r="C260" s="461" t="s">
        <v>1104</v>
      </c>
      <c r="D260" s="511">
        <v>5899.09</v>
      </c>
      <c r="E260" s="461" t="s">
        <v>161</v>
      </c>
      <c r="F260" s="461" t="s">
        <v>8328</v>
      </c>
    </row>
    <row r="261" spans="1:6" ht="30" x14ac:dyDescent="0.25">
      <c r="A261" s="461">
        <v>34477</v>
      </c>
      <c r="B261" s="460" t="s">
        <v>8558</v>
      </c>
      <c r="C261" s="461" t="s">
        <v>1104</v>
      </c>
      <c r="D261" s="511">
        <v>7829.24</v>
      </c>
      <c r="E261" s="461" t="s">
        <v>161</v>
      </c>
      <c r="F261" s="461" t="s">
        <v>8328</v>
      </c>
    </row>
    <row r="262" spans="1:6" ht="30" x14ac:dyDescent="0.25">
      <c r="A262" s="461">
        <v>34482</v>
      </c>
      <c r="B262" s="460" t="s">
        <v>8559</v>
      </c>
      <c r="C262" s="461" t="s">
        <v>1104</v>
      </c>
      <c r="D262" s="511">
        <v>7312.08</v>
      </c>
      <c r="E262" s="461" t="s">
        <v>161</v>
      </c>
      <c r="F262" s="461" t="s">
        <v>8328</v>
      </c>
    </row>
    <row r="263" spans="1:6" ht="60" x14ac:dyDescent="0.25">
      <c r="A263" s="461">
        <v>34472</v>
      </c>
      <c r="B263" s="460" t="s">
        <v>8560</v>
      </c>
      <c r="C263" s="461" t="s">
        <v>1104</v>
      </c>
      <c r="D263" s="511">
        <v>3480</v>
      </c>
      <c r="E263" s="461" t="s">
        <v>161</v>
      </c>
      <c r="F263" s="461" t="s">
        <v>8328</v>
      </c>
    </row>
    <row r="264" spans="1:6" ht="30" x14ac:dyDescent="0.25">
      <c r="A264" s="461">
        <v>42425</v>
      </c>
      <c r="B264" s="460" t="s">
        <v>8561</v>
      </c>
      <c r="C264" s="461" t="s">
        <v>1104</v>
      </c>
      <c r="D264" s="511">
        <v>2759.12</v>
      </c>
      <c r="E264" s="461" t="s">
        <v>1497</v>
      </c>
      <c r="F264" s="461" t="s">
        <v>8326</v>
      </c>
    </row>
    <row r="265" spans="1:6" ht="30" x14ac:dyDescent="0.25">
      <c r="A265" s="461">
        <v>42422</v>
      </c>
      <c r="B265" s="460" t="s">
        <v>8562</v>
      </c>
      <c r="C265" s="461" t="s">
        <v>1104</v>
      </c>
      <c r="D265" s="511">
        <v>4096</v>
      </c>
      <c r="E265" s="461" t="s">
        <v>1497</v>
      </c>
      <c r="F265" s="461" t="s">
        <v>8333</v>
      </c>
    </row>
    <row r="266" spans="1:6" ht="30" x14ac:dyDescent="0.25">
      <c r="A266" s="461">
        <v>43184</v>
      </c>
      <c r="B266" s="460" t="s">
        <v>8563</v>
      </c>
      <c r="C266" s="461" t="s">
        <v>1104</v>
      </c>
      <c r="D266" s="511">
        <v>5661.06</v>
      </c>
      <c r="E266" s="461" t="s">
        <v>1497</v>
      </c>
      <c r="F266" s="461" t="s">
        <v>8326</v>
      </c>
    </row>
    <row r="267" spans="1:6" ht="30" x14ac:dyDescent="0.25">
      <c r="A267" s="461">
        <v>42424</v>
      </c>
      <c r="B267" s="460" t="s">
        <v>8564</v>
      </c>
      <c r="C267" s="461" t="s">
        <v>1104</v>
      </c>
      <c r="D267" s="511">
        <v>2464.13</v>
      </c>
      <c r="E267" s="461" t="s">
        <v>1497</v>
      </c>
      <c r="F267" s="461" t="s">
        <v>8326</v>
      </c>
    </row>
    <row r="268" spans="1:6" ht="45" x14ac:dyDescent="0.25">
      <c r="A268" s="461">
        <v>42421</v>
      </c>
      <c r="B268" s="460" t="s">
        <v>8565</v>
      </c>
      <c r="C268" s="461" t="s">
        <v>1104</v>
      </c>
      <c r="D268" s="511">
        <v>22435.64</v>
      </c>
      <c r="E268" s="461" t="s">
        <v>1497</v>
      </c>
      <c r="F268" s="461" t="s">
        <v>8326</v>
      </c>
    </row>
    <row r="269" spans="1:6" ht="30" x14ac:dyDescent="0.25">
      <c r="A269" s="461">
        <v>42416</v>
      </c>
      <c r="B269" s="460" t="s">
        <v>8566</v>
      </c>
      <c r="C269" s="461" t="s">
        <v>1104</v>
      </c>
      <c r="D269" s="511">
        <v>10622.58</v>
      </c>
      <c r="E269" s="461" t="s">
        <v>1497</v>
      </c>
      <c r="F269" s="461" t="s">
        <v>8326</v>
      </c>
    </row>
    <row r="270" spans="1:6" ht="30" x14ac:dyDescent="0.25">
      <c r="A270" s="461">
        <v>42417</v>
      </c>
      <c r="B270" s="460" t="s">
        <v>8567</v>
      </c>
      <c r="C270" s="461" t="s">
        <v>1104</v>
      </c>
      <c r="D270" s="511">
        <v>11908.79</v>
      </c>
      <c r="E270" s="461" t="s">
        <v>1497</v>
      </c>
      <c r="F270" s="461" t="s">
        <v>8326</v>
      </c>
    </row>
    <row r="271" spans="1:6" ht="30" x14ac:dyDescent="0.25">
      <c r="A271" s="461">
        <v>42419</v>
      </c>
      <c r="B271" s="460" t="s">
        <v>8568</v>
      </c>
      <c r="C271" s="461" t="s">
        <v>1104</v>
      </c>
      <c r="D271" s="511">
        <v>13454.4</v>
      </c>
      <c r="E271" s="461" t="s">
        <v>1497</v>
      </c>
      <c r="F271" s="461" t="s">
        <v>8326</v>
      </c>
    </row>
    <row r="272" spans="1:6" ht="30" x14ac:dyDescent="0.25">
      <c r="A272" s="461">
        <v>42420</v>
      </c>
      <c r="B272" s="460" t="s">
        <v>8569</v>
      </c>
      <c r="C272" s="461" t="s">
        <v>1104</v>
      </c>
      <c r="D272" s="511">
        <v>18492.080000000002</v>
      </c>
      <c r="E272" s="461" t="s">
        <v>1497</v>
      </c>
      <c r="F272" s="461" t="s">
        <v>8326</v>
      </c>
    </row>
    <row r="273" spans="1:6" ht="30" x14ac:dyDescent="0.25">
      <c r="A273" s="461">
        <v>43195</v>
      </c>
      <c r="B273" s="460" t="s">
        <v>8570</v>
      </c>
      <c r="C273" s="461" t="s">
        <v>1104</v>
      </c>
      <c r="D273" s="511">
        <v>6511.32</v>
      </c>
      <c r="E273" s="461" t="s">
        <v>1497</v>
      </c>
      <c r="F273" s="461" t="s">
        <v>8326</v>
      </c>
    </row>
    <row r="274" spans="1:6" ht="30" x14ac:dyDescent="0.25">
      <c r="A274" s="461">
        <v>43196</v>
      </c>
      <c r="B274" s="460" t="s">
        <v>8571</v>
      </c>
      <c r="C274" s="461" t="s">
        <v>1104</v>
      </c>
      <c r="D274" s="511">
        <v>8069.85</v>
      </c>
      <c r="E274" s="461" t="s">
        <v>1497</v>
      </c>
      <c r="F274" s="461" t="s">
        <v>8326</v>
      </c>
    </row>
    <row r="275" spans="1:6" ht="30" x14ac:dyDescent="0.25">
      <c r="A275" s="461">
        <v>43198</v>
      </c>
      <c r="B275" s="460" t="s">
        <v>8572</v>
      </c>
      <c r="C275" s="461" t="s">
        <v>1104</v>
      </c>
      <c r="D275" s="511">
        <v>11991.6</v>
      </c>
      <c r="E275" s="461" t="s">
        <v>1497</v>
      </c>
      <c r="F275" s="461" t="s">
        <v>8326</v>
      </c>
    </row>
    <row r="276" spans="1:6" ht="30" x14ac:dyDescent="0.25">
      <c r="A276" s="461">
        <v>43199</v>
      </c>
      <c r="B276" s="460" t="s">
        <v>8573</v>
      </c>
      <c r="C276" s="461" t="s">
        <v>1104</v>
      </c>
      <c r="D276" s="511">
        <v>12431.02</v>
      </c>
      <c r="E276" s="461" t="s">
        <v>1497</v>
      </c>
      <c r="F276" s="461" t="s">
        <v>8326</v>
      </c>
    </row>
    <row r="277" spans="1:6" ht="30" x14ac:dyDescent="0.25">
      <c r="A277" s="461">
        <v>43200</v>
      </c>
      <c r="B277" s="460" t="s">
        <v>8574</v>
      </c>
      <c r="C277" s="461" t="s">
        <v>1104</v>
      </c>
      <c r="D277" s="511">
        <v>14265.5</v>
      </c>
      <c r="E277" s="461" t="s">
        <v>1497</v>
      </c>
      <c r="F277" s="461" t="s">
        <v>8326</v>
      </c>
    </row>
    <row r="278" spans="1:6" ht="45" x14ac:dyDescent="0.25">
      <c r="A278" s="461">
        <v>39556</v>
      </c>
      <c r="B278" s="460" t="s">
        <v>8575</v>
      </c>
      <c r="C278" s="461" t="s">
        <v>1104</v>
      </c>
      <c r="D278" s="511">
        <v>7791.4</v>
      </c>
      <c r="E278" s="461" t="s">
        <v>1497</v>
      </c>
      <c r="F278" s="461" t="s">
        <v>8326</v>
      </c>
    </row>
    <row r="279" spans="1:6" ht="45" x14ac:dyDescent="0.25">
      <c r="A279" s="461">
        <v>39557</v>
      </c>
      <c r="B279" s="460" t="s">
        <v>8576</v>
      </c>
      <c r="C279" s="461" t="s">
        <v>1104</v>
      </c>
      <c r="D279" s="511">
        <v>8389.6299999999992</v>
      </c>
      <c r="E279" s="461" t="s">
        <v>1497</v>
      </c>
      <c r="F279" s="461" t="s">
        <v>8326</v>
      </c>
    </row>
    <row r="280" spans="1:6" ht="45" x14ac:dyDescent="0.25">
      <c r="A280" s="461">
        <v>39559</v>
      </c>
      <c r="B280" s="460" t="s">
        <v>8577</v>
      </c>
      <c r="C280" s="461" t="s">
        <v>1104</v>
      </c>
      <c r="D280" s="511">
        <v>12398.26</v>
      </c>
      <c r="E280" s="461" t="s">
        <v>1497</v>
      </c>
      <c r="F280" s="461" t="s">
        <v>8326</v>
      </c>
    </row>
    <row r="281" spans="1:6" ht="45" x14ac:dyDescent="0.25">
      <c r="A281" s="461">
        <v>39560</v>
      </c>
      <c r="B281" s="460" t="s">
        <v>8578</v>
      </c>
      <c r="C281" s="461" t="s">
        <v>1104</v>
      </c>
      <c r="D281" s="511">
        <v>14343.58</v>
      </c>
      <c r="E281" s="461" t="s">
        <v>1497</v>
      </c>
      <c r="F281" s="461" t="s">
        <v>8326</v>
      </c>
    </row>
    <row r="282" spans="1:6" ht="45" x14ac:dyDescent="0.25">
      <c r="A282" s="461">
        <v>39561</v>
      </c>
      <c r="B282" s="460" t="s">
        <v>8579</v>
      </c>
      <c r="C282" s="461" t="s">
        <v>1104</v>
      </c>
      <c r="D282" s="511">
        <v>15005.21</v>
      </c>
      <c r="E282" s="461" t="s">
        <v>1497</v>
      </c>
      <c r="F282" s="461" t="s">
        <v>8326</v>
      </c>
    </row>
    <row r="283" spans="1:6" ht="30" x14ac:dyDescent="0.25">
      <c r="A283" s="461">
        <v>43190</v>
      </c>
      <c r="B283" s="460" t="s">
        <v>8580</v>
      </c>
      <c r="C283" s="461" t="s">
        <v>1104</v>
      </c>
      <c r="D283" s="511">
        <v>2214.37</v>
      </c>
      <c r="E283" s="461" t="s">
        <v>1497</v>
      </c>
      <c r="F283" s="461" t="s">
        <v>8326</v>
      </c>
    </row>
    <row r="284" spans="1:6" ht="45" x14ac:dyDescent="0.25">
      <c r="A284" s="461">
        <v>39555</v>
      </c>
      <c r="B284" s="460" t="s">
        <v>8581</v>
      </c>
      <c r="C284" s="461" t="s">
        <v>1104</v>
      </c>
      <c r="D284" s="511">
        <v>2395.38</v>
      </c>
      <c r="E284" s="461" t="s">
        <v>1497</v>
      </c>
      <c r="F284" s="461" t="s">
        <v>8326</v>
      </c>
    </row>
    <row r="285" spans="1:6" ht="30" x14ac:dyDescent="0.25">
      <c r="A285" s="461">
        <v>43191</v>
      </c>
      <c r="B285" s="460" t="s">
        <v>8582</v>
      </c>
      <c r="C285" s="461" t="s">
        <v>1104</v>
      </c>
      <c r="D285" s="511">
        <v>3186.18</v>
      </c>
      <c r="E285" s="461" t="s">
        <v>1497</v>
      </c>
      <c r="F285" s="461" t="s">
        <v>8326</v>
      </c>
    </row>
    <row r="286" spans="1:6" ht="45" x14ac:dyDescent="0.25">
      <c r="A286" s="461">
        <v>39548</v>
      </c>
      <c r="B286" s="460" t="s">
        <v>8583</v>
      </c>
      <c r="C286" s="461" t="s">
        <v>1104</v>
      </c>
      <c r="D286" s="511">
        <v>3553.09</v>
      </c>
      <c r="E286" s="461" t="s">
        <v>1497</v>
      </c>
      <c r="F286" s="461" t="s">
        <v>8326</v>
      </c>
    </row>
    <row r="287" spans="1:6" ht="30" x14ac:dyDescent="0.25">
      <c r="A287" s="461">
        <v>43192</v>
      </c>
      <c r="B287" s="460" t="s">
        <v>8584</v>
      </c>
      <c r="C287" s="461" t="s">
        <v>1104</v>
      </c>
      <c r="D287" s="511">
        <v>4173.62</v>
      </c>
      <c r="E287" s="461" t="s">
        <v>1497</v>
      </c>
      <c r="F287" s="461" t="s">
        <v>8326</v>
      </c>
    </row>
    <row r="288" spans="1:6" ht="45" x14ac:dyDescent="0.25">
      <c r="A288" s="461">
        <v>39554</v>
      </c>
      <c r="B288" s="460" t="s">
        <v>8585</v>
      </c>
      <c r="C288" s="461" t="s">
        <v>1104</v>
      </c>
      <c r="D288" s="511">
        <v>4698.43</v>
      </c>
      <c r="E288" s="461" t="s">
        <v>1497</v>
      </c>
      <c r="F288" s="461" t="s">
        <v>8326</v>
      </c>
    </row>
    <row r="289" spans="1:6" ht="30" x14ac:dyDescent="0.25">
      <c r="A289" s="461">
        <v>43194</v>
      </c>
      <c r="B289" s="460" t="s">
        <v>8586</v>
      </c>
      <c r="C289" s="461" t="s">
        <v>1104</v>
      </c>
      <c r="D289" s="511">
        <v>1896.99</v>
      </c>
      <c r="E289" s="461" t="s">
        <v>1497</v>
      </c>
      <c r="F289" s="461" t="s">
        <v>8326</v>
      </c>
    </row>
    <row r="290" spans="1:6" ht="45" x14ac:dyDescent="0.25">
      <c r="A290" s="461">
        <v>39551</v>
      </c>
      <c r="B290" s="460" t="s">
        <v>8587</v>
      </c>
      <c r="C290" s="461" t="s">
        <v>1104</v>
      </c>
      <c r="D290" s="511">
        <v>2088.7800000000002</v>
      </c>
      <c r="E290" s="461" t="s">
        <v>1497</v>
      </c>
      <c r="F290" s="461" t="s">
        <v>8326</v>
      </c>
    </row>
    <row r="291" spans="1:6" ht="30" x14ac:dyDescent="0.25">
      <c r="A291" s="461">
        <v>43185</v>
      </c>
      <c r="B291" s="460" t="s">
        <v>8588</v>
      </c>
      <c r="C291" s="461" t="s">
        <v>1104</v>
      </c>
      <c r="D291" s="511">
        <v>5935.95</v>
      </c>
      <c r="E291" s="461" t="s">
        <v>1497</v>
      </c>
      <c r="F291" s="461" t="s">
        <v>8326</v>
      </c>
    </row>
    <row r="292" spans="1:6" ht="30" x14ac:dyDescent="0.25">
      <c r="A292" s="461">
        <v>43186</v>
      </c>
      <c r="B292" s="460" t="s">
        <v>8589</v>
      </c>
      <c r="C292" s="461" t="s">
        <v>1104</v>
      </c>
      <c r="D292" s="511">
        <v>6261.23</v>
      </c>
      <c r="E292" s="461" t="s">
        <v>1497</v>
      </c>
      <c r="F292" s="461" t="s">
        <v>8326</v>
      </c>
    </row>
    <row r="293" spans="1:6" ht="30" x14ac:dyDescent="0.25">
      <c r="A293" s="461">
        <v>43187</v>
      </c>
      <c r="B293" s="460" t="s">
        <v>8590</v>
      </c>
      <c r="C293" s="461" t="s">
        <v>1104</v>
      </c>
      <c r="D293" s="511">
        <v>8308.7199999999993</v>
      </c>
      <c r="E293" s="461" t="s">
        <v>1497</v>
      </c>
      <c r="F293" s="461" t="s">
        <v>8326</v>
      </c>
    </row>
    <row r="294" spans="1:6" ht="30" x14ac:dyDescent="0.25">
      <c r="A294" s="461">
        <v>43188</v>
      </c>
      <c r="B294" s="460" t="s">
        <v>8591</v>
      </c>
      <c r="C294" s="461" t="s">
        <v>1104</v>
      </c>
      <c r="D294" s="511">
        <v>10067.11</v>
      </c>
      <c r="E294" s="461" t="s">
        <v>1497</v>
      </c>
      <c r="F294" s="461" t="s">
        <v>8326</v>
      </c>
    </row>
    <row r="295" spans="1:6" ht="30" x14ac:dyDescent="0.25">
      <c r="A295" s="461">
        <v>43189</v>
      </c>
      <c r="B295" s="460" t="s">
        <v>8592</v>
      </c>
      <c r="C295" s="461" t="s">
        <v>1104</v>
      </c>
      <c r="D295" s="511">
        <v>11323.82</v>
      </c>
      <c r="E295" s="461" t="s">
        <v>1497</v>
      </c>
      <c r="F295" s="461" t="s">
        <v>8326</v>
      </c>
    </row>
    <row r="296" spans="1:6" ht="15" x14ac:dyDescent="0.25">
      <c r="A296" s="461">
        <v>39580</v>
      </c>
      <c r="B296" s="460" t="s">
        <v>8593</v>
      </c>
      <c r="C296" s="461" t="s">
        <v>1104</v>
      </c>
      <c r="D296" s="511">
        <v>89236.35</v>
      </c>
      <c r="E296" s="461" t="s">
        <v>1497</v>
      </c>
      <c r="F296" s="461" t="s">
        <v>8326</v>
      </c>
    </row>
    <row r="297" spans="1:6" ht="15" x14ac:dyDescent="0.25">
      <c r="A297" s="461">
        <v>39577</v>
      </c>
      <c r="B297" s="460" t="s">
        <v>8594</v>
      </c>
      <c r="C297" s="461" t="s">
        <v>1104</v>
      </c>
      <c r="D297" s="511">
        <v>27930.79</v>
      </c>
      <c r="E297" s="461" t="s">
        <v>1497</v>
      </c>
      <c r="F297" s="461" t="s">
        <v>8326</v>
      </c>
    </row>
    <row r="298" spans="1:6" ht="15" x14ac:dyDescent="0.25">
      <c r="A298" s="461">
        <v>39578</v>
      </c>
      <c r="B298" s="460" t="s">
        <v>8595</v>
      </c>
      <c r="C298" s="461" t="s">
        <v>1104</v>
      </c>
      <c r="D298" s="511">
        <v>36045.230000000003</v>
      </c>
      <c r="E298" s="461" t="s">
        <v>1497</v>
      </c>
      <c r="F298" s="461" t="s">
        <v>8326</v>
      </c>
    </row>
    <row r="299" spans="1:6" ht="15" x14ac:dyDescent="0.25">
      <c r="A299" s="461">
        <v>39579</v>
      </c>
      <c r="B299" s="460" t="s">
        <v>8596</v>
      </c>
      <c r="C299" s="461" t="s">
        <v>1104</v>
      </c>
      <c r="D299" s="511">
        <v>52443</v>
      </c>
      <c r="E299" s="461" t="s">
        <v>1497</v>
      </c>
      <c r="F299" s="461" t="s">
        <v>8326</v>
      </c>
    </row>
    <row r="300" spans="1:6" ht="30" x14ac:dyDescent="0.25">
      <c r="A300" s="461">
        <v>39826</v>
      </c>
      <c r="B300" s="460" t="s">
        <v>8597</v>
      </c>
      <c r="C300" s="461" t="s">
        <v>1104</v>
      </c>
      <c r="D300" s="511">
        <v>6440.95</v>
      </c>
      <c r="E300" s="461" t="s">
        <v>1497</v>
      </c>
      <c r="F300" s="461" t="s">
        <v>8326</v>
      </c>
    </row>
    <row r="301" spans="1:6" ht="15" x14ac:dyDescent="0.25">
      <c r="A301" s="461">
        <v>10700</v>
      </c>
      <c r="B301" s="460" t="s">
        <v>8598</v>
      </c>
      <c r="C301" s="461" t="s">
        <v>1104</v>
      </c>
      <c r="D301" s="511">
        <v>22684.99</v>
      </c>
      <c r="E301" s="461" t="s">
        <v>161</v>
      </c>
      <c r="F301" s="461" t="s">
        <v>8328</v>
      </c>
    </row>
    <row r="302" spans="1:6" ht="15" x14ac:dyDescent="0.25">
      <c r="A302" s="461">
        <v>346</v>
      </c>
      <c r="B302" s="460" t="s">
        <v>13087</v>
      </c>
      <c r="C302" s="461" t="s">
        <v>1108</v>
      </c>
      <c r="D302" s="461">
        <v>18.95</v>
      </c>
      <c r="E302" s="461" t="s">
        <v>161</v>
      </c>
      <c r="F302" s="461" t="s">
        <v>8326</v>
      </c>
    </row>
    <row r="303" spans="1:6" ht="15" x14ac:dyDescent="0.25">
      <c r="A303" s="461">
        <v>3312</v>
      </c>
      <c r="B303" s="460" t="s">
        <v>8599</v>
      </c>
      <c r="C303" s="461" t="s">
        <v>1108</v>
      </c>
      <c r="D303" s="461">
        <v>16.78</v>
      </c>
      <c r="E303" s="461" t="s">
        <v>161</v>
      </c>
      <c r="F303" s="461" t="s">
        <v>8326</v>
      </c>
    </row>
    <row r="304" spans="1:6" ht="15" x14ac:dyDescent="0.25">
      <c r="A304" s="461">
        <v>339</v>
      </c>
      <c r="B304" s="460" t="s">
        <v>8600</v>
      </c>
      <c r="C304" s="461" t="s">
        <v>1107</v>
      </c>
      <c r="D304" s="461">
        <v>0.97</v>
      </c>
      <c r="E304" s="461" t="s">
        <v>161</v>
      </c>
      <c r="F304" s="461" t="s">
        <v>8326</v>
      </c>
    </row>
    <row r="305" spans="1:6" ht="15" x14ac:dyDescent="0.25">
      <c r="A305" s="461">
        <v>340</v>
      </c>
      <c r="B305" s="460" t="s">
        <v>8601</v>
      </c>
      <c r="C305" s="461" t="s">
        <v>1107</v>
      </c>
      <c r="D305" s="461">
        <v>0.88</v>
      </c>
      <c r="E305" s="461" t="s">
        <v>161</v>
      </c>
      <c r="F305" s="461" t="s">
        <v>8326</v>
      </c>
    </row>
    <row r="306" spans="1:6" ht="30" x14ac:dyDescent="0.25">
      <c r="A306" s="461">
        <v>43130</v>
      </c>
      <c r="B306" s="460" t="s">
        <v>8602</v>
      </c>
      <c r="C306" s="461" t="s">
        <v>1108</v>
      </c>
      <c r="D306" s="461">
        <v>16</v>
      </c>
      <c r="E306" s="461" t="s">
        <v>161</v>
      </c>
      <c r="F306" s="461" t="s">
        <v>8333</v>
      </c>
    </row>
    <row r="307" spans="1:6" ht="15" x14ac:dyDescent="0.25">
      <c r="A307" s="461">
        <v>344</v>
      </c>
      <c r="B307" s="460" t="s">
        <v>8603</v>
      </c>
      <c r="C307" s="461" t="s">
        <v>1108</v>
      </c>
      <c r="D307" s="461">
        <v>21.03</v>
      </c>
      <c r="E307" s="461" t="s">
        <v>161</v>
      </c>
      <c r="F307" s="461" t="s">
        <v>8326</v>
      </c>
    </row>
    <row r="308" spans="1:6" ht="15" x14ac:dyDescent="0.25">
      <c r="A308" s="461">
        <v>345</v>
      </c>
      <c r="B308" s="460" t="s">
        <v>8604</v>
      </c>
      <c r="C308" s="461" t="s">
        <v>1108</v>
      </c>
      <c r="D308" s="461">
        <v>22.82</v>
      </c>
      <c r="E308" s="461" t="s">
        <v>161</v>
      </c>
      <c r="F308" s="461" t="s">
        <v>8326</v>
      </c>
    </row>
    <row r="309" spans="1:6" ht="30" x14ac:dyDescent="0.25">
      <c r="A309" s="461">
        <v>43131</v>
      </c>
      <c r="B309" s="460" t="s">
        <v>8605</v>
      </c>
      <c r="C309" s="461" t="s">
        <v>1108</v>
      </c>
      <c r="D309" s="461">
        <v>18.579999999999998</v>
      </c>
      <c r="E309" s="461" t="s">
        <v>161</v>
      </c>
      <c r="F309" s="461" t="s">
        <v>8326</v>
      </c>
    </row>
    <row r="310" spans="1:6" ht="15" x14ac:dyDescent="0.25">
      <c r="A310" s="461">
        <v>3313</v>
      </c>
      <c r="B310" s="460" t="s">
        <v>8606</v>
      </c>
      <c r="C310" s="461" t="s">
        <v>1108</v>
      </c>
      <c r="D310" s="461">
        <v>21.6</v>
      </c>
      <c r="E310" s="461" t="s">
        <v>161</v>
      </c>
      <c r="F310" s="461" t="s">
        <v>8326</v>
      </c>
    </row>
    <row r="311" spans="1:6" ht="30" x14ac:dyDescent="0.25">
      <c r="A311" s="461">
        <v>43132</v>
      </c>
      <c r="B311" s="460" t="s">
        <v>8607</v>
      </c>
      <c r="C311" s="461" t="s">
        <v>1108</v>
      </c>
      <c r="D311" s="461">
        <v>16</v>
      </c>
      <c r="E311" s="461" t="s">
        <v>161</v>
      </c>
      <c r="F311" s="461" t="s">
        <v>8326</v>
      </c>
    </row>
    <row r="312" spans="1:6" ht="15" x14ac:dyDescent="0.25">
      <c r="A312" s="461">
        <v>366</v>
      </c>
      <c r="B312" s="460" t="s">
        <v>8608</v>
      </c>
      <c r="C312" s="461" t="s">
        <v>1105</v>
      </c>
      <c r="D312" s="461">
        <v>200</v>
      </c>
      <c r="E312" s="461" t="s">
        <v>161</v>
      </c>
      <c r="F312" s="461" t="s">
        <v>8333</v>
      </c>
    </row>
    <row r="313" spans="1:6" ht="30" x14ac:dyDescent="0.25">
      <c r="A313" s="461">
        <v>367</v>
      </c>
      <c r="B313" s="460" t="s">
        <v>8609</v>
      </c>
      <c r="C313" s="461" t="s">
        <v>1105</v>
      </c>
      <c r="D313" s="461">
        <v>202.61</v>
      </c>
      <c r="E313" s="461" t="s">
        <v>161</v>
      </c>
      <c r="F313" s="461" t="s">
        <v>8326</v>
      </c>
    </row>
    <row r="314" spans="1:6" ht="30" x14ac:dyDescent="0.25">
      <c r="A314" s="461">
        <v>370</v>
      </c>
      <c r="B314" s="460" t="s">
        <v>8610</v>
      </c>
      <c r="C314" s="461" t="s">
        <v>1105</v>
      </c>
      <c r="D314" s="461">
        <v>200</v>
      </c>
      <c r="E314" s="461" t="s">
        <v>161</v>
      </c>
      <c r="F314" s="461" t="s">
        <v>8326</v>
      </c>
    </row>
    <row r="315" spans="1:6" ht="30" x14ac:dyDescent="0.25">
      <c r="A315" s="461">
        <v>368</v>
      </c>
      <c r="B315" s="460" t="s">
        <v>8611</v>
      </c>
      <c r="C315" s="461" t="s">
        <v>1105</v>
      </c>
      <c r="D315" s="461">
        <v>100</v>
      </c>
      <c r="E315" s="461" t="s">
        <v>161</v>
      </c>
      <c r="F315" s="461" t="s">
        <v>8326</v>
      </c>
    </row>
    <row r="316" spans="1:6" ht="30" x14ac:dyDescent="0.25">
      <c r="A316" s="461">
        <v>11075</v>
      </c>
      <c r="B316" s="460" t="s">
        <v>8612</v>
      </c>
      <c r="C316" s="461" t="s">
        <v>1105</v>
      </c>
      <c r="D316" s="511">
        <v>2295.38</v>
      </c>
      <c r="E316" s="461" t="s">
        <v>161</v>
      </c>
      <c r="F316" s="461" t="s">
        <v>8326</v>
      </c>
    </row>
    <row r="317" spans="1:6" ht="15" x14ac:dyDescent="0.25">
      <c r="A317" s="461">
        <v>1381</v>
      </c>
      <c r="B317" s="460" t="s">
        <v>8613</v>
      </c>
      <c r="C317" s="461" t="s">
        <v>1108</v>
      </c>
      <c r="D317" s="461">
        <v>0.65</v>
      </c>
      <c r="E317" s="461" t="s">
        <v>161</v>
      </c>
      <c r="F317" s="461" t="s">
        <v>8333</v>
      </c>
    </row>
    <row r="318" spans="1:6" ht="15" x14ac:dyDescent="0.25">
      <c r="A318" s="461">
        <v>34353</v>
      </c>
      <c r="B318" s="460" t="s">
        <v>8614</v>
      </c>
      <c r="C318" s="461" t="s">
        <v>1108</v>
      </c>
      <c r="D318" s="461">
        <v>1.21</v>
      </c>
      <c r="E318" s="461" t="s">
        <v>161</v>
      </c>
      <c r="F318" s="461" t="s">
        <v>8326</v>
      </c>
    </row>
    <row r="319" spans="1:6" ht="15" x14ac:dyDescent="0.25">
      <c r="A319" s="461">
        <v>37595</v>
      </c>
      <c r="B319" s="460" t="s">
        <v>8615</v>
      </c>
      <c r="C319" s="461" t="s">
        <v>1108</v>
      </c>
      <c r="D319" s="461">
        <v>1.99</v>
      </c>
      <c r="E319" s="461" t="s">
        <v>161</v>
      </c>
      <c r="F319" s="461" t="s">
        <v>8326</v>
      </c>
    </row>
    <row r="320" spans="1:6" ht="15" x14ac:dyDescent="0.25">
      <c r="A320" s="461">
        <v>37596</v>
      </c>
      <c r="B320" s="460" t="s">
        <v>8616</v>
      </c>
      <c r="C320" s="461" t="s">
        <v>1108</v>
      </c>
      <c r="D320" s="461">
        <v>2.29</v>
      </c>
      <c r="E320" s="461" t="s">
        <v>161</v>
      </c>
      <c r="F320" s="461" t="s">
        <v>8326</v>
      </c>
    </row>
    <row r="321" spans="1:6" ht="30" x14ac:dyDescent="0.25">
      <c r="A321" s="461">
        <v>371</v>
      </c>
      <c r="B321" s="460" t="s">
        <v>8617</v>
      </c>
      <c r="C321" s="461" t="s">
        <v>1108</v>
      </c>
      <c r="D321" s="461">
        <v>0.71</v>
      </c>
      <c r="E321" s="461" t="s">
        <v>161</v>
      </c>
      <c r="F321" s="461" t="s">
        <v>8326</v>
      </c>
    </row>
    <row r="322" spans="1:6" ht="15" x14ac:dyDescent="0.25">
      <c r="A322" s="461">
        <v>37553</v>
      </c>
      <c r="B322" s="460" t="s">
        <v>8618</v>
      </c>
      <c r="C322" s="461" t="s">
        <v>1108</v>
      </c>
      <c r="D322" s="461">
        <v>1.32</v>
      </c>
      <c r="E322" s="461" t="s">
        <v>161</v>
      </c>
      <c r="F322" s="461" t="s">
        <v>8326</v>
      </c>
    </row>
    <row r="323" spans="1:6" ht="15" x14ac:dyDescent="0.25">
      <c r="A323" s="461">
        <v>37552</v>
      </c>
      <c r="B323" s="460" t="s">
        <v>8619</v>
      </c>
      <c r="C323" s="461" t="s">
        <v>1108</v>
      </c>
      <c r="D323" s="461">
        <v>2.13</v>
      </c>
      <c r="E323" s="461" t="s">
        <v>161</v>
      </c>
      <c r="F323" s="461" t="s">
        <v>8326</v>
      </c>
    </row>
    <row r="324" spans="1:6" ht="15" x14ac:dyDescent="0.25">
      <c r="A324" s="461">
        <v>36880</v>
      </c>
      <c r="B324" s="460" t="s">
        <v>8620</v>
      </c>
      <c r="C324" s="461" t="s">
        <v>1108</v>
      </c>
      <c r="D324" s="461">
        <v>2.17</v>
      </c>
      <c r="E324" s="461" t="s">
        <v>161</v>
      </c>
      <c r="F324" s="461" t="s">
        <v>8326</v>
      </c>
    </row>
    <row r="325" spans="1:6" ht="15" x14ac:dyDescent="0.25">
      <c r="A325" s="461">
        <v>34355</v>
      </c>
      <c r="B325" s="460" t="s">
        <v>8621</v>
      </c>
      <c r="C325" s="461" t="s">
        <v>1108</v>
      </c>
      <c r="D325" s="461">
        <v>1.86</v>
      </c>
      <c r="E325" s="461" t="s">
        <v>161</v>
      </c>
      <c r="F325" s="461" t="s">
        <v>8326</v>
      </c>
    </row>
    <row r="326" spans="1:6" ht="15" x14ac:dyDescent="0.25">
      <c r="A326" s="461">
        <v>130</v>
      </c>
      <c r="B326" s="460" t="s">
        <v>8622</v>
      </c>
      <c r="C326" s="461" t="s">
        <v>1108</v>
      </c>
      <c r="D326" s="461">
        <v>4.5599999999999996</v>
      </c>
      <c r="E326" s="461" t="s">
        <v>161</v>
      </c>
      <c r="F326" s="461" t="s">
        <v>8326</v>
      </c>
    </row>
    <row r="327" spans="1:6" ht="30" x14ac:dyDescent="0.25">
      <c r="A327" s="461">
        <v>135</v>
      </c>
      <c r="B327" s="460" t="s">
        <v>8623</v>
      </c>
      <c r="C327" s="461" t="s">
        <v>1108</v>
      </c>
      <c r="D327" s="461">
        <v>3.67</v>
      </c>
      <c r="E327" s="461" t="s">
        <v>161</v>
      </c>
      <c r="F327" s="461" t="s">
        <v>8326</v>
      </c>
    </row>
    <row r="328" spans="1:6" ht="15" x14ac:dyDescent="0.25">
      <c r="A328" s="461">
        <v>36886</v>
      </c>
      <c r="B328" s="460" t="s">
        <v>8624</v>
      </c>
      <c r="C328" s="461" t="s">
        <v>1108</v>
      </c>
      <c r="D328" s="461">
        <v>0.67</v>
      </c>
      <c r="E328" s="461" t="s">
        <v>161</v>
      </c>
      <c r="F328" s="461" t="s">
        <v>8326</v>
      </c>
    </row>
    <row r="329" spans="1:6" ht="30" x14ac:dyDescent="0.25">
      <c r="A329" s="461">
        <v>38546</v>
      </c>
      <c r="B329" s="460" t="s">
        <v>8625</v>
      </c>
      <c r="C329" s="461" t="s">
        <v>1105</v>
      </c>
      <c r="D329" s="461">
        <v>499.2</v>
      </c>
      <c r="E329" s="461" t="s">
        <v>161</v>
      </c>
      <c r="F329" s="461" t="s">
        <v>8326</v>
      </c>
    </row>
    <row r="330" spans="1:6" ht="15" x14ac:dyDescent="0.25">
      <c r="A330" s="461">
        <v>34549</v>
      </c>
      <c r="B330" s="460" t="s">
        <v>8626</v>
      </c>
      <c r="C330" s="461" t="s">
        <v>1105</v>
      </c>
      <c r="D330" s="461">
        <v>747.19</v>
      </c>
      <c r="E330" s="461" t="s">
        <v>161</v>
      </c>
      <c r="F330" s="461" t="s">
        <v>8328</v>
      </c>
    </row>
    <row r="331" spans="1:6" ht="15" x14ac:dyDescent="0.25">
      <c r="A331" s="461">
        <v>6081</v>
      </c>
      <c r="B331" s="460" t="s">
        <v>8627</v>
      </c>
      <c r="C331" s="461" t="s">
        <v>1105</v>
      </c>
      <c r="D331" s="461">
        <v>52.3</v>
      </c>
      <c r="E331" s="461" t="s">
        <v>161</v>
      </c>
      <c r="F331" s="461" t="s">
        <v>8328</v>
      </c>
    </row>
    <row r="332" spans="1:6" ht="30" x14ac:dyDescent="0.25">
      <c r="A332" s="461">
        <v>6077</v>
      </c>
      <c r="B332" s="460" t="s">
        <v>8628</v>
      </c>
      <c r="C332" s="461" t="s">
        <v>1105</v>
      </c>
      <c r="D332" s="461">
        <v>37.35</v>
      </c>
      <c r="E332" s="461" t="s">
        <v>161</v>
      </c>
      <c r="F332" s="461" t="s">
        <v>8328</v>
      </c>
    </row>
    <row r="333" spans="1:6" ht="30" x14ac:dyDescent="0.25">
      <c r="A333" s="461">
        <v>6079</v>
      </c>
      <c r="B333" s="460" t="s">
        <v>8629</v>
      </c>
      <c r="C333" s="461" t="s">
        <v>1105</v>
      </c>
      <c r="D333" s="461">
        <v>37.35</v>
      </c>
      <c r="E333" s="461" t="s">
        <v>161</v>
      </c>
      <c r="F333" s="461" t="s">
        <v>8328</v>
      </c>
    </row>
    <row r="334" spans="1:6" ht="30" x14ac:dyDescent="0.25">
      <c r="A334" s="461">
        <v>1091</v>
      </c>
      <c r="B334" s="460" t="s">
        <v>8630</v>
      </c>
      <c r="C334" s="461" t="s">
        <v>1104</v>
      </c>
      <c r="D334" s="461">
        <v>37.07</v>
      </c>
      <c r="E334" s="461" t="s">
        <v>161</v>
      </c>
      <c r="F334" s="461" t="s">
        <v>8326</v>
      </c>
    </row>
    <row r="335" spans="1:6" ht="30" x14ac:dyDescent="0.25">
      <c r="A335" s="461">
        <v>1094</v>
      </c>
      <c r="B335" s="460" t="s">
        <v>8631</v>
      </c>
      <c r="C335" s="461" t="s">
        <v>1104</v>
      </c>
      <c r="D335" s="461">
        <v>25.93</v>
      </c>
      <c r="E335" s="461" t="s">
        <v>161</v>
      </c>
      <c r="F335" s="461" t="s">
        <v>8326</v>
      </c>
    </row>
    <row r="336" spans="1:6" ht="30" x14ac:dyDescent="0.25">
      <c r="A336" s="461">
        <v>1095</v>
      </c>
      <c r="B336" s="460" t="s">
        <v>8632</v>
      </c>
      <c r="C336" s="461" t="s">
        <v>1104</v>
      </c>
      <c r="D336" s="461">
        <v>55.11</v>
      </c>
      <c r="E336" s="461" t="s">
        <v>161</v>
      </c>
      <c r="F336" s="461" t="s">
        <v>8326</v>
      </c>
    </row>
    <row r="337" spans="1:6" ht="30" x14ac:dyDescent="0.25">
      <c r="A337" s="461">
        <v>1092</v>
      </c>
      <c r="B337" s="460" t="s">
        <v>8633</v>
      </c>
      <c r="C337" s="461" t="s">
        <v>1104</v>
      </c>
      <c r="D337" s="461">
        <v>42.64</v>
      </c>
      <c r="E337" s="461" t="s">
        <v>161</v>
      </c>
      <c r="F337" s="461" t="s">
        <v>8333</v>
      </c>
    </row>
    <row r="338" spans="1:6" ht="30" x14ac:dyDescent="0.25">
      <c r="A338" s="461">
        <v>1093</v>
      </c>
      <c r="B338" s="460" t="s">
        <v>8634</v>
      </c>
      <c r="C338" s="461" t="s">
        <v>1104</v>
      </c>
      <c r="D338" s="461">
        <v>99.58</v>
      </c>
      <c r="E338" s="461" t="s">
        <v>161</v>
      </c>
      <c r="F338" s="461" t="s">
        <v>8326</v>
      </c>
    </row>
    <row r="339" spans="1:6" ht="30" x14ac:dyDescent="0.25">
      <c r="A339" s="461">
        <v>1090</v>
      </c>
      <c r="B339" s="460" t="s">
        <v>8635</v>
      </c>
      <c r="C339" s="461" t="s">
        <v>1104</v>
      </c>
      <c r="D339" s="461">
        <v>71.290000000000006</v>
      </c>
      <c r="E339" s="461" t="s">
        <v>161</v>
      </c>
      <c r="F339" s="461" t="s">
        <v>8326</v>
      </c>
    </row>
    <row r="340" spans="1:6" ht="30" x14ac:dyDescent="0.25">
      <c r="A340" s="461">
        <v>1096</v>
      </c>
      <c r="B340" s="460" t="s">
        <v>8636</v>
      </c>
      <c r="C340" s="461" t="s">
        <v>1104</v>
      </c>
      <c r="D340" s="461">
        <v>128.31</v>
      </c>
      <c r="E340" s="461" t="s">
        <v>161</v>
      </c>
      <c r="F340" s="461" t="s">
        <v>8326</v>
      </c>
    </row>
    <row r="341" spans="1:6" ht="30" x14ac:dyDescent="0.25">
      <c r="A341" s="461">
        <v>1097</v>
      </c>
      <c r="B341" s="460" t="s">
        <v>8637</v>
      </c>
      <c r="C341" s="461" t="s">
        <v>1104</v>
      </c>
      <c r="D341" s="461">
        <v>108.92</v>
      </c>
      <c r="E341" s="461" t="s">
        <v>161</v>
      </c>
      <c r="F341" s="461" t="s">
        <v>8326</v>
      </c>
    </row>
    <row r="342" spans="1:6" ht="15" x14ac:dyDescent="0.25">
      <c r="A342" s="461">
        <v>378</v>
      </c>
      <c r="B342" s="460" t="s">
        <v>8638</v>
      </c>
      <c r="C342" s="461" t="s">
        <v>1103</v>
      </c>
      <c r="D342" s="461">
        <v>21.83</v>
      </c>
      <c r="E342" s="461" t="s">
        <v>4455</v>
      </c>
      <c r="F342" s="461" t="s">
        <v>8326</v>
      </c>
    </row>
    <row r="343" spans="1:6" ht="15" x14ac:dyDescent="0.25">
      <c r="A343" s="461">
        <v>40911</v>
      </c>
      <c r="B343" s="460" t="s">
        <v>8639</v>
      </c>
      <c r="C343" s="461" t="s">
        <v>1110</v>
      </c>
      <c r="D343" s="511">
        <v>3886.77</v>
      </c>
      <c r="E343" s="461" t="s">
        <v>4455</v>
      </c>
      <c r="F343" s="461" t="s">
        <v>8326</v>
      </c>
    </row>
    <row r="344" spans="1:6" ht="15" x14ac:dyDescent="0.25">
      <c r="A344" s="461">
        <v>33939</v>
      </c>
      <c r="B344" s="460" t="s">
        <v>8640</v>
      </c>
      <c r="C344" s="461" t="s">
        <v>1103</v>
      </c>
      <c r="D344" s="461">
        <v>114.1</v>
      </c>
      <c r="E344" s="461" t="s">
        <v>4455</v>
      </c>
      <c r="F344" s="461" t="s">
        <v>8326</v>
      </c>
    </row>
    <row r="345" spans="1:6" ht="15" x14ac:dyDescent="0.25">
      <c r="A345" s="461">
        <v>40815</v>
      </c>
      <c r="B345" s="460" t="s">
        <v>8641</v>
      </c>
      <c r="C345" s="461" t="s">
        <v>1110</v>
      </c>
      <c r="D345" s="511">
        <v>20315.75</v>
      </c>
      <c r="E345" s="461" t="s">
        <v>4455</v>
      </c>
      <c r="F345" s="461" t="s">
        <v>8326</v>
      </c>
    </row>
    <row r="346" spans="1:6" ht="15" x14ac:dyDescent="0.25">
      <c r="A346" s="461">
        <v>33952</v>
      </c>
      <c r="B346" s="460" t="s">
        <v>8642</v>
      </c>
      <c r="C346" s="461" t="s">
        <v>1103</v>
      </c>
      <c r="D346" s="461">
        <v>119.19</v>
      </c>
      <c r="E346" s="461" t="s">
        <v>4455</v>
      </c>
      <c r="F346" s="461" t="s">
        <v>8326</v>
      </c>
    </row>
    <row r="347" spans="1:6" ht="15" x14ac:dyDescent="0.25">
      <c r="A347" s="461">
        <v>40816</v>
      </c>
      <c r="B347" s="460" t="s">
        <v>8643</v>
      </c>
      <c r="C347" s="461" t="s">
        <v>1110</v>
      </c>
      <c r="D347" s="511">
        <v>21219.15</v>
      </c>
      <c r="E347" s="461" t="s">
        <v>4455</v>
      </c>
      <c r="F347" s="461" t="s">
        <v>8326</v>
      </c>
    </row>
    <row r="348" spans="1:6" ht="15" x14ac:dyDescent="0.25">
      <c r="A348" s="461">
        <v>33953</v>
      </c>
      <c r="B348" s="460" t="s">
        <v>8644</v>
      </c>
      <c r="C348" s="461" t="s">
        <v>1103</v>
      </c>
      <c r="D348" s="461">
        <v>124.9</v>
      </c>
      <c r="E348" s="461" t="s">
        <v>4455</v>
      </c>
      <c r="F348" s="461" t="s">
        <v>8326</v>
      </c>
    </row>
    <row r="349" spans="1:6" ht="15" x14ac:dyDescent="0.25">
      <c r="A349" s="461">
        <v>40817</v>
      </c>
      <c r="B349" s="460" t="s">
        <v>8645</v>
      </c>
      <c r="C349" s="461" t="s">
        <v>1110</v>
      </c>
      <c r="D349" s="511">
        <v>22238.35</v>
      </c>
      <c r="E349" s="461" t="s">
        <v>4455</v>
      </c>
      <c r="F349" s="461" t="s">
        <v>8326</v>
      </c>
    </row>
    <row r="350" spans="1:6" ht="30" x14ac:dyDescent="0.25">
      <c r="A350" s="461">
        <v>13348</v>
      </c>
      <c r="B350" s="460" t="s">
        <v>13088</v>
      </c>
      <c r="C350" s="461" t="s">
        <v>1104</v>
      </c>
      <c r="D350" s="461">
        <v>1.76</v>
      </c>
      <c r="E350" s="461" t="s">
        <v>161</v>
      </c>
      <c r="F350" s="461" t="s">
        <v>8328</v>
      </c>
    </row>
    <row r="351" spans="1:6" ht="15" x14ac:dyDescent="0.25">
      <c r="A351" s="461">
        <v>39212</v>
      </c>
      <c r="B351" s="460" t="s">
        <v>8646</v>
      </c>
      <c r="C351" s="461" t="s">
        <v>1104</v>
      </c>
      <c r="D351" s="461">
        <v>1.68</v>
      </c>
      <c r="E351" s="461" t="s">
        <v>161</v>
      </c>
      <c r="F351" s="461" t="s">
        <v>8326</v>
      </c>
    </row>
    <row r="352" spans="1:6" ht="15" x14ac:dyDescent="0.25">
      <c r="A352" s="461">
        <v>39211</v>
      </c>
      <c r="B352" s="460" t="s">
        <v>13089</v>
      </c>
      <c r="C352" s="461" t="s">
        <v>1104</v>
      </c>
      <c r="D352" s="461">
        <v>1.5</v>
      </c>
      <c r="E352" s="461" t="s">
        <v>161</v>
      </c>
      <c r="F352" s="461" t="s">
        <v>8326</v>
      </c>
    </row>
    <row r="353" spans="1:6" ht="15" x14ac:dyDescent="0.25">
      <c r="A353" s="461">
        <v>39208</v>
      </c>
      <c r="B353" s="460" t="s">
        <v>8647</v>
      </c>
      <c r="C353" s="461" t="s">
        <v>1104</v>
      </c>
      <c r="D353" s="461">
        <v>0.46</v>
      </c>
      <c r="E353" s="461" t="s">
        <v>161</v>
      </c>
      <c r="F353" s="461" t="s">
        <v>8326</v>
      </c>
    </row>
    <row r="354" spans="1:6" ht="15" x14ac:dyDescent="0.25">
      <c r="A354" s="461">
        <v>39210</v>
      </c>
      <c r="B354" s="460" t="s">
        <v>8648</v>
      </c>
      <c r="C354" s="461" t="s">
        <v>1104</v>
      </c>
      <c r="D354" s="461">
        <v>0.84</v>
      </c>
      <c r="E354" s="461" t="s">
        <v>161</v>
      </c>
      <c r="F354" s="461" t="s">
        <v>8326</v>
      </c>
    </row>
    <row r="355" spans="1:6" ht="15" x14ac:dyDescent="0.25">
      <c r="A355" s="461">
        <v>39214</v>
      </c>
      <c r="B355" s="460" t="s">
        <v>8649</v>
      </c>
      <c r="C355" s="461" t="s">
        <v>1104</v>
      </c>
      <c r="D355" s="461">
        <v>3.11</v>
      </c>
      <c r="E355" s="461" t="s">
        <v>161</v>
      </c>
      <c r="F355" s="461" t="s">
        <v>8326</v>
      </c>
    </row>
    <row r="356" spans="1:6" ht="15" x14ac:dyDescent="0.25">
      <c r="A356" s="461">
        <v>39213</v>
      </c>
      <c r="B356" s="460" t="s">
        <v>8650</v>
      </c>
      <c r="C356" s="461" t="s">
        <v>1104</v>
      </c>
      <c r="D356" s="461">
        <v>2.19</v>
      </c>
      <c r="E356" s="461" t="s">
        <v>161</v>
      </c>
      <c r="F356" s="461" t="s">
        <v>8326</v>
      </c>
    </row>
    <row r="357" spans="1:6" ht="15" x14ac:dyDescent="0.25">
      <c r="A357" s="461">
        <v>39209</v>
      </c>
      <c r="B357" s="460" t="s">
        <v>8651</v>
      </c>
      <c r="C357" s="461" t="s">
        <v>1104</v>
      </c>
      <c r="D357" s="461">
        <v>0.54</v>
      </c>
      <c r="E357" s="461" t="s">
        <v>161</v>
      </c>
      <c r="F357" s="461" t="s">
        <v>8326</v>
      </c>
    </row>
    <row r="358" spans="1:6" ht="15" x14ac:dyDescent="0.25">
      <c r="A358" s="461">
        <v>39207</v>
      </c>
      <c r="B358" s="460" t="s">
        <v>8652</v>
      </c>
      <c r="C358" s="461" t="s">
        <v>1104</v>
      </c>
      <c r="D358" s="461">
        <v>0.84</v>
      </c>
      <c r="E358" s="461" t="s">
        <v>161</v>
      </c>
      <c r="F358" s="461" t="s">
        <v>8326</v>
      </c>
    </row>
    <row r="359" spans="1:6" ht="15" x14ac:dyDescent="0.25">
      <c r="A359" s="461">
        <v>39215</v>
      </c>
      <c r="B359" s="460" t="s">
        <v>8653</v>
      </c>
      <c r="C359" s="461" t="s">
        <v>1104</v>
      </c>
      <c r="D359" s="461">
        <v>5.66</v>
      </c>
      <c r="E359" s="461" t="s">
        <v>161</v>
      </c>
      <c r="F359" s="461" t="s">
        <v>8326</v>
      </c>
    </row>
    <row r="360" spans="1:6" ht="15" x14ac:dyDescent="0.25">
      <c r="A360" s="461">
        <v>39216</v>
      </c>
      <c r="B360" s="460" t="s">
        <v>8654</v>
      </c>
      <c r="C360" s="461" t="s">
        <v>1104</v>
      </c>
      <c r="D360" s="461">
        <v>7.9</v>
      </c>
      <c r="E360" s="461" t="s">
        <v>161</v>
      </c>
      <c r="F360" s="461" t="s">
        <v>8326</v>
      </c>
    </row>
    <row r="361" spans="1:6" ht="30" x14ac:dyDescent="0.25">
      <c r="A361" s="461">
        <v>11267</v>
      </c>
      <c r="B361" s="460" t="s">
        <v>8655</v>
      </c>
      <c r="C361" s="461" t="s">
        <v>1104</v>
      </c>
      <c r="D361" s="461">
        <v>1.54</v>
      </c>
      <c r="E361" s="461" t="s">
        <v>161</v>
      </c>
      <c r="F361" s="461" t="s">
        <v>8328</v>
      </c>
    </row>
    <row r="362" spans="1:6" ht="30" x14ac:dyDescent="0.25">
      <c r="A362" s="461">
        <v>379</v>
      </c>
      <c r="B362" s="460" t="s">
        <v>8656</v>
      </c>
      <c r="C362" s="461" t="s">
        <v>1104</v>
      </c>
      <c r="D362" s="461">
        <v>1.55</v>
      </c>
      <c r="E362" s="461" t="s">
        <v>161</v>
      </c>
      <c r="F362" s="461" t="s">
        <v>8328</v>
      </c>
    </row>
    <row r="363" spans="1:6" ht="30" x14ac:dyDescent="0.25">
      <c r="A363" s="461">
        <v>510</v>
      </c>
      <c r="B363" s="460" t="s">
        <v>8657</v>
      </c>
      <c r="C363" s="461" t="s">
        <v>1108</v>
      </c>
      <c r="D363" s="461">
        <v>13.46</v>
      </c>
      <c r="E363" s="461" t="s">
        <v>161</v>
      </c>
      <c r="F363" s="461" t="s">
        <v>8326</v>
      </c>
    </row>
    <row r="364" spans="1:6" ht="30" x14ac:dyDescent="0.25">
      <c r="A364" s="461">
        <v>516</v>
      </c>
      <c r="B364" s="460" t="s">
        <v>8658</v>
      </c>
      <c r="C364" s="461" t="s">
        <v>1108</v>
      </c>
      <c r="D364" s="461">
        <v>15.94</v>
      </c>
      <c r="E364" s="461" t="s">
        <v>161</v>
      </c>
      <c r="F364" s="461" t="s">
        <v>8326</v>
      </c>
    </row>
    <row r="365" spans="1:6" ht="30" x14ac:dyDescent="0.25">
      <c r="A365" s="461">
        <v>509</v>
      </c>
      <c r="B365" s="460" t="s">
        <v>8659</v>
      </c>
      <c r="C365" s="461" t="s">
        <v>1108</v>
      </c>
      <c r="D365" s="461">
        <v>17.89</v>
      </c>
      <c r="E365" s="461" t="s">
        <v>161</v>
      </c>
      <c r="F365" s="461" t="s">
        <v>8326</v>
      </c>
    </row>
    <row r="366" spans="1:6" ht="15" x14ac:dyDescent="0.25">
      <c r="A366" s="461">
        <v>40331</v>
      </c>
      <c r="B366" s="460" t="s">
        <v>8660</v>
      </c>
      <c r="C366" s="461" t="s">
        <v>1103</v>
      </c>
      <c r="D366" s="461">
        <v>17.350000000000001</v>
      </c>
      <c r="E366" s="461" t="s">
        <v>4455</v>
      </c>
      <c r="F366" s="461" t="s">
        <v>8326</v>
      </c>
    </row>
    <row r="367" spans="1:6" ht="15" x14ac:dyDescent="0.25">
      <c r="A367" s="461">
        <v>40930</v>
      </c>
      <c r="B367" s="460" t="s">
        <v>8661</v>
      </c>
      <c r="C367" s="461" t="s">
        <v>1110</v>
      </c>
      <c r="D367" s="511">
        <v>3092.95</v>
      </c>
      <c r="E367" s="461" t="s">
        <v>4455</v>
      </c>
      <c r="F367" s="461" t="s">
        <v>8326</v>
      </c>
    </row>
    <row r="368" spans="1:6" ht="15" x14ac:dyDescent="0.25">
      <c r="A368" s="461">
        <v>377</v>
      </c>
      <c r="B368" s="460" t="s">
        <v>8662</v>
      </c>
      <c r="C368" s="461" t="s">
        <v>1104</v>
      </c>
      <c r="D368" s="461">
        <v>40.799999999999997</v>
      </c>
      <c r="E368" s="461" t="s">
        <v>161</v>
      </c>
      <c r="F368" s="461" t="s">
        <v>8333</v>
      </c>
    </row>
    <row r="369" spans="1:6" ht="15" x14ac:dyDescent="0.25">
      <c r="A369" s="461">
        <v>11761</v>
      </c>
      <c r="B369" s="460" t="s">
        <v>13090</v>
      </c>
      <c r="C369" s="461" t="s">
        <v>1104</v>
      </c>
      <c r="D369" s="461">
        <v>86.82</v>
      </c>
      <c r="E369" s="461" t="s">
        <v>161</v>
      </c>
      <c r="F369" s="461" t="s">
        <v>8326</v>
      </c>
    </row>
    <row r="370" spans="1:6" ht="15" x14ac:dyDescent="0.25">
      <c r="A370" s="461">
        <v>7588</v>
      </c>
      <c r="B370" s="460" t="s">
        <v>8663</v>
      </c>
      <c r="C370" s="461" t="s">
        <v>1104</v>
      </c>
      <c r="D370" s="461">
        <v>50</v>
      </c>
      <c r="E370" s="461" t="s">
        <v>161</v>
      </c>
      <c r="F370" s="461" t="s">
        <v>8333</v>
      </c>
    </row>
    <row r="371" spans="1:6" ht="15" x14ac:dyDescent="0.25">
      <c r="A371" s="461">
        <v>34551</v>
      </c>
      <c r="B371" s="460" t="s">
        <v>8664</v>
      </c>
      <c r="C371" s="461" t="s">
        <v>1103</v>
      </c>
      <c r="D371" s="461">
        <v>14.2</v>
      </c>
      <c r="E371" s="461" t="s">
        <v>4455</v>
      </c>
      <c r="F371" s="461" t="s">
        <v>8326</v>
      </c>
    </row>
    <row r="372" spans="1:6" ht="15" x14ac:dyDescent="0.25">
      <c r="A372" s="461">
        <v>41078</v>
      </c>
      <c r="B372" s="460" t="s">
        <v>8665</v>
      </c>
      <c r="C372" s="461" t="s">
        <v>1110</v>
      </c>
      <c r="D372" s="511">
        <v>2530.6799999999998</v>
      </c>
      <c r="E372" s="461" t="s">
        <v>4455</v>
      </c>
      <c r="F372" s="461" t="s">
        <v>8326</v>
      </c>
    </row>
    <row r="373" spans="1:6" ht="15" x14ac:dyDescent="0.25">
      <c r="A373" s="461">
        <v>246</v>
      </c>
      <c r="B373" s="460" t="s">
        <v>8666</v>
      </c>
      <c r="C373" s="461" t="s">
        <v>1103</v>
      </c>
      <c r="D373" s="461">
        <v>15.27</v>
      </c>
      <c r="E373" s="461" t="s">
        <v>4455</v>
      </c>
      <c r="F373" s="461" t="s">
        <v>8326</v>
      </c>
    </row>
    <row r="374" spans="1:6" ht="15" x14ac:dyDescent="0.25">
      <c r="A374" s="461">
        <v>40927</v>
      </c>
      <c r="B374" s="460" t="s">
        <v>8667</v>
      </c>
      <c r="C374" s="461" t="s">
        <v>1110</v>
      </c>
      <c r="D374" s="511">
        <v>2722.88</v>
      </c>
      <c r="E374" s="461" t="s">
        <v>4455</v>
      </c>
      <c r="F374" s="461" t="s">
        <v>8326</v>
      </c>
    </row>
    <row r="375" spans="1:6" ht="15" x14ac:dyDescent="0.25">
      <c r="A375" s="461">
        <v>2350</v>
      </c>
      <c r="B375" s="460" t="s">
        <v>8668</v>
      </c>
      <c r="C375" s="461" t="s">
        <v>1103</v>
      </c>
      <c r="D375" s="461">
        <v>24.81</v>
      </c>
      <c r="E375" s="461" t="s">
        <v>4455</v>
      </c>
      <c r="F375" s="461" t="s">
        <v>8326</v>
      </c>
    </row>
    <row r="376" spans="1:6" ht="15" x14ac:dyDescent="0.25">
      <c r="A376" s="461">
        <v>40812</v>
      </c>
      <c r="B376" s="460" t="s">
        <v>8669</v>
      </c>
      <c r="C376" s="461" t="s">
        <v>1110</v>
      </c>
      <c r="D376" s="511">
        <v>4421.32</v>
      </c>
      <c r="E376" s="461" t="s">
        <v>4455</v>
      </c>
      <c r="F376" s="461" t="s">
        <v>8326</v>
      </c>
    </row>
    <row r="377" spans="1:6" ht="15" x14ac:dyDescent="0.25">
      <c r="A377" s="461">
        <v>245</v>
      </c>
      <c r="B377" s="460" t="s">
        <v>8670</v>
      </c>
      <c r="C377" s="461" t="s">
        <v>1103</v>
      </c>
      <c r="D377" s="461">
        <v>31.49</v>
      </c>
      <c r="E377" s="461" t="s">
        <v>4455</v>
      </c>
      <c r="F377" s="461" t="s">
        <v>8326</v>
      </c>
    </row>
    <row r="378" spans="1:6" ht="15" x14ac:dyDescent="0.25">
      <c r="A378" s="461">
        <v>41090</v>
      </c>
      <c r="B378" s="460" t="s">
        <v>8671</v>
      </c>
      <c r="C378" s="461" t="s">
        <v>1110</v>
      </c>
      <c r="D378" s="511">
        <v>5608.54</v>
      </c>
      <c r="E378" s="461" t="s">
        <v>4455</v>
      </c>
      <c r="F378" s="461" t="s">
        <v>8326</v>
      </c>
    </row>
    <row r="379" spans="1:6" ht="15" x14ac:dyDescent="0.25">
      <c r="A379" s="461">
        <v>251</v>
      </c>
      <c r="B379" s="460" t="s">
        <v>8672</v>
      </c>
      <c r="C379" s="461" t="s">
        <v>1103</v>
      </c>
      <c r="D379" s="461">
        <v>15.27</v>
      </c>
      <c r="E379" s="461" t="s">
        <v>4455</v>
      </c>
      <c r="F379" s="461" t="s">
        <v>8326</v>
      </c>
    </row>
    <row r="380" spans="1:6" ht="15" x14ac:dyDescent="0.25">
      <c r="A380" s="461">
        <v>40975</v>
      </c>
      <c r="B380" s="460" t="s">
        <v>8673</v>
      </c>
      <c r="C380" s="461" t="s">
        <v>1110</v>
      </c>
      <c r="D380" s="511">
        <v>2722.88</v>
      </c>
      <c r="E380" s="461" t="s">
        <v>4455</v>
      </c>
      <c r="F380" s="461" t="s">
        <v>8326</v>
      </c>
    </row>
    <row r="381" spans="1:6" ht="15" x14ac:dyDescent="0.25">
      <c r="A381" s="461">
        <v>6127</v>
      </c>
      <c r="B381" s="460" t="s">
        <v>8674</v>
      </c>
      <c r="C381" s="461" t="s">
        <v>1103</v>
      </c>
      <c r="D381" s="461">
        <v>15.27</v>
      </c>
      <c r="E381" s="461" t="s">
        <v>4455</v>
      </c>
      <c r="F381" s="461" t="s">
        <v>8326</v>
      </c>
    </row>
    <row r="382" spans="1:6" ht="15" x14ac:dyDescent="0.25">
      <c r="A382" s="461">
        <v>41072</v>
      </c>
      <c r="B382" s="460" t="s">
        <v>8675</v>
      </c>
      <c r="C382" s="461" t="s">
        <v>1110</v>
      </c>
      <c r="D382" s="511">
        <v>2722.88</v>
      </c>
      <c r="E382" s="461" t="s">
        <v>4455</v>
      </c>
      <c r="F382" s="461" t="s">
        <v>8326</v>
      </c>
    </row>
    <row r="383" spans="1:6" ht="15" x14ac:dyDescent="0.25">
      <c r="A383" s="461">
        <v>6121</v>
      </c>
      <c r="B383" s="460" t="s">
        <v>8676</v>
      </c>
      <c r="C383" s="461" t="s">
        <v>1103</v>
      </c>
      <c r="D383" s="461">
        <v>14.43</v>
      </c>
      <c r="E383" s="461" t="s">
        <v>4455</v>
      </c>
      <c r="F383" s="461" t="s">
        <v>8326</v>
      </c>
    </row>
    <row r="384" spans="1:6" ht="15" x14ac:dyDescent="0.25">
      <c r="A384" s="461">
        <v>41071</v>
      </c>
      <c r="B384" s="460" t="s">
        <v>8677</v>
      </c>
      <c r="C384" s="461" t="s">
        <v>1110</v>
      </c>
      <c r="D384" s="511">
        <v>2569.98</v>
      </c>
      <c r="E384" s="461" t="s">
        <v>4455</v>
      </c>
      <c r="F384" s="461" t="s">
        <v>8326</v>
      </c>
    </row>
    <row r="385" spans="1:6" ht="15" x14ac:dyDescent="0.25">
      <c r="A385" s="461">
        <v>244</v>
      </c>
      <c r="B385" s="460" t="s">
        <v>8678</v>
      </c>
      <c r="C385" s="461" t="s">
        <v>1103</v>
      </c>
      <c r="D385" s="461">
        <v>9.81</v>
      </c>
      <c r="E385" s="461" t="s">
        <v>4455</v>
      </c>
      <c r="F385" s="461" t="s">
        <v>8326</v>
      </c>
    </row>
    <row r="386" spans="1:6" ht="15" x14ac:dyDescent="0.25">
      <c r="A386" s="461">
        <v>41093</v>
      </c>
      <c r="B386" s="460" t="s">
        <v>8679</v>
      </c>
      <c r="C386" s="461" t="s">
        <v>1110</v>
      </c>
      <c r="D386" s="511">
        <v>1749.15</v>
      </c>
      <c r="E386" s="461" t="s">
        <v>4455</v>
      </c>
      <c r="F386" s="461" t="s">
        <v>8326</v>
      </c>
    </row>
    <row r="387" spans="1:6" ht="15" x14ac:dyDescent="0.25">
      <c r="A387" s="461">
        <v>532</v>
      </c>
      <c r="B387" s="460" t="s">
        <v>8680</v>
      </c>
      <c r="C387" s="461" t="s">
        <v>1103</v>
      </c>
      <c r="D387" s="461">
        <v>31.62</v>
      </c>
      <c r="E387" s="461" t="s">
        <v>4455</v>
      </c>
      <c r="F387" s="461" t="s">
        <v>8326</v>
      </c>
    </row>
    <row r="388" spans="1:6" ht="15" x14ac:dyDescent="0.25">
      <c r="A388" s="461">
        <v>40931</v>
      </c>
      <c r="B388" s="460" t="s">
        <v>8681</v>
      </c>
      <c r="C388" s="461" t="s">
        <v>1110</v>
      </c>
      <c r="D388" s="511">
        <v>5630.51</v>
      </c>
      <c r="E388" s="461" t="s">
        <v>4455</v>
      </c>
      <c r="F388" s="461" t="s">
        <v>8326</v>
      </c>
    </row>
    <row r="389" spans="1:6" ht="15" x14ac:dyDescent="0.25">
      <c r="A389" s="461">
        <v>36150</v>
      </c>
      <c r="B389" s="460" t="s">
        <v>8682</v>
      </c>
      <c r="C389" s="461" t="s">
        <v>1104</v>
      </c>
      <c r="D389" s="461">
        <v>46.03</v>
      </c>
      <c r="E389" s="461" t="s">
        <v>161</v>
      </c>
      <c r="F389" s="461" t="s">
        <v>8326</v>
      </c>
    </row>
    <row r="390" spans="1:6" ht="15" x14ac:dyDescent="0.25">
      <c r="A390" s="461">
        <v>4760</v>
      </c>
      <c r="B390" s="460" t="s">
        <v>8683</v>
      </c>
      <c r="C390" s="461" t="s">
        <v>1103</v>
      </c>
      <c r="D390" s="461">
        <v>21.83</v>
      </c>
      <c r="E390" s="461" t="s">
        <v>4455</v>
      </c>
      <c r="F390" s="461" t="s">
        <v>8326</v>
      </c>
    </row>
    <row r="391" spans="1:6" ht="15" x14ac:dyDescent="0.25">
      <c r="A391" s="461">
        <v>41069</v>
      </c>
      <c r="B391" s="460" t="s">
        <v>8684</v>
      </c>
      <c r="C391" s="461" t="s">
        <v>1110</v>
      </c>
      <c r="D391" s="511">
        <v>3886.77</v>
      </c>
      <c r="E391" s="461" t="s">
        <v>4455</v>
      </c>
      <c r="F391" s="461" t="s">
        <v>8326</v>
      </c>
    </row>
    <row r="392" spans="1:6" ht="30" x14ac:dyDescent="0.25">
      <c r="A392" s="461">
        <v>10422</v>
      </c>
      <c r="B392" s="460" t="s">
        <v>8685</v>
      </c>
      <c r="C392" s="461" t="s">
        <v>1104</v>
      </c>
      <c r="D392" s="461">
        <v>372.59</v>
      </c>
      <c r="E392" s="461" t="s">
        <v>161</v>
      </c>
      <c r="F392" s="461" t="s">
        <v>8326</v>
      </c>
    </row>
    <row r="393" spans="1:6" ht="30" x14ac:dyDescent="0.25">
      <c r="A393" s="461">
        <v>44019</v>
      </c>
      <c r="B393" s="460" t="s">
        <v>13091</v>
      </c>
      <c r="C393" s="461" t="s">
        <v>1104</v>
      </c>
      <c r="D393" s="461">
        <v>515.75</v>
      </c>
      <c r="E393" s="461" t="s">
        <v>161</v>
      </c>
      <c r="F393" s="461" t="s">
        <v>8326</v>
      </c>
    </row>
    <row r="394" spans="1:6" ht="30" x14ac:dyDescent="0.25">
      <c r="A394" s="461">
        <v>36520</v>
      </c>
      <c r="B394" s="460" t="s">
        <v>8686</v>
      </c>
      <c r="C394" s="461" t="s">
        <v>1104</v>
      </c>
      <c r="D394" s="461">
        <v>627.1</v>
      </c>
      <c r="E394" s="461" t="s">
        <v>161</v>
      </c>
      <c r="F394" s="461" t="s">
        <v>8326</v>
      </c>
    </row>
    <row r="395" spans="1:6" ht="30" x14ac:dyDescent="0.25">
      <c r="A395" s="461">
        <v>42319</v>
      </c>
      <c r="B395" s="460" t="s">
        <v>8687</v>
      </c>
      <c r="C395" s="461" t="s">
        <v>1104</v>
      </c>
      <c r="D395" s="461">
        <v>561.91</v>
      </c>
      <c r="E395" s="461" t="s">
        <v>161</v>
      </c>
      <c r="F395" s="461" t="s">
        <v>8326</v>
      </c>
    </row>
    <row r="396" spans="1:6" ht="30" x14ac:dyDescent="0.25">
      <c r="A396" s="461">
        <v>10420</v>
      </c>
      <c r="B396" s="460" t="s">
        <v>8688</v>
      </c>
      <c r="C396" s="461" t="s">
        <v>1104</v>
      </c>
      <c r="D396" s="461">
        <v>199.33</v>
      </c>
      <c r="E396" s="461" t="s">
        <v>161</v>
      </c>
      <c r="F396" s="461" t="s">
        <v>8333</v>
      </c>
    </row>
    <row r="397" spans="1:6" ht="30" x14ac:dyDescent="0.25">
      <c r="A397" s="461">
        <v>10421</v>
      </c>
      <c r="B397" s="460" t="s">
        <v>8689</v>
      </c>
      <c r="C397" s="461" t="s">
        <v>1104</v>
      </c>
      <c r="D397" s="461">
        <v>219.04</v>
      </c>
      <c r="E397" s="461" t="s">
        <v>161</v>
      </c>
      <c r="F397" s="461" t="s">
        <v>8326</v>
      </c>
    </row>
    <row r="398" spans="1:6" ht="15" x14ac:dyDescent="0.25">
      <c r="A398" s="461">
        <v>11786</v>
      </c>
      <c r="B398" s="460" t="s">
        <v>8690</v>
      </c>
      <c r="C398" s="461" t="s">
        <v>1104</v>
      </c>
      <c r="D398" s="461">
        <v>441.66</v>
      </c>
      <c r="E398" s="461" t="s">
        <v>161</v>
      </c>
      <c r="F398" s="461" t="s">
        <v>8326</v>
      </c>
    </row>
    <row r="399" spans="1:6" ht="15" x14ac:dyDescent="0.25">
      <c r="A399" s="461">
        <v>4815</v>
      </c>
      <c r="B399" s="460" t="s">
        <v>8691</v>
      </c>
      <c r="C399" s="461" t="s">
        <v>1104</v>
      </c>
      <c r="D399" s="461">
        <v>6.51</v>
      </c>
      <c r="E399" s="461" t="s">
        <v>161</v>
      </c>
      <c r="F399" s="461" t="s">
        <v>8326</v>
      </c>
    </row>
    <row r="400" spans="1:6" ht="15" x14ac:dyDescent="0.25">
      <c r="A400" s="461">
        <v>541</v>
      </c>
      <c r="B400" s="460" t="s">
        <v>8692</v>
      </c>
      <c r="C400" s="461" t="s">
        <v>1104</v>
      </c>
      <c r="D400" s="461">
        <v>227.16</v>
      </c>
      <c r="E400" s="461" t="s">
        <v>161</v>
      </c>
      <c r="F400" s="461" t="s">
        <v>8333</v>
      </c>
    </row>
    <row r="401" spans="1:6" ht="15" x14ac:dyDescent="0.25">
      <c r="A401" s="461">
        <v>542</v>
      </c>
      <c r="B401" s="460" t="s">
        <v>8693</v>
      </c>
      <c r="C401" s="461" t="s">
        <v>1104</v>
      </c>
      <c r="D401" s="461">
        <v>284.74</v>
      </c>
      <c r="E401" s="461" t="s">
        <v>161</v>
      </c>
      <c r="F401" s="461" t="s">
        <v>8326</v>
      </c>
    </row>
    <row r="402" spans="1:6" ht="15" x14ac:dyDescent="0.25">
      <c r="A402" s="461">
        <v>540</v>
      </c>
      <c r="B402" s="460" t="s">
        <v>8694</v>
      </c>
      <c r="C402" s="461" t="s">
        <v>1104</v>
      </c>
      <c r="D402" s="461">
        <v>641.66999999999996</v>
      </c>
      <c r="E402" s="461" t="s">
        <v>161</v>
      </c>
      <c r="F402" s="461" t="s">
        <v>8326</v>
      </c>
    </row>
    <row r="403" spans="1:6" ht="45" x14ac:dyDescent="0.25">
      <c r="A403" s="461">
        <v>38364</v>
      </c>
      <c r="B403" s="460" t="s">
        <v>13092</v>
      </c>
      <c r="C403" s="461" t="s">
        <v>1104</v>
      </c>
      <c r="D403" s="461">
        <v>719.37</v>
      </c>
      <c r="E403" s="461" t="s">
        <v>161</v>
      </c>
      <c r="F403" s="461" t="s">
        <v>8326</v>
      </c>
    </row>
    <row r="404" spans="1:6" ht="30" x14ac:dyDescent="0.25">
      <c r="A404" s="461">
        <v>11692</v>
      </c>
      <c r="B404" s="460" t="s">
        <v>8695</v>
      </c>
      <c r="C404" s="461" t="s">
        <v>1106</v>
      </c>
      <c r="D404" s="461">
        <v>420.99</v>
      </c>
      <c r="E404" s="461" t="s">
        <v>161</v>
      </c>
      <c r="F404" s="461" t="s">
        <v>8326</v>
      </c>
    </row>
    <row r="405" spans="1:6" ht="30" x14ac:dyDescent="0.25">
      <c r="A405" s="461">
        <v>1746</v>
      </c>
      <c r="B405" s="460" t="s">
        <v>8696</v>
      </c>
      <c r="C405" s="461" t="s">
        <v>1104</v>
      </c>
      <c r="D405" s="461">
        <v>239.72</v>
      </c>
      <c r="E405" s="461" t="s">
        <v>161</v>
      </c>
      <c r="F405" s="461" t="s">
        <v>8333</v>
      </c>
    </row>
    <row r="406" spans="1:6" ht="30" x14ac:dyDescent="0.25">
      <c r="A406" s="461">
        <v>1748</v>
      </c>
      <c r="B406" s="460" t="s">
        <v>8697</v>
      </c>
      <c r="C406" s="461" t="s">
        <v>1104</v>
      </c>
      <c r="D406" s="461">
        <v>318.77</v>
      </c>
      <c r="E406" s="461" t="s">
        <v>161</v>
      </c>
      <c r="F406" s="461" t="s">
        <v>8326</v>
      </c>
    </row>
    <row r="407" spans="1:6" ht="30" x14ac:dyDescent="0.25">
      <c r="A407" s="461">
        <v>1749</v>
      </c>
      <c r="B407" s="460" t="s">
        <v>8698</v>
      </c>
      <c r="C407" s="461" t="s">
        <v>1104</v>
      </c>
      <c r="D407" s="461">
        <v>461.84</v>
      </c>
      <c r="E407" s="461" t="s">
        <v>161</v>
      </c>
      <c r="F407" s="461" t="s">
        <v>8326</v>
      </c>
    </row>
    <row r="408" spans="1:6" ht="30" x14ac:dyDescent="0.25">
      <c r="A408" s="461">
        <v>37412</v>
      </c>
      <c r="B408" s="460" t="s">
        <v>8699</v>
      </c>
      <c r="C408" s="461" t="s">
        <v>1104</v>
      </c>
      <c r="D408" s="461">
        <v>234.32</v>
      </c>
      <c r="E408" s="461" t="s">
        <v>161</v>
      </c>
      <c r="F408" s="461" t="s">
        <v>8326</v>
      </c>
    </row>
    <row r="409" spans="1:6" ht="30" x14ac:dyDescent="0.25">
      <c r="A409" s="461">
        <v>1745</v>
      </c>
      <c r="B409" s="460" t="s">
        <v>8700</v>
      </c>
      <c r="C409" s="461" t="s">
        <v>1104</v>
      </c>
      <c r="D409" s="461">
        <v>278.64</v>
      </c>
      <c r="E409" s="461" t="s">
        <v>161</v>
      </c>
      <c r="F409" s="461" t="s">
        <v>8326</v>
      </c>
    </row>
    <row r="410" spans="1:6" ht="30" x14ac:dyDescent="0.25">
      <c r="A410" s="461">
        <v>1750</v>
      </c>
      <c r="B410" s="460" t="s">
        <v>8701</v>
      </c>
      <c r="C410" s="461" t="s">
        <v>1104</v>
      </c>
      <c r="D410" s="461">
        <v>651.15</v>
      </c>
      <c r="E410" s="461" t="s">
        <v>161</v>
      </c>
      <c r="F410" s="461" t="s">
        <v>8326</v>
      </c>
    </row>
    <row r="411" spans="1:6" ht="30" x14ac:dyDescent="0.25">
      <c r="A411" s="461">
        <v>11687</v>
      </c>
      <c r="B411" s="460" t="s">
        <v>8702</v>
      </c>
      <c r="C411" s="461" t="s">
        <v>1107</v>
      </c>
      <c r="D411" s="511">
        <v>1037.48</v>
      </c>
      <c r="E411" s="461" t="s">
        <v>161</v>
      </c>
      <c r="F411" s="461" t="s">
        <v>8326</v>
      </c>
    </row>
    <row r="412" spans="1:6" ht="30" x14ac:dyDescent="0.25">
      <c r="A412" s="461">
        <v>11689</v>
      </c>
      <c r="B412" s="460" t="s">
        <v>8703</v>
      </c>
      <c r="C412" s="461" t="s">
        <v>1107</v>
      </c>
      <c r="D412" s="511">
        <v>1299.9000000000001</v>
      </c>
      <c r="E412" s="461" t="s">
        <v>161</v>
      </c>
      <c r="F412" s="461" t="s">
        <v>8326</v>
      </c>
    </row>
    <row r="413" spans="1:6" ht="15" x14ac:dyDescent="0.25">
      <c r="A413" s="461">
        <v>11693</v>
      </c>
      <c r="B413" s="460" t="s">
        <v>8704</v>
      </c>
      <c r="C413" s="461" t="s">
        <v>1106</v>
      </c>
      <c r="D413" s="461">
        <v>251.87</v>
      </c>
      <c r="E413" s="461" t="s">
        <v>161</v>
      </c>
      <c r="F413" s="461" t="s">
        <v>8326</v>
      </c>
    </row>
    <row r="414" spans="1:6" ht="15" x14ac:dyDescent="0.25">
      <c r="A414" s="461">
        <v>36215</v>
      </c>
      <c r="B414" s="460" t="s">
        <v>8705</v>
      </c>
      <c r="C414" s="461" t="s">
        <v>1104</v>
      </c>
      <c r="D414" s="461">
        <v>857.43</v>
      </c>
      <c r="E414" s="461" t="s">
        <v>161</v>
      </c>
      <c r="F414" s="461" t="s">
        <v>8326</v>
      </c>
    </row>
    <row r="415" spans="1:6" ht="45" x14ac:dyDescent="0.25">
      <c r="A415" s="461">
        <v>42439</v>
      </c>
      <c r="B415" s="460" t="s">
        <v>8706</v>
      </c>
      <c r="C415" s="461" t="s">
        <v>1104</v>
      </c>
      <c r="D415" s="511">
        <v>1207.8399999999999</v>
      </c>
      <c r="E415" s="461" t="s">
        <v>161</v>
      </c>
      <c r="F415" s="461" t="s">
        <v>8328</v>
      </c>
    </row>
    <row r="416" spans="1:6" ht="15" x14ac:dyDescent="0.25">
      <c r="A416" s="461">
        <v>38381</v>
      </c>
      <c r="B416" s="460" t="s">
        <v>8707</v>
      </c>
      <c r="C416" s="461" t="s">
        <v>1104</v>
      </c>
      <c r="D416" s="461">
        <v>10.050000000000001</v>
      </c>
      <c r="E416" s="461" t="s">
        <v>161</v>
      </c>
      <c r="F416" s="461" t="s">
        <v>8326</v>
      </c>
    </row>
    <row r="417" spans="1:6" ht="15" x14ac:dyDescent="0.25">
      <c r="A417" s="461">
        <v>39621</v>
      </c>
      <c r="B417" s="460" t="s">
        <v>8708</v>
      </c>
      <c r="C417" s="461" t="s">
        <v>1111</v>
      </c>
      <c r="D417" s="511">
        <v>1286.3599999999999</v>
      </c>
      <c r="E417" s="461" t="s">
        <v>161</v>
      </c>
      <c r="F417" s="461" t="s">
        <v>8326</v>
      </c>
    </row>
    <row r="418" spans="1:6" ht="15" x14ac:dyDescent="0.25">
      <c r="A418" s="461">
        <v>39624</v>
      </c>
      <c r="B418" s="460" t="s">
        <v>8709</v>
      </c>
      <c r="C418" s="461" t="s">
        <v>1111</v>
      </c>
      <c r="D418" s="511">
        <v>1419</v>
      </c>
      <c r="E418" s="461" t="s">
        <v>161</v>
      </c>
      <c r="F418" s="461" t="s">
        <v>8326</v>
      </c>
    </row>
    <row r="419" spans="1:6" ht="15" x14ac:dyDescent="0.25">
      <c r="A419" s="461">
        <v>39615</v>
      </c>
      <c r="B419" s="460" t="s">
        <v>8710</v>
      </c>
      <c r="C419" s="461" t="s">
        <v>1104</v>
      </c>
      <c r="D419" s="461">
        <v>573.41</v>
      </c>
      <c r="E419" s="461" t="s">
        <v>161</v>
      </c>
      <c r="F419" s="461" t="s">
        <v>8326</v>
      </c>
    </row>
    <row r="420" spans="1:6" ht="15" x14ac:dyDescent="0.25">
      <c r="A420" s="461">
        <v>39620</v>
      </c>
      <c r="B420" s="460" t="s">
        <v>8711</v>
      </c>
      <c r="C420" s="461" t="s">
        <v>1104</v>
      </c>
      <c r="D420" s="461">
        <v>875.75</v>
      </c>
      <c r="E420" s="461" t="s">
        <v>161</v>
      </c>
      <c r="F420" s="461" t="s">
        <v>8326</v>
      </c>
    </row>
    <row r="421" spans="1:6" ht="15" x14ac:dyDescent="0.25">
      <c r="A421" s="461">
        <v>39623</v>
      </c>
      <c r="B421" s="460" t="s">
        <v>8712</v>
      </c>
      <c r="C421" s="461" t="s">
        <v>1104</v>
      </c>
      <c r="D421" s="461">
        <v>938</v>
      </c>
      <c r="E421" s="461" t="s">
        <v>161</v>
      </c>
      <c r="F421" s="461" t="s">
        <v>8326</v>
      </c>
    </row>
    <row r="422" spans="1:6" ht="15" x14ac:dyDescent="0.25">
      <c r="A422" s="461">
        <v>546</v>
      </c>
      <c r="B422" s="460" t="s">
        <v>8713</v>
      </c>
      <c r="C422" s="461" t="s">
        <v>1108</v>
      </c>
      <c r="D422" s="461">
        <v>9.6300000000000008</v>
      </c>
      <c r="E422" s="461" t="s">
        <v>161</v>
      </c>
      <c r="F422" s="461" t="s">
        <v>8333</v>
      </c>
    </row>
    <row r="423" spans="1:6" ht="15" x14ac:dyDescent="0.25">
      <c r="A423" s="461">
        <v>566</v>
      </c>
      <c r="B423" s="460" t="s">
        <v>8714</v>
      </c>
      <c r="C423" s="461" t="s">
        <v>1107</v>
      </c>
      <c r="D423" s="461">
        <v>4.57</v>
      </c>
      <c r="E423" s="461" t="s">
        <v>161</v>
      </c>
      <c r="F423" s="461" t="s">
        <v>8326</v>
      </c>
    </row>
    <row r="424" spans="1:6" ht="15" x14ac:dyDescent="0.25">
      <c r="A424" s="461">
        <v>565</v>
      </c>
      <c r="B424" s="460" t="s">
        <v>8715</v>
      </c>
      <c r="C424" s="461" t="s">
        <v>1107</v>
      </c>
      <c r="D424" s="461">
        <v>16.649999999999999</v>
      </c>
      <c r="E424" s="461" t="s">
        <v>161</v>
      </c>
      <c r="F424" s="461" t="s">
        <v>8326</v>
      </c>
    </row>
    <row r="425" spans="1:6" ht="15" x14ac:dyDescent="0.25">
      <c r="A425" s="461">
        <v>555</v>
      </c>
      <c r="B425" s="460" t="s">
        <v>8716</v>
      </c>
      <c r="C425" s="461" t="s">
        <v>1107</v>
      </c>
      <c r="D425" s="461">
        <v>11.81</v>
      </c>
      <c r="E425" s="461" t="s">
        <v>161</v>
      </c>
      <c r="F425" s="461" t="s">
        <v>8326</v>
      </c>
    </row>
    <row r="426" spans="1:6" ht="15" x14ac:dyDescent="0.25">
      <c r="A426" s="461">
        <v>557</v>
      </c>
      <c r="B426" s="460" t="s">
        <v>8717</v>
      </c>
      <c r="C426" s="461" t="s">
        <v>1107</v>
      </c>
      <c r="D426" s="461">
        <v>37.049999999999997</v>
      </c>
      <c r="E426" s="461" t="s">
        <v>161</v>
      </c>
      <c r="F426" s="461" t="s">
        <v>8326</v>
      </c>
    </row>
    <row r="427" spans="1:6" ht="15" x14ac:dyDescent="0.25">
      <c r="A427" s="461">
        <v>552</v>
      </c>
      <c r="B427" s="460" t="s">
        <v>8718</v>
      </c>
      <c r="C427" s="461" t="s">
        <v>1107</v>
      </c>
      <c r="D427" s="461">
        <v>18.38</v>
      </c>
      <c r="E427" s="461" t="s">
        <v>161</v>
      </c>
      <c r="F427" s="461" t="s">
        <v>8326</v>
      </c>
    </row>
    <row r="428" spans="1:6" ht="15" x14ac:dyDescent="0.25">
      <c r="A428" s="461">
        <v>563</v>
      </c>
      <c r="B428" s="460" t="s">
        <v>8719</v>
      </c>
      <c r="C428" s="461" t="s">
        <v>1107</v>
      </c>
      <c r="D428" s="461">
        <v>27.62</v>
      </c>
      <c r="E428" s="461" t="s">
        <v>161</v>
      </c>
      <c r="F428" s="461" t="s">
        <v>8326</v>
      </c>
    </row>
    <row r="429" spans="1:6" ht="15" x14ac:dyDescent="0.25">
      <c r="A429" s="461">
        <v>549</v>
      </c>
      <c r="B429" s="460" t="s">
        <v>8720</v>
      </c>
      <c r="C429" s="461" t="s">
        <v>1107</v>
      </c>
      <c r="D429" s="461">
        <v>49.72</v>
      </c>
      <c r="E429" s="461" t="s">
        <v>161</v>
      </c>
      <c r="F429" s="461" t="s">
        <v>8326</v>
      </c>
    </row>
    <row r="430" spans="1:6" ht="15" x14ac:dyDescent="0.25">
      <c r="A430" s="461">
        <v>551</v>
      </c>
      <c r="B430" s="460" t="s">
        <v>8721</v>
      </c>
      <c r="C430" s="461" t="s">
        <v>1107</v>
      </c>
      <c r="D430" s="461">
        <v>98.45</v>
      </c>
      <c r="E430" s="461" t="s">
        <v>161</v>
      </c>
      <c r="F430" s="461" t="s">
        <v>8326</v>
      </c>
    </row>
    <row r="431" spans="1:6" ht="15" x14ac:dyDescent="0.25">
      <c r="A431" s="461">
        <v>559</v>
      </c>
      <c r="B431" s="460" t="s">
        <v>8722</v>
      </c>
      <c r="C431" s="461" t="s">
        <v>1107</v>
      </c>
      <c r="D431" s="461">
        <v>24.61</v>
      </c>
      <c r="E431" s="461" t="s">
        <v>161</v>
      </c>
      <c r="F431" s="461" t="s">
        <v>8326</v>
      </c>
    </row>
    <row r="432" spans="1:6" ht="15" x14ac:dyDescent="0.25">
      <c r="A432" s="461">
        <v>560</v>
      </c>
      <c r="B432" s="460" t="s">
        <v>8723</v>
      </c>
      <c r="C432" s="461" t="s">
        <v>1107</v>
      </c>
      <c r="D432" s="461">
        <v>30.79</v>
      </c>
      <c r="E432" s="461" t="s">
        <v>161</v>
      </c>
      <c r="F432" s="461" t="s">
        <v>8326</v>
      </c>
    </row>
    <row r="433" spans="1:6" ht="15" x14ac:dyDescent="0.25">
      <c r="A433" s="461">
        <v>547</v>
      </c>
      <c r="B433" s="460" t="s">
        <v>8724</v>
      </c>
      <c r="C433" s="461" t="s">
        <v>1107</v>
      </c>
      <c r="D433" s="461">
        <v>36.869999999999997</v>
      </c>
      <c r="E433" s="461" t="s">
        <v>161</v>
      </c>
      <c r="F433" s="461" t="s">
        <v>8326</v>
      </c>
    </row>
    <row r="434" spans="1:6" ht="15" x14ac:dyDescent="0.25">
      <c r="A434" s="461">
        <v>36207</v>
      </c>
      <c r="B434" s="460" t="s">
        <v>8725</v>
      </c>
      <c r="C434" s="461" t="s">
        <v>1104</v>
      </c>
      <c r="D434" s="461">
        <v>379.78</v>
      </c>
      <c r="E434" s="461" t="s">
        <v>161</v>
      </c>
      <c r="F434" s="461" t="s">
        <v>8326</v>
      </c>
    </row>
    <row r="435" spans="1:6" ht="15" x14ac:dyDescent="0.25">
      <c r="A435" s="461">
        <v>36209</v>
      </c>
      <c r="B435" s="460" t="s">
        <v>8726</v>
      </c>
      <c r="C435" s="461" t="s">
        <v>1104</v>
      </c>
      <c r="D435" s="461">
        <v>435.86</v>
      </c>
      <c r="E435" s="461" t="s">
        <v>161</v>
      </c>
      <c r="F435" s="461" t="s">
        <v>8326</v>
      </c>
    </row>
    <row r="436" spans="1:6" ht="30" x14ac:dyDescent="0.25">
      <c r="A436" s="461">
        <v>36210</v>
      </c>
      <c r="B436" s="460" t="s">
        <v>8727</v>
      </c>
      <c r="C436" s="461" t="s">
        <v>1104</v>
      </c>
      <c r="D436" s="461">
        <v>471.58</v>
      </c>
      <c r="E436" s="461" t="s">
        <v>161</v>
      </c>
      <c r="F436" s="461" t="s">
        <v>8326</v>
      </c>
    </row>
    <row r="437" spans="1:6" ht="30" x14ac:dyDescent="0.25">
      <c r="A437" s="461">
        <v>36204</v>
      </c>
      <c r="B437" s="460" t="s">
        <v>8728</v>
      </c>
      <c r="C437" s="461" t="s">
        <v>1104</v>
      </c>
      <c r="D437" s="461">
        <v>167.2</v>
      </c>
      <c r="E437" s="461" t="s">
        <v>161</v>
      </c>
      <c r="F437" s="461" t="s">
        <v>8326</v>
      </c>
    </row>
    <row r="438" spans="1:6" ht="30" x14ac:dyDescent="0.25">
      <c r="A438" s="461">
        <v>36205</v>
      </c>
      <c r="B438" s="460" t="s">
        <v>8729</v>
      </c>
      <c r="C438" s="461" t="s">
        <v>1104</v>
      </c>
      <c r="D438" s="461">
        <v>185.7</v>
      </c>
      <c r="E438" s="461" t="s">
        <v>161</v>
      </c>
      <c r="F438" s="461" t="s">
        <v>8326</v>
      </c>
    </row>
    <row r="439" spans="1:6" ht="30" x14ac:dyDescent="0.25">
      <c r="A439" s="461">
        <v>36081</v>
      </c>
      <c r="B439" s="460" t="s">
        <v>8730</v>
      </c>
      <c r="C439" s="461" t="s">
        <v>1104</v>
      </c>
      <c r="D439" s="461">
        <v>198</v>
      </c>
      <c r="E439" s="461" t="s">
        <v>161</v>
      </c>
      <c r="F439" s="461" t="s">
        <v>8333</v>
      </c>
    </row>
    <row r="440" spans="1:6" ht="30" x14ac:dyDescent="0.25">
      <c r="A440" s="461">
        <v>36206</v>
      </c>
      <c r="B440" s="460" t="s">
        <v>8731</v>
      </c>
      <c r="C440" s="461" t="s">
        <v>1104</v>
      </c>
      <c r="D440" s="461">
        <v>207.44</v>
      </c>
      <c r="E440" s="461" t="s">
        <v>161</v>
      </c>
      <c r="F440" s="461" t="s">
        <v>8326</v>
      </c>
    </row>
    <row r="441" spans="1:6" ht="30" x14ac:dyDescent="0.25">
      <c r="A441" s="461">
        <v>36218</v>
      </c>
      <c r="B441" s="460" t="s">
        <v>8732</v>
      </c>
      <c r="C441" s="461" t="s">
        <v>1104</v>
      </c>
      <c r="D441" s="461">
        <v>155.6</v>
      </c>
      <c r="E441" s="461" t="s">
        <v>161</v>
      </c>
      <c r="F441" s="461" t="s">
        <v>8328</v>
      </c>
    </row>
    <row r="442" spans="1:6" ht="30" x14ac:dyDescent="0.25">
      <c r="A442" s="461">
        <v>36220</v>
      </c>
      <c r="B442" s="460" t="s">
        <v>8733</v>
      </c>
      <c r="C442" s="461" t="s">
        <v>1104</v>
      </c>
      <c r="D442" s="461">
        <v>178.42</v>
      </c>
      <c r="E442" s="461" t="s">
        <v>161</v>
      </c>
      <c r="F442" s="461" t="s">
        <v>8328</v>
      </c>
    </row>
    <row r="443" spans="1:6" ht="30" x14ac:dyDescent="0.25">
      <c r="A443" s="461">
        <v>36080</v>
      </c>
      <c r="B443" s="460" t="s">
        <v>8734</v>
      </c>
      <c r="C443" s="461" t="s">
        <v>1104</v>
      </c>
      <c r="D443" s="461">
        <v>192.99</v>
      </c>
      <c r="E443" s="461" t="s">
        <v>161</v>
      </c>
      <c r="F443" s="461" t="s">
        <v>8328</v>
      </c>
    </row>
    <row r="444" spans="1:6" ht="30" x14ac:dyDescent="0.25">
      <c r="A444" s="461">
        <v>36223</v>
      </c>
      <c r="B444" s="460" t="s">
        <v>8735</v>
      </c>
      <c r="C444" s="461" t="s">
        <v>1104</v>
      </c>
      <c r="D444" s="461">
        <v>202.09</v>
      </c>
      <c r="E444" s="461" t="s">
        <v>161</v>
      </c>
      <c r="F444" s="461" t="s">
        <v>8328</v>
      </c>
    </row>
    <row r="445" spans="1:6" ht="30" x14ac:dyDescent="0.25">
      <c r="A445" s="461">
        <v>38127</v>
      </c>
      <c r="B445" s="460" t="s">
        <v>8736</v>
      </c>
      <c r="C445" s="461" t="s">
        <v>1104</v>
      </c>
      <c r="D445" s="461">
        <v>420.31</v>
      </c>
      <c r="E445" s="461" t="s">
        <v>161</v>
      </c>
      <c r="F445" s="461" t="s">
        <v>8326</v>
      </c>
    </row>
    <row r="446" spans="1:6" ht="15" x14ac:dyDescent="0.25">
      <c r="A446" s="461">
        <v>38060</v>
      </c>
      <c r="B446" s="460" t="s">
        <v>8737</v>
      </c>
      <c r="C446" s="461" t="s">
        <v>1104</v>
      </c>
      <c r="D446" s="461">
        <v>42.77</v>
      </c>
      <c r="E446" s="461" t="s">
        <v>161</v>
      </c>
      <c r="F446" s="461" t="s">
        <v>8326</v>
      </c>
    </row>
    <row r="447" spans="1:6" ht="15" x14ac:dyDescent="0.25">
      <c r="A447" s="461">
        <v>10956</v>
      </c>
      <c r="B447" s="460" t="s">
        <v>8738</v>
      </c>
      <c r="C447" s="461" t="s">
        <v>1104</v>
      </c>
      <c r="D447" s="461">
        <v>46.91</v>
      </c>
      <c r="E447" s="461" t="s">
        <v>161</v>
      </c>
      <c r="F447" s="461" t="s">
        <v>8326</v>
      </c>
    </row>
    <row r="448" spans="1:6" ht="15" x14ac:dyDescent="0.25">
      <c r="A448" s="461">
        <v>39380</v>
      </c>
      <c r="B448" s="460" t="s">
        <v>8739</v>
      </c>
      <c r="C448" s="461" t="s">
        <v>1104</v>
      </c>
      <c r="D448" s="461">
        <v>12.21</v>
      </c>
      <c r="E448" s="461" t="s">
        <v>161</v>
      </c>
      <c r="F448" s="461" t="s">
        <v>8326</v>
      </c>
    </row>
    <row r="449" spans="1:6" ht="15" x14ac:dyDescent="0.25">
      <c r="A449" s="461">
        <v>44172</v>
      </c>
      <c r="B449" s="460" t="s">
        <v>8740</v>
      </c>
      <c r="C449" s="461" t="s">
        <v>1104</v>
      </c>
      <c r="D449" s="461">
        <v>6.18</v>
      </c>
      <c r="E449" s="461" t="s">
        <v>161</v>
      </c>
      <c r="F449" s="461" t="s">
        <v>8328</v>
      </c>
    </row>
    <row r="450" spans="1:6" ht="30" x14ac:dyDescent="0.25">
      <c r="A450" s="461">
        <v>37597</v>
      </c>
      <c r="B450" s="460" t="s">
        <v>8741</v>
      </c>
      <c r="C450" s="461" t="s">
        <v>1104</v>
      </c>
      <c r="D450" s="511">
        <v>632675.78</v>
      </c>
      <c r="E450" s="461" t="s">
        <v>1497</v>
      </c>
      <c r="F450" s="461" t="s">
        <v>8328</v>
      </c>
    </row>
    <row r="451" spans="1:6" ht="60" x14ac:dyDescent="0.25">
      <c r="A451" s="461">
        <v>183</v>
      </c>
      <c r="B451" s="460" t="s">
        <v>13093</v>
      </c>
      <c r="C451" s="461" t="s">
        <v>1112</v>
      </c>
      <c r="D451" s="461">
        <v>260</v>
      </c>
      <c r="E451" s="461" t="s">
        <v>161</v>
      </c>
      <c r="F451" s="461" t="s">
        <v>8333</v>
      </c>
    </row>
    <row r="452" spans="1:6" ht="45" x14ac:dyDescent="0.25">
      <c r="A452" s="461">
        <v>184</v>
      </c>
      <c r="B452" s="460" t="s">
        <v>13094</v>
      </c>
      <c r="C452" s="461" t="s">
        <v>1112</v>
      </c>
      <c r="D452" s="461">
        <v>161.03</v>
      </c>
      <c r="E452" s="461" t="s">
        <v>161</v>
      </c>
      <c r="F452" s="461" t="s">
        <v>8326</v>
      </c>
    </row>
    <row r="453" spans="1:6" ht="60" x14ac:dyDescent="0.25">
      <c r="A453" s="461">
        <v>181</v>
      </c>
      <c r="B453" s="460" t="s">
        <v>13095</v>
      </c>
      <c r="C453" s="461" t="s">
        <v>1112</v>
      </c>
      <c r="D453" s="461">
        <v>347.22</v>
      </c>
      <c r="E453" s="461" t="s">
        <v>161</v>
      </c>
      <c r="F453" s="461" t="s">
        <v>8326</v>
      </c>
    </row>
    <row r="454" spans="1:6" ht="45" x14ac:dyDescent="0.25">
      <c r="A454" s="461">
        <v>20001</v>
      </c>
      <c r="B454" s="460" t="s">
        <v>13096</v>
      </c>
      <c r="C454" s="461" t="s">
        <v>1112</v>
      </c>
      <c r="D454" s="461">
        <v>201.29</v>
      </c>
      <c r="E454" s="461" t="s">
        <v>161</v>
      </c>
      <c r="F454" s="461" t="s">
        <v>8326</v>
      </c>
    </row>
    <row r="455" spans="1:6" ht="45" x14ac:dyDescent="0.25">
      <c r="A455" s="461">
        <v>39837</v>
      </c>
      <c r="B455" s="460" t="s">
        <v>8742</v>
      </c>
      <c r="C455" s="461" t="s">
        <v>1112</v>
      </c>
      <c r="D455" s="461">
        <v>366.88</v>
      </c>
      <c r="E455" s="461" t="s">
        <v>161</v>
      </c>
      <c r="F455" s="461" t="s">
        <v>8328</v>
      </c>
    </row>
    <row r="456" spans="1:6" ht="15" x14ac:dyDescent="0.25">
      <c r="A456" s="461">
        <v>43366</v>
      </c>
      <c r="B456" s="460" t="s">
        <v>8743</v>
      </c>
      <c r="C456" s="461" t="s">
        <v>1108</v>
      </c>
      <c r="D456" s="461">
        <v>1.58</v>
      </c>
      <c r="E456" s="461" t="s">
        <v>161</v>
      </c>
      <c r="F456" s="461" t="s">
        <v>8328</v>
      </c>
    </row>
    <row r="457" spans="1:6" ht="30" x14ac:dyDescent="0.25">
      <c r="A457" s="461">
        <v>10535</v>
      </c>
      <c r="B457" s="460" t="s">
        <v>13097</v>
      </c>
      <c r="C457" s="461" t="s">
        <v>1104</v>
      </c>
      <c r="D457" s="511">
        <v>5410.49</v>
      </c>
      <c r="E457" s="461" t="s">
        <v>1497</v>
      </c>
      <c r="F457" s="461" t="s">
        <v>8333</v>
      </c>
    </row>
    <row r="458" spans="1:6" ht="30" x14ac:dyDescent="0.25">
      <c r="A458" s="461">
        <v>10537</v>
      </c>
      <c r="B458" s="460" t="s">
        <v>8744</v>
      </c>
      <c r="C458" s="461" t="s">
        <v>1104</v>
      </c>
      <c r="D458" s="511">
        <v>7378.44</v>
      </c>
      <c r="E458" s="461" t="s">
        <v>1497</v>
      </c>
      <c r="F458" s="461" t="s">
        <v>8326</v>
      </c>
    </row>
    <row r="459" spans="1:6" ht="30" x14ac:dyDescent="0.25">
      <c r="A459" s="461">
        <v>13891</v>
      </c>
      <c r="B459" s="460" t="s">
        <v>8745</v>
      </c>
      <c r="C459" s="461" t="s">
        <v>1104</v>
      </c>
      <c r="D459" s="511">
        <v>6767.69</v>
      </c>
      <c r="E459" s="461" t="s">
        <v>1497</v>
      </c>
      <c r="F459" s="461" t="s">
        <v>8326</v>
      </c>
    </row>
    <row r="460" spans="1:6" ht="30" x14ac:dyDescent="0.25">
      <c r="A460" s="461">
        <v>44492</v>
      </c>
      <c r="B460" s="460" t="s">
        <v>8746</v>
      </c>
      <c r="C460" s="461" t="s">
        <v>1104</v>
      </c>
      <c r="D460" s="511">
        <v>29436.73</v>
      </c>
      <c r="E460" s="461" t="s">
        <v>1497</v>
      </c>
      <c r="F460" s="461" t="s">
        <v>8326</v>
      </c>
    </row>
    <row r="461" spans="1:6" ht="30" x14ac:dyDescent="0.25">
      <c r="A461" s="461">
        <v>36396</v>
      </c>
      <c r="B461" s="460" t="s">
        <v>8747</v>
      </c>
      <c r="C461" s="461" t="s">
        <v>1104</v>
      </c>
      <c r="D461" s="511">
        <v>6189.96</v>
      </c>
      <c r="E461" s="461" t="s">
        <v>1497</v>
      </c>
      <c r="F461" s="461" t="s">
        <v>8326</v>
      </c>
    </row>
    <row r="462" spans="1:6" ht="30" x14ac:dyDescent="0.25">
      <c r="A462" s="461">
        <v>36397</v>
      </c>
      <c r="B462" s="460" t="s">
        <v>13098</v>
      </c>
      <c r="C462" s="461" t="s">
        <v>1104</v>
      </c>
      <c r="D462" s="511">
        <v>22008.77</v>
      </c>
      <c r="E462" s="461" t="s">
        <v>1497</v>
      </c>
      <c r="F462" s="461" t="s">
        <v>8326</v>
      </c>
    </row>
    <row r="463" spans="1:6" ht="30" x14ac:dyDescent="0.25">
      <c r="A463" s="461">
        <v>36398</v>
      </c>
      <c r="B463" s="460" t="s">
        <v>8748</v>
      </c>
      <c r="C463" s="461" t="s">
        <v>1104</v>
      </c>
      <c r="D463" s="511">
        <v>26749.82</v>
      </c>
      <c r="E463" s="461" t="s">
        <v>1497</v>
      </c>
      <c r="F463" s="461" t="s">
        <v>8326</v>
      </c>
    </row>
    <row r="464" spans="1:6" ht="15" x14ac:dyDescent="0.25">
      <c r="A464" s="461">
        <v>647</v>
      </c>
      <c r="B464" s="460" t="s">
        <v>8749</v>
      </c>
      <c r="C464" s="461" t="s">
        <v>1103</v>
      </c>
      <c r="D464" s="461">
        <v>15.5</v>
      </c>
      <c r="E464" s="461" t="s">
        <v>4455</v>
      </c>
      <c r="F464" s="461" t="s">
        <v>8326</v>
      </c>
    </row>
    <row r="465" spans="1:6" ht="15" x14ac:dyDescent="0.25">
      <c r="A465" s="461">
        <v>40920</v>
      </c>
      <c r="B465" s="460" t="s">
        <v>8750</v>
      </c>
      <c r="C465" s="461" t="s">
        <v>1110</v>
      </c>
      <c r="D465" s="511">
        <v>2763.18</v>
      </c>
      <c r="E465" s="461" t="s">
        <v>4455</v>
      </c>
      <c r="F465" s="461" t="s">
        <v>8326</v>
      </c>
    </row>
    <row r="466" spans="1:6" ht="30" x14ac:dyDescent="0.25">
      <c r="A466" s="461">
        <v>715</v>
      </c>
      <c r="B466" s="460" t="s">
        <v>8751</v>
      </c>
      <c r="C466" s="461" t="s">
        <v>1104</v>
      </c>
      <c r="D466" s="461">
        <v>26.4</v>
      </c>
      <c r="E466" s="461" t="s">
        <v>161</v>
      </c>
      <c r="F466" s="461" t="s">
        <v>8333</v>
      </c>
    </row>
    <row r="467" spans="1:6" ht="15" x14ac:dyDescent="0.25">
      <c r="A467" s="461">
        <v>716</v>
      </c>
      <c r="B467" s="460" t="s">
        <v>8752</v>
      </c>
      <c r="C467" s="461" t="s">
        <v>1104</v>
      </c>
      <c r="D467" s="461">
        <v>29.85</v>
      </c>
      <c r="E467" s="461" t="s">
        <v>161</v>
      </c>
      <c r="F467" s="461" t="s">
        <v>8326</v>
      </c>
    </row>
    <row r="468" spans="1:6" ht="30" x14ac:dyDescent="0.25">
      <c r="A468" s="461">
        <v>38783</v>
      </c>
      <c r="B468" s="460" t="s">
        <v>8753</v>
      </c>
      <c r="C468" s="461" t="s">
        <v>1104</v>
      </c>
      <c r="D468" s="461">
        <v>1.04</v>
      </c>
      <c r="E468" s="461" t="s">
        <v>161</v>
      </c>
      <c r="F468" s="461" t="s">
        <v>8326</v>
      </c>
    </row>
    <row r="469" spans="1:6" ht="30" x14ac:dyDescent="0.25">
      <c r="A469" s="461">
        <v>37593</v>
      </c>
      <c r="B469" s="460" t="s">
        <v>8754</v>
      </c>
      <c r="C469" s="461" t="s">
        <v>1104</v>
      </c>
      <c r="D469" s="461">
        <v>2.56</v>
      </c>
      <c r="E469" s="461" t="s">
        <v>161</v>
      </c>
      <c r="F469" s="461" t="s">
        <v>8326</v>
      </c>
    </row>
    <row r="470" spans="1:6" ht="30" x14ac:dyDescent="0.25">
      <c r="A470" s="461">
        <v>37594</v>
      </c>
      <c r="B470" s="460" t="s">
        <v>8755</v>
      </c>
      <c r="C470" s="461" t="s">
        <v>1104</v>
      </c>
      <c r="D470" s="461">
        <v>3.19</v>
      </c>
      <c r="E470" s="461" t="s">
        <v>161</v>
      </c>
      <c r="F470" s="461" t="s">
        <v>8326</v>
      </c>
    </row>
    <row r="471" spans="1:6" ht="30" x14ac:dyDescent="0.25">
      <c r="A471" s="461">
        <v>37592</v>
      </c>
      <c r="B471" s="460" t="s">
        <v>8756</v>
      </c>
      <c r="C471" s="461" t="s">
        <v>1104</v>
      </c>
      <c r="D471" s="461">
        <v>2.02</v>
      </c>
      <c r="E471" s="461" t="s">
        <v>161</v>
      </c>
      <c r="F471" s="461" t="s">
        <v>8326</v>
      </c>
    </row>
    <row r="472" spans="1:6" ht="30" x14ac:dyDescent="0.25">
      <c r="A472" s="461">
        <v>7270</v>
      </c>
      <c r="B472" s="460" t="s">
        <v>8757</v>
      </c>
      <c r="C472" s="461" t="s">
        <v>1104</v>
      </c>
      <c r="D472" s="461">
        <v>0.9</v>
      </c>
      <c r="E472" s="461" t="s">
        <v>161</v>
      </c>
      <c r="F472" s="461" t="s">
        <v>8326</v>
      </c>
    </row>
    <row r="473" spans="1:6" ht="30" x14ac:dyDescent="0.25">
      <c r="A473" s="461">
        <v>7267</v>
      </c>
      <c r="B473" s="460" t="s">
        <v>8758</v>
      </c>
      <c r="C473" s="461" t="s">
        <v>1104</v>
      </c>
      <c r="D473" s="461">
        <v>0.7</v>
      </c>
      <c r="E473" s="461" t="s">
        <v>161</v>
      </c>
      <c r="F473" s="461" t="s">
        <v>8326</v>
      </c>
    </row>
    <row r="474" spans="1:6" ht="30" x14ac:dyDescent="0.25">
      <c r="A474" s="461">
        <v>7271</v>
      </c>
      <c r="B474" s="460" t="s">
        <v>8759</v>
      </c>
      <c r="C474" s="461" t="s">
        <v>1104</v>
      </c>
      <c r="D474" s="461">
        <v>0.78</v>
      </c>
      <c r="E474" s="461" t="s">
        <v>161</v>
      </c>
      <c r="F474" s="461" t="s">
        <v>8333</v>
      </c>
    </row>
    <row r="475" spans="1:6" ht="30" x14ac:dyDescent="0.25">
      <c r="A475" s="461">
        <v>7268</v>
      </c>
      <c r="B475" s="460" t="s">
        <v>8760</v>
      </c>
      <c r="C475" s="461" t="s">
        <v>1104</v>
      </c>
      <c r="D475" s="461">
        <v>1.08</v>
      </c>
      <c r="E475" s="461" t="s">
        <v>161</v>
      </c>
      <c r="F475" s="461" t="s">
        <v>8326</v>
      </c>
    </row>
    <row r="476" spans="1:6" ht="15" x14ac:dyDescent="0.25">
      <c r="A476" s="461">
        <v>41372</v>
      </c>
      <c r="B476" s="460" t="s">
        <v>8761</v>
      </c>
      <c r="C476" s="461" t="s">
        <v>1106</v>
      </c>
      <c r="D476" s="461">
        <v>117.11</v>
      </c>
      <c r="E476" s="461" t="s">
        <v>161</v>
      </c>
      <c r="F476" s="461" t="s">
        <v>8328</v>
      </c>
    </row>
    <row r="477" spans="1:6" ht="15" x14ac:dyDescent="0.25">
      <c r="A477" s="461">
        <v>41371</v>
      </c>
      <c r="B477" s="460" t="s">
        <v>8762</v>
      </c>
      <c r="C477" s="461" t="s">
        <v>1106</v>
      </c>
      <c r="D477" s="461">
        <v>69.22</v>
      </c>
      <c r="E477" s="461" t="s">
        <v>161</v>
      </c>
      <c r="F477" s="461" t="s">
        <v>8328</v>
      </c>
    </row>
    <row r="478" spans="1:6" ht="15" x14ac:dyDescent="0.25">
      <c r="A478" s="461">
        <v>34556</v>
      </c>
      <c r="B478" s="460" t="s">
        <v>8763</v>
      </c>
      <c r="C478" s="461" t="s">
        <v>1104</v>
      </c>
      <c r="D478" s="461">
        <v>5</v>
      </c>
      <c r="E478" s="461" t="s">
        <v>161</v>
      </c>
      <c r="F478" s="461" t="s">
        <v>8326</v>
      </c>
    </row>
    <row r="479" spans="1:6" ht="15" x14ac:dyDescent="0.25">
      <c r="A479" s="461">
        <v>37873</v>
      </c>
      <c r="B479" s="460" t="s">
        <v>8764</v>
      </c>
      <c r="C479" s="461" t="s">
        <v>1104</v>
      </c>
      <c r="D479" s="461">
        <v>5.09</v>
      </c>
      <c r="E479" s="461" t="s">
        <v>161</v>
      </c>
      <c r="F479" s="461" t="s">
        <v>8326</v>
      </c>
    </row>
    <row r="480" spans="1:6" ht="15" x14ac:dyDescent="0.25">
      <c r="A480" s="461">
        <v>34564</v>
      </c>
      <c r="B480" s="460" t="s">
        <v>8765</v>
      </c>
      <c r="C480" s="461" t="s">
        <v>1104</v>
      </c>
      <c r="D480" s="461">
        <v>5.33</v>
      </c>
      <c r="E480" s="461" t="s">
        <v>161</v>
      </c>
      <c r="F480" s="461" t="s">
        <v>8326</v>
      </c>
    </row>
    <row r="481" spans="1:15" ht="15" x14ac:dyDescent="0.25">
      <c r="A481" s="461">
        <v>34565</v>
      </c>
      <c r="B481" s="460" t="s">
        <v>8766</v>
      </c>
      <c r="C481" s="461" t="s">
        <v>1104</v>
      </c>
      <c r="D481" s="461">
        <v>5.64</v>
      </c>
      <c r="E481" s="461" t="s">
        <v>161</v>
      </c>
      <c r="F481" s="461" t="s">
        <v>8326</v>
      </c>
    </row>
    <row r="482" spans="1:15" ht="15" x14ac:dyDescent="0.25">
      <c r="A482" s="461">
        <v>38590</v>
      </c>
      <c r="B482" s="460" t="s">
        <v>8767</v>
      </c>
      <c r="C482" s="461" t="s">
        <v>1104</v>
      </c>
      <c r="D482" s="461">
        <v>4.17</v>
      </c>
      <c r="E482" s="461" t="s">
        <v>161</v>
      </c>
      <c r="F482" s="461" t="s">
        <v>8326</v>
      </c>
      <c r="O482" s="140"/>
    </row>
    <row r="483" spans="1:15" ht="15" x14ac:dyDescent="0.25">
      <c r="A483" s="461">
        <v>34566</v>
      </c>
      <c r="B483" s="460" t="s">
        <v>8768</v>
      </c>
      <c r="C483" s="461" t="s">
        <v>1104</v>
      </c>
      <c r="D483" s="461">
        <v>4.38</v>
      </c>
      <c r="E483" s="461" t="s">
        <v>161</v>
      </c>
      <c r="F483" s="461" t="s">
        <v>8326</v>
      </c>
    </row>
    <row r="484" spans="1:15" ht="15" x14ac:dyDescent="0.25">
      <c r="A484" s="461">
        <v>34567</v>
      </c>
      <c r="B484" s="460" t="s">
        <v>8769</v>
      </c>
      <c r="C484" s="461" t="s">
        <v>1104</v>
      </c>
      <c r="D484" s="461">
        <v>4.6399999999999997</v>
      </c>
      <c r="E484" s="461" t="s">
        <v>161</v>
      </c>
      <c r="F484" s="461" t="s">
        <v>8326</v>
      </c>
    </row>
    <row r="485" spans="1:15" ht="15" x14ac:dyDescent="0.25">
      <c r="A485" s="461">
        <v>38591</v>
      </c>
      <c r="B485" s="460" t="s">
        <v>8770</v>
      </c>
      <c r="C485" s="461" t="s">
        <v>1104</v>
      </c>
      <c r="D485" s="461">
        <v>4.21</v>
      </c>
      <c r="E485" s="461" t="s">
        <v>161</v>
      </c>
      <c r="F485" s="461" t="s">
        <v>8326</v>
      </c>
    </row>
    <row r="486" spans="1:15" ht="15" x14ac:dyDescent="0.25">
      <c r="A486" s="461">
        <v>34568</v>
      </c>
      <c r="B486" s="460" t="s">
        <v>8771</v>
      </c>
      <c r="C486" s="461" t="s">
        <v>1104</v>
      </c>
      <c r="D486" s="461">
        <v>5.49</v>
      </c>
      <c r="E486" s="461" t="s">
        <v>161</v>
      </c>
      <c r="F486" s="461" t="s">
        <v>8326</v>
      </c>
    </row>
    <row r="487" spans="1:15" ht="15" x14ac:dyDescent="0.25">
      <c r="A487" s="461">
        <v>34569</v>
      </c>
      <c r="B487" s="460" t="s">
        <v>8772</v>
      </c>
      <c r="C487" s="461" t="s">
        <v>1104</v>
      </c>
      <c r="D487" s="461">
        <v>5.64</v>
      </c>
      <c r="E487" s="461" t="s">
        <v>161</v>
      </c>
      <c r="F487" s="461" t="s">
        <v>8326</v>
      </c>
    </row>
    <row r="488" spans="1:15" ht="15" x14ac:dyDescent="0.25">
      <c r="A488" s="461">
        <v>34570</v>
      </c>
      <c r="B488" s="460" t="s">
        <v>8773</v>
      </c>
      <c r="C488" s="461" t="s">
        <v>1104</v>
      </c>
      <c r="D488" s="461">
        <v>6.13</v>
      </c>
      <c r="E488" s="461" t="s">
        <v>161</v>
      </c>
      <c r="F488" s="461" t="s">
        <v>8326</v>
      </c>
    </row>
    <row r="489" spans="1:15" ht="15" x14ac:dyDescent="0.25">
      <c r="A489" s="461">
        <v>25070</v>
      </c>
      <c r="B489" s="460" t="s">
        <v>8774</v>
      </c>
      <c r="C489" s="461" t="s">
        <v>1104</v>
      </c>
      <c r="D489" s="461">
        <v>4.6100000000000003</v>
      </c>
      <c r="E489" s="461" t="s">
        <v>161</v>
      </c>
      <c r="F489" s="461" t="s">
        <v>8326</v>
      </c>
    </row>
    <row r="490" spans="1:15" ht="15" x14ac:dyDescent="0.25">
      <c r="A490" s="461">
        <v>34571</v>
      </c>
      <c r="B490" s="460" t="s">
        <v>8775</v>
      </c>
      <c r="C490" s="461" t="s">
        <v>1104</v>
      </c>
      <c r="D490" s="461">
        <v>4.6500000000000004</v>
      </c>
      <c r="E490" s="461" t="s">
        <v>161</v>
      </c>
      <c r="F490" s="461" t="s">
        <v>8326</v>
      </c>
    </row>
    <row r="491" spans="1:15" ht="15" x14ac:dyDescent="0.25">
      <c r="A491" s="461">
        <v>34573</v>
      </c>
      <c r="B491" s="460" t="s">
        <v>8776</v>
      </c>
      <c r="C491" s="461" t="s">
        <v>1104</v>
      </c>
      <c r="D491" s="461">
        <v>4.8899999999999997</v>
      </c>
      <c r="E491" s="461" t="s">
        <v>161</v>
      </c>
      <c r="F491" s="461" t="s">
        <v>8326</v>
      </c>
    </row>
    <row r="492" spans="1:15" ht="15" x14ac:dyDescent="0.25">
      <c r="A492" s="461">
        <v>37107</v>
      </c>
      <c r="B492" s="460" t="s">
        <v>8777</v>
      </c>
      <c r="C492" s="461" t="s">
        <v>1104</v>
      </c>
      <c r="D492" s="461">
        <v>6.47</v>
      </c>
      <c r="E492" s="461" t="s">
        <v>161</v>
      </c>
      <c r="F492" s="461" t="s">
        <v>8326</v>
      </c>
    </row>
    <row r="493" spans="1:15" ht="15" x14ac:dyDescent="0.25">
      <c r="A493" s="461">
        <v>34576</v>
      </c>
      <c r="B493" s="460" t="s">
        <v>8778</v>
      </c>
      <c r="C493" s="461" t="s">
        <v>1104</v>
      </c>
      <c r="D493" s="461">
        <v>7.14</v>
      </c>
      <c r="E493" s="461" t="s">
        <v>161</v>
      </c>
      <c r="F493" s="461" t="s">
        <v>8326</v>
      </c>
    </row>
    <row r="494" spans="1:15" ht="15" x14ac:dyDescent="0.25">
      <c r="A494" s="461">
        <v>34577</v>
      </c>
      <c r="B494" s="460" t="s">
        <v>8779</v>
      </c>
      <c r="C494" s="461" t="s">
        <v>1104</v>
      </c>
      <c r="D494" s="461">
        <v>7.44</v>
      </c>
      <c r="E494" s="461" t="s">
        <v>161</v>
      </c>
      <c r="F494" s="461" t="s">
        <v>8326</v>
      </c>
    </row>
    <row r="495" spans="1:15" ht="15" x14ac:dyDescent="0.25">
      <c r="A495" s="461">
        <v>34578</v>
      </c>
      <c r="B495" s="460" t="s">
        <v>8780</v>
      </c>
      <c r="C495" s="461" t="s">
        <v>1104</v>
      </c>
      <c r="D495" s="461">
        <v>8.07</v>
      </c>
      <c r="E495" s="461" t="s">
        <v>161</v>
      </c>
      <c r="F495" s="461" t="s">
        <v>8326</v>
      </c>
    </row>
    <row r="496" spans="1:15" ht="15" x14ac:dyDescent="0.25">
      <c r="A496" s="461">
        <v>34579</v>
      </c>
      <c r="B496" s="460" t="s">
        <v>8781</v>
      </c>
      <c r="C496" s="461" t="s">
        <v>1104</v>
      </c>
      <c r="D496" s="461">
        <v>8.61</v>
      </c>
      <c r="E496" s="461" t="s">
        <v>161</v>
      </c>
      <c r="F496" s="461" t="s">
        <v>8326</v>
      </c>
    </row>
    <row r="497" spans="1:6" ht="15" x14ac:dyDescent="0.25">
      <c r="A497" s="461">
        <v>25067</v>
      </c>
      <c r="B497" s="460" t="s">
        <v>8782</v>
      </c>
      <c r="C497" s="461" t="s">
        <v>1104</v>
      </c>
      <c r="D497" s="461">
        <v>5.76</v>
      </c>
      <c r="E497" s="461" t="s">
        <v>161</v>
      </c>
      <c r="F497" s="461" t="s">
        <v>8326</v>
      </c>
    </row>
    <row r="498" spans="1:6" ht="15" x14ac:dyDescent="0.25">
      <c r="A498" s="461">
        <v>34580</v>
      </c>
      <c r="B498" s="460" t="s">
        <v>8783</v>
      </c>
      <c r="C498" s="461" t="s">
        <v>1104</v>
      </c>
      <c r="D498" s="461">
        <v>6.43</v>
      </c>
      <c r="E498" s="461" t="s">
        <v>161</v>
      </c>
      <c r="F498" s="461" t="s">
        <v>8326</v>
      </c>
    </row>
    <row r="499" spans="1:6" ht="15" x14ac:dyDescent="0.25">
      <c r="A499" s="461">
        <v>25071</v>
      </c>
      <c r="B499" s="460" t="s">
        <v>8784</v>
      </c>
      <c r="C499" s="461" t="s">
        <v>1104</v>
      </c>
      <c r="D499" s="461">
        <v>3.2</v>
      </c>
      <c r="E499" s="461" t="s">
        <v>161</v>
      </c>
      <c r="F499" s="461" t="s">
        <v>8326</v>
      </c>
    </row>
    <row r="500" spans="1:6" ht="15" x14ac:dyDescent="0.25">
      <c r="A500" s="461">
        <v>44171</v>
      </c>
      <c r="B500" s="460" t="s">
        <v>8785</v>
      </c>
      <c r="C500" s="461" t="s">
        <v>1104</v>
      </c>
      <c r="D500" s="461">
        <v>17.649999999999999</v>
      </c>
      <c r="E500" s="461" t="s">
        <v>161</v>
      </c>
      <c r="F500" s="461" t="s">
        <v>8328</v>
      </c>
    </row>
    <row r="501" spans="1:6" ht="15" x14ac:dyDescent="0.25">
      <c r="A501" s="461">
        <v>38395</v>
      </c>
      <c r="B501" s="460" t="s">
        <v>8786</v>
      </c>
      <c r="C501" s="461" t="s">
        <v>1104</v>
      </c>
      <c r="D501" s="461">
        <v>8.39</v>
      </c>
      <c r="E501" s="461" t="s">
        <v>161</v>
      </c>
      <c r="F501" s="461" t="s">
        <v>8326</v>
      </c>
    </row>
    <row r="502" spans="1:6" ht="30" x14ac:dyDescent="0.25">
      <c r="A502" s="461">
        <v>34583</v>
      </c>
      <c r="B502" s="460" t="s">
        <v>8787</v>
      </c>
      <c r="C502" s="461" t="s">
        <v>1106</v>
      </c>
      <c r="D502" s="461">
        <v>51.07</v>
      </c>
      <c r="E502" s="461" t="s">
        <v>161</v>
      </c>
      <c r="F502" s="461" t="s">
        <v>8326</v>
      </c>
    </row>
    <row r="503" spans="1:6" ht="15" x14ac:dyDescent="0.25">
      <c r="A503" s="461">
        <v>34584</v>
      </c>
      <c r="B503" s="460" t="s">
        <v>8788</v>
      </c>
      <c r="C503" s="461" t="s">
        <v>1106</v>
      </c>
      <c r="D503" s="461">
        <v>37.450000000000003</v>
      </c>
      <c r="E503" s="461" t="s">
        <v>161</v>
      </c>
      <c r="F503" s="461" t="s">
        <v>8326</v>
      </c>
    </row>
    <row r="504" spans="1:6" ht="30" x14ac:dyDescent="0.25">
      <c r="A504" s="461">
        <v>709</v>
      </c>
      <c r="B504" s="460" t="s">
        <v>13099</v>
      </c>
      <c r="C504" s="461" t="s">
        <v>1106</v>
      </c>
      <c r="D504" s="461">
        <v>727.92</v>
      </c>
      <c r="E504" s="461" t="s">
        <v>161</v>
      </c>
      <c r="F504" s="461" t="s">
        <v>8328</v>
      </c>
    </row>
    <row r="505" spans="1:6" ht="15" x14ac:dyDescent="0.25">
      <c r="A505" s="461">
        <v>34599</v>
      </c>
      <c r="B505" s="460" t="s">
        <v>8789</v>
      </c>
      <c r="C505" s="461" t="s">
        <v>1104</v>
      </c>
      <c r="D505" s="461">
        <v>3.29</v>
      </c>
      <c r="E505" s="461" t="s">
        <v>161</v>
      </c>
      <c r="F505" s="461" t="s">
        <v>8326</v>
      </c>
    </row>
    <row r="506" spans="1:6" ht="15" x14ac:dyDescent="0.25">
      <c r="A506" s="461">
        <v>34592</v>
      </c>
      <c r="B506" s="460" t="s">
        <v>8790</v>
      </c>
      <c r="C506" s="461" t="s">
        <v>1104</v>
      </c>
      <c r="D506" s="461">
        <v>3.66</v>
      </c>
      <c r="E506" s="461" t="s">
        <v>161</v>
      </c>
      <c r="F506" s="461" t="s">
        <v>8326</v>
      </c>
    </row>
    <row r="507" spans="1:6" ht="15" x14ac:dyDescent="0.25">
      <c r="A507" s="461">
        <v>37103</v>
      </c>
      <c r="B507" s="460" t="s">
        <v>8791</v>
      </c>
      <c r="C507" s="461" t="s">
        <v>1104</v>
      </c>
      <c r="D507" s="461">
        <v>4.1900000000000004</v>
      </c>
      <c r="E507" s="461" t="s">
        <v>161</v>
      </c>
      <c r="F507" s="461" t="s">
        <v>8326</v>
      </c>
    </row>
    <row r="508" spans="1:6" ht="15" x14ac:dyDescent="0.25">
      <c r="A508" s="461">
        <v>34555</v>
      </c>
      <c r="B508" s="460" t="s">
        <v>13100</v>
      </c>
      <c r="C508" s="461" t="s">
        <v>1104</v>
      </c>
      <c r="D508" s="461">
        <v>5.32</v>
      </c>
      <c r="E508" s="461" t="s">
        <v>161</v>
      </c>
      <c r="F508" s="461" t="s">
        <v>8326</v>
      </c>
    </row>
    <row r="509" spans="1:6" ht="30" x14ac:dyDescent="0.25">
      <c r="A509" s="461">
        <v>674</v>
      </c>
      <c r="B509" s="460" t="s">
        <v>8792</v>
      </c>
      <c r="C509" s="461" t="s">
        <v>1106</v>
      </c>
      <c r="D509" s="461">
        <v>83.45</v>
      </c>
      <c r="E509" s="461" t="s">
        <v>161</v>
      </c>
      <c r="F509" s="461" t="s">
        <v>8328</v>
      </c>
    </row>
    <row r="510" spans="1:6" ht="30" x14ac:dyDescent="0.25">
      <c r="A510" s="461">
        <v>34600</v>
      </c>
      <c r="B510" s="460" t="s">
        <v>8793</v>
      </c>
      <c r="C510" s="461" t="s">
        <v>1106</v>
      </c>
      <c r="D510" s="461">
        <v>122.57</v>
      </c>
      <c r="E510" s="461" t="s">
        <v>161</v>
      </c>
      <c r="F510" s="461" t="s">
        <v>8328</v>
      </c>
    </row>
    <row r="511" spans="1:6" ht="30" x14ac:dyDescent="0.25">
      <c r="A511" s="461">
        <v>652</v>
      </c>
      <c r="B511" s="460" t="s">
        <v>8794</v>
      </c>
      <c r="C511" s="461" t="s">
        <v>1106</v>
      </c>
      <c r="D511" s="461">
        <v>187.76</v>
      </c>
      <c r="E511" s="461" t="s">
        <v>161</v>
      </c>
      <c r="F511" s="461" t="s">
        <v>8328</v>
      </c>
    </row>
    <row r="512" spans="1:6" ht="15" x14ac:dyDescent="0.25">
      <c r="A512" s="461">
        <v>651</v>
      </c>
      <c r="B512" s="460" t="s">
        <v>8795</v>
      </c>
      <c r="C512" s="461" t="s">
        <v>1104</v>
      </c>
      <c r="D512" s="461">
        <v>4.04</v>
      </c>
      <c r="E512" s="461" t="s">
        <v>161</v>
      </c>
      <c r="F512" s="461" t="s">
        <v>8326</v>
      </c>
    </row>
    <row r="513" spans="1:6" ht="15" x14ac:dyDescent="0.25">
      <c r="A513" s="461">
        <v>654</v>
      </c>
      <c r="B513" s="460" t="s">
        <v>8796</v>
      </c>
      <c r="C513" s="461" t="s">
        <v>1104</v>
      </c>
      <c r="D513" s="461">
        <v>5</v>
      </c>
      <c r="E513" s="461" t="s">
        <v>161</v>
      </c>
      <c r="F513" s="461" t="s">
        <v>8326</v>
      </c>
    </row>
    <row r="514" spans="1:6" ht="15" x14ac:dyDescent="0.25">
      <c r="A514" s="461">
        <v>650</v>
      </c>
      <c r="B514" s="460" t="s">
        <v>8797</v>
      </c>
      <c r="C514" s="461" t="s">
        <v>1104</v>
      </c>
      <c r="D514" s="461">
        <v>3.23</v>
      </c>
      <c r="E514" s="461" t="s">
        <v>161</v>
      </c>
      <c r="F514" s="461" t="s">
        <v>8333</v>
      </c>
    </row>
    <row r="515" spans="1:6" ht="30" x14ac:dyDescent="0.25">
      <c r="A515" s="461">
        <v>718</v>
      </c>
      <c r="B515" s="460" t="s">
        <v>8798</v>
      </c>
      <c r="C515" s="461" t="s">
        <v>1104</v>
      </c>
      <c r="D515" s="461">
        <v>26.09</v>
      </c>
      <c r="E515" s="461" t="s">
        <v>161</v>
      </c>
      <c r="F515" s="461" t="s">
        <v>8326</v>
      </c>
    </row>
    <row r="516" spans="1:6" ht="30" x14ac:dyDescent="0.25">
      <c r="A516" s="461">
        <v>11981</v>
      </c>
      <c r="B516" s="460" t="s">
        <v>8799</v>
      </c>
      <c r="C516" s="461" t="s">
        <v>1104</v>
      </c>
      <c r="D516" s="461">
        <v>25.34</v>
      </c>
      <c r="E516" s="461" t="s">
        <v>161</v>
      </c>
      <c r="F516" s="461" t="s">
        <v>8326</v>
      </c>
    </row>
    <row r="517" spans="1:6" ht="15" x14ac:dyDescent="0.25">
      <c r="A517" s="461">
        <v>34586</v>
      </c>
      <c r="B517" s="460" t="s">
        <v>8800</v>
      </c>
      <c r="C517" s="461" t="s">
        <v>1104</v>
      </c>
      <c r="D517" s="461">
        <v>2.19</v>
      </c>
      <c r="E517" s="461" t="s">
        <v>161</v>
      </c>
      <c r="F517" s="461" t="s">
        <v>8326</v>
      </c>
    </row>
    <row r="518" spans="1:6" ht="15" x14ac:dyDescent="0.25">
      <c r="A518" s="461">
        <v>38603</v>
      </c>
      <c r="B518" s="460" t="s">
        <v>8801</v>
      </c>
      <c r="C518" s="461" t="s">
        <v>1104</v>
      </c>
      <c r="D518" s="461">
        <v>2.65</v>
      </c>
      <c r="E518" s="461" t="s">
        <v>161</v>
      </c>
      <c r="F518" s="461" t="s">
        <v>8326</v>
      </c>
    </row>
    <row r="519" spans="1:6" ht="15" x14ac:dyDescent="0.25">
      <c r="A519" s="461">
        <v>34588</v>
      </c>
      <c r="B519" s="460" t="s">
        <v>8802</v>
      </c>
      <c r="C519" s="461" t="s">
        <v>1104</v>
      </c>
      <c r="D519" s="461">
        <v>2.86</v>
      </c>
      <c r="E519" s="461" t="s">
        <v>161</v>
      </c>
      <c r="F519" s="461" t="s">
        <v>8326</v>
      </c>
    </row>
    <row r="520" spans="1:6" ht="15" x14ac:dyDescent="0.25">
      <c r="A520" s="461">
        <v>34590</v>
      </c>
      <c r="B520" s="460" t="s">
        <v>13101</v>
      </c>
      <c r="C520" s="461" t="s">
        <v>1104</v>
      </c>
      <c r="D520" s="461">
        <v>2.61</v>
      </c>
      <c r="E520" s="461" t="s">
        <v>161</v>
      </c>
      <c r="F520" s="461" t="s">
        <v>8326</v>
      </c>
    </row>
    <row r="521" spans="1:6" ht="15" x14ac:dyDescent="0.25">
      <c r="A521" s="461">
        <v>34591</v>
      </c>
      <c r="B521" s="460" t="s">
        <v>8803</v>
      </c>
      <c r="C521" s="461" t="s">
        <v>1104</v>
      </c>
      <c r="D521" s="461">
        <v>3.54</v>
      </c>
      <c r="E521" s="461" t="s">
        <v>161</v>
      </c>
      <c r="F521" s="461" t="s">
        <v>8326</v>
      </c>
    </row>
    <row r="522" spans="1:6" ht="30" x14ac:dyDescent="0.25">
      <c r="A522" s="461">
        <v>40517</v>
      </c>
      <c r="B522" s="460" t="s">
        <v>8804</v>
      </c>
      <c r="C522" s="461" t="s">
        <v>1106</v>
      </c>
      <c r="D522" s="461">
        <v>66.150000000000006</v>
      </c>
      <c r="E522" s="461" t="s">
        <v>161</v>
      </c>
      <c r="F522" s="461" t="s">
        <v>8326</v>
      </c>
    </row>
    <row r="523" spans="1:6" ht="45" x14ac:dyDescent="0.25">
      <c r="A523" s="461">
        <v>40515</v>
      </c>
      <c r="B523" s="460" t="s">
        <v>8805</v>
      </c>
      <c r="C523" s="461" t="s">
        <v>1106</v>
      </c>
      <c r="D523" s="461">
        <v>148.84</v>
      </c>
      <c r="E523" s="461" t="s">
        <v>161</v>
      </c>
      <c r="F523" s="461" t="s">
        <v>8326</v>
      </c>
    </row>
    <row r="524" spans="1:6" ht="45" x14ac:dyDescent="0.25">
      <c r="A524" s="461">
        <v>40524</v>
      </c>
      <c r="B524" s="460" t="s">
        <v>8806</v>
      </c>
      <c r="C524" s="461" t="s">
        <v>1106</v>
      </c>
      <c r="D524" s="461">
        <v>93.03</v>
      </c>
      <c r="E524" s="461" t="s">
        <v>161</v>
      </c>
      <c r="F524" s="461" t="s">
        <v>8326</v>
      </c>
    </row>
    <row r="525" spans="1:6" ht="45" x14ac:dyDescent="0.25">
      <c r="A525" s="461">
        <v>40529</v>
      </c>
      <c r="B525" s="460" t="s">
        <v>8807</v>
      </c>
      <c r="C525" s="461" t="s">
        <v>1106</v>
      </c>
      <c r="D525" s="461">
        <v>95.09</v>
      </c>
      <c r="E525" s="461" t="s">
        <v>161</v>
      </c>
      <c r="F525" s="461" t="s">
        <v>8326</v>
      </c>
    </row>
    <row r="526" spans="1:6" ht="45" x14ac:dyDescent="0.25">
      <c r="A526" s="461">
        <v>36156</v>
      </c>
      <c r="B526" s="460" t="s">
        <v>8808</v>
      </c>
      <c r="C526" s="461" t="s">
        <v>1106</v>
      </c>
      <c r="D526" s="461">
        <v>72.349999999999994</v>
      </c>
      <c r="E526" s="461" t="s">
        <v>161</v>
      </c>
      <c r="F526" s="461" t="s">
        <v>8326</v>
      </c>
    </row>
    <row r="527" spans="1:6" ht="45" x14ac:dyDescent="0.25">
      <c r="A527" s="461">
        <v>36155</v>
      </c>
      <c r="B527" s="460" t="s">
        <v>8809</v>
      </c>
      <c r="C527" s="461" t="s">
        <v>1106</v>
      </c>
      <c r="D527" s="461">
        <v>62.46</v>
      </c>
      <c r="E527" s="461" t="s">
        <v>161</v>
      </c>
      <c r="F527" s="461" t="s">
        <v>8326</v>
      </c>
    </row>
    <row r="528" spans="1:6" ht="45" x14ac:dyDescent="0.25">
      <c r="A528" s="461">
        <v>36154</v>
      </c>
      <c r="B528" s="460" t="s">
        <v>8810</v>
      </c>
      <c r="C528" s="461" t="s">
        <v>1106</v>
      </c>
      <c r="D528" s="461">
        <v>86.82</v>
      </c>
      <c r="E528" s="461" t="s">
        <v>161</v>
      </c>
      <c r="F528" s="461" t="s">
        <v>8326</v>
      </c>
    </row>
    <row r="529" spans="1:6" ht="45" x14ac:dyDescent="0.25">
      <c r="A529" s="461">
        <v>36170</v>
      </c>
      <c r="B529" s="460" t="s">
        <v>8811</v>
      </c>
      <c r="C529" s="461" t="s">
        <v>1106</v>
      </c>
      <c r="D529" s="461">
        <v>78.900000000000006</v>
      </c>
      <c r="E529" s="461" t="s">
        <v>161</v>
      </c>
      <c r="F529" s="461" t="s">
        <v>8333</v>
      </c>
    </row>
    <row r="530" spans="1:6" ht="30" x14ac:dyDescent="0.25">
      <c r="A530" s="461">
        <v>695</v>
      </c>
      <c r="B530" s="460" t="s">
        <v>8812</v>
      </c>
      <c r="C530" s="461" t="s">
        <v>1106</v>
      </c>
      <c r="D530" s="461">
        <v>63.77</v>
      </c>
      <c r="E530" s="461" t="s">
        <v>161</v>
      </c>
      <c r="F530" s="461" t="s">
        <v>8326</v>
      </c>
    </row>
    <row r="531" spans="1:6" ht="30" x14ac:dyDescent="0.25">
      <c r="A531" s="461">
        <v>679</v>
      </c>
      <c r="B531" s="460" t="s">
        <v>8813</v>
      </c>
      <c r="C531" s="461" t="s">
        <v>1106</v>
      </c>
      <c r="D531" s="461">
        <v>95.09</v>
      </c>
      <c r="E531" s="461" t="s">
        <v>161</v>
      </c>
      <c r="F531" s="461" t="s">
        <v>8326</v>
      </c>
    </row>
    <row r="532" spans="1:6" ht="30" x14ac:dyDescent="0.25">
      <c r="A532" s="461">
        <v>711</v>
      </c>
      <c r="B532" s="460" t="s">
        <v>8814</v>
      </c>
      <c r="C532" s="461" t="s">
        <v>1106</v>
      </c>
      <c r="D532" s="461">
        <v>62.9</v>
      </c>
      <c r="E532" s="461" t="s">
        <v>161</v>
      </c>
      <c r="F532" s="461" t="s">
        <v>8326</v>
      </c>
    </row>
    <row r="533" spans="1:6" ht="30" x14ac:dyDescent="0.25">
      <c r="A533" s="461">
        <v>712</v>
      </c>
      <c r="B533" s="460" t="s">
        <v>8815</v>
      </c>
      <c r="C533" s="461" t="s">
        <v>1106</v>
      </c>
      <c r="D533" s="461">
        <v>79.239999999999995</v>
      </c>
      <c r="E533" s="461" t="s">
        <v>161</v>
      </c>
      <c r="F533" s="461" t="s">
        <v>8326</v>
      </c>
    </row>
    <row r="534" spans="1:6" ht="30" x14ac:dyDescent="0.25">
      <c r="A534" s="461">
        <v>12614</v>
      </c>
      <c r="B534" s="460" t="s">
        <v>8816</v>
      </c>
      <c r="C534" s="461" t="s">
        <v>1104</v>
      </c>
      <c r="D534" s="461">
        <v>45.22</v>
      </c>
      <c r="E534" s="461" t="s">
        <v>161</v>
      </c>
      <c r="F534" s="461" t="s">
        <v>8326</v>
      </c>
    </row>
    <row r="535" spans="1:6" ht="15" x14ac:dyDescent="0.25">
      <c r="A535" s="461">
        <v>6140</v>
      </c>
      <c r="B535" s="460" t="s">
        <v>8817</v>
      </c>
      <c r="C535" s="461" t="s">
        <v>1104</v>
      </c>
      <c r="D535" s="461">
        <v>4.4400000000000004</v>
      </c>
      <c r="E535" s="461" t="s">
        <v>161</v>
      </c>
      <c r="F535" s="461" t="s">
        <v>8326</v>
      </c>
    </row>
    <row r="536" spans="1:6" ht="15" x14ac:dyDescent="0.25">
      <c r="A536" s="461">
        <v>38399</v>
      </c>
      <c r="B536" s="460" t="s">
        <v>8818</v>
      </c>
      <c r="C536" s="461" t="s">
        <v>1104</v>
      </c>
      <c r="D536" s="461">
        <v>305.57</v>
      </c>
      <c r="E536" s="461" t="s">
        <v>161</v>
      </c>
      <c r="F536" s="461" t="s">
        <v>8326</v>
      </c>
    </row>
    <row r="537" spans="1:6" ht="45" x14ac:dyDescent="0.25">
      <c r="A537" s="461">
        <v>729</v>
      </c>
      <c r="B537" s="460" t="s">
        <v>13102</v>
      </c>
      <c r="C537" s="461" t="s">
        <v>1104</v>
      </c>
      <c r="D537" s="511">
        <v>1162.5</v>
      </c>
      <c r="E537" s="461" t="s">
        <v>1497</v>
      </c>
      <c r="F537" s="461" t="s">
        <v>8333</v>
      </c>
    </row>
    <row r="538" spans="1:6" ht="45" x14ac:dyDescent="0.25">
      <c r="A538" s="461">
        <v>39925</v>
      </c>
      <c r="B538" s="460" t="s">
        <v>13103</v>
      </c>
      <c r="C538" s="461" t="s">
        <v>1104</v>
      </c>
      <c r="D538" s="511">
        <v>16798.02</v>
      </c>
      <c r="E538" s="461" t="s">
        <v>1497</v>
      </c>
      <c r="F538" s="461" t="s">
        <v>8326</v>
      </c>
    </row>
    <row r="539" spans="1:6" ht="30" x14ac:dyDescent="0.25">
      <c r="A539" s="461">
        <v>731</v>
      </c>
      <c r="B539" s="460" t="s">
        <v>13104</v>
      </c>
      <c r="C539" s="461" t="s">
        <v>1104</v>
      </c>
      <c r="D539" s="511">
        <v>1131.4000000000001</v>
      </c>
      <c r="E539" s="461" t="s">
        <v>1497</v>
      </c>
      <c r="F539" s="461" t="s">
        <v>8326</v>
      </c>
    </row>
    <row r="540" spans="1:6" ht="45" x14ac:dyDescent="0.25">
      <c r="A540" s="461">
        <v>10575</v>
      </c>
      <c r="B540" s="460" t="s">
        <v>8819</v>
      </c>
      <c r="C540" s="461" t="s">
        <v>1104</v>
      </c>
      <c r="D540" s="511">
        <v>1765.63</v>
      </c>
      <c r="E540" s="461" t="s">
        <v>1497</v>
      </c>
      <c r="F540" s="461" t="s">
        <v>8326</v>
      </c>
    </row>
    <row r="541" spans="1:6" ht="45" x14ac:dyDescent="0.25">
      <c r="A541" s="461">
        <v>733</v>
      </c>
      <c r="B541" s="460" t="s">
        <v>13105</v>
      </c>
      <c r="C541" s="461" t="s">
        <v>1104</v>
      </c>
      <c r="D541" s="511">
        <v>1933.15</v>
      </c>
      <c r="E541" s="461" t="s">
        <v>1497</v>
      </c>
      <c r="F541" s="461" t="s">
        <v>8326</v>
      </c>
    </row>
    <row r="542" spans="1:6" ht="45" x14ac:dyDescent="0.25">
      <c r="A542" s="461">
        <v>732</v>
      </c>
      <c r="B542" s="460" t="s">
        <v>13106</v>
      </c>
      <c r="C542" s="461" t="s">
        <v>1104</v>
      </c>
      <c r="D542" s="511">
        <v>1907.16</v>
      </c>
      <c r="E542" s="461" t="s">
        <v>1497</v>
      </c>
      <c r="F542" s="461" t="s">
        <v>8326</v>
      </c>
    </row>
    <row r="543" spans="1:6" ht="45" x14ac:dyDescent="0.25">
      <c r="A543" s="461">
        <v>735</v>
      </c>
      <c r="B543" s="460" t="s">
        <v>13107</v>
      </c>
      <c r="C543" s="461" t="s">
        <v>1104</v>
      </c>
      <c r="D543" s="511">
        <v>3392.74</v>
      </c>
      <c r="E543" s="461" t="s">
        <v>1497</v>
      </c>
      <c r="F543" s="461" t="s">
        <v>8326</v>
      </c>
    </row>
    <row r="544" spans="1:6" ht="45" x14ac:dyDescent="0.25">
      <c r="A544" s="461">
        <v>737</v>
      </c>
      <c r="B544" s="460" t="s">
        <v>8820</v>
      </c>
      <c r="C544" s="461" t="s">
        <v>1104</v>
      </c>
      <c r="D544" s="511">
        <v>10694.81</v>
      </c>
      <c r="E544" s="461" t="s">
        <v>1497</v>
      </c>
      <c r="F544" s="461" t="s">
        <v>8326</v>
      </c>
    </row>
    <row r="545" spans="1:6" ht="45" x14ac:dyDescent="0.25">
      <c r="A545" s="461">
        <v>736</v>
      </c>
      <c r="B545" s="460" t="s">
        <v>13108</v>
      </c>
      <c r="C545" s="461" t="s">
        <v>1104</v>
      </c>
      <c r="D545" s="511">
        <v>2852.68</v>
      </c>
      <c r="E545" s="461" t="s">
        <v>1497</v>
      </c>
      <c r="F545" s="461" t="s">
        <v>8326</v>
      </c>
    </row>
    <row r="546" spans="1:6" ht="45" x14ac:dyDescent="0.25">
      <c r="A546" s="461">
        <v>738</v>
      </c>
      <c r="B546" s="460" t="s">
        <v>8821</v>
      </c>
      <c r="C546" s="461" t="s">
        <v>1104</v>
      </c>
      <c r="D546" s="511">
        <v>4959.1099999999997</v>
      </c>
      <c r="E546" s="461" t="s">
        <v>1497</v>
      </c>
      <c r="F546" s="461" t="s">
        <v>8326</v>
      </c>
    </row>
    <row r="547" spans="1:6" ht="45" x14ac:dyDescent="0.25">
      <c r="A547" s="461">
        <v>740</v>
      </c>
      <c r="B547" s="460" t="s">
        <v>8822</v>
      </c>
      <c r="C547" s="461" t="s">
        <v>1104</v>
      </c>
      <c r="D547" s="511">
        <v>10061</v>
      </c>
      <c r="E547" s="461" t="s">
        <v>1497</v>
      </c>
      <c r="F547" s="461" t="s">
        <v>8326</v>
      </c>
    </row>
    <row r="548" spans="1:6" ht="45" x14ac:dyDescent="0.25">
      <c r="A548" s="461">
        <v>734</v>
      </c>
      <c r="B548" s="460" t="s">
        <v>13109</v>
      </c>
      <c r="C548" s="461" t="s">
        <v>1104</v>
      </c>
      <c r="D548" s="511">
        <v>2044.48</v>
      </c>
      <c r="E548" s="461" t="s">
        <v>1497</v>
      </c>
      <c r="F548" s="461" t="s">
        <v>8326</v>
      </c>
    </row>
    <row r="549" spans="1:6" ht="15" x14ac:dyDescent="0.25">
      <c r="A549" s="461">
        <v>39008</v>
      </c>
      <c r="B549" s="460" t="s">
        <v>8823</v>
      </c>
      <c r="C549" s="461" t="s">
        <v>1104</v>
      </c>
      <c r="D549" s="511">
        <v>65955.520000000004</v>
      </c>
      <c r="E549" s="461" t="s">
        <v>1497</v>
      </c>
      <c r="F549" s="461" t="s">
        <v>8326</v>
      </c>
    </row>
    <row r="550" spans="1:6" ht="15" x14ac:dyDescent="0.25">
      <c r="A550" s="461">
        <v>39009</v>
      </c>
      <c r="B550" s="460" t="s">
        <v>8824</v>
      </c>
      <c r="C550" s="461" t="s">
        <v>1104</v>
      </c>
      <c r="D550" s="511">
        <v>70663.17</v>
      </c>
      <c r="E550" s="461" t="s">
        <v>1497</v>
      </c>
      <c r="F550" s="461" t="s">
        <v>8326</v>
      </c>
    </row>
    <row r="551" spans="1:6" ht="60" x14ac:dyDescent="0.25">
      <c r="A551" s="461">
        <v>10587</v>
      </c>
      <c r="B551" s="460" t="s">
        <v>8825</v>
      </c>
      <c r="C551" s="461" t="s">
        <v>1104</v>
      </c>
      <c r="D551" s="511">
        <v>4290.55</v>
      </c>
      <c r="E551" s="461" t="s">
        <v>1497</v>
      </c>
      <c r="F551" s="461" t="s">
        <v>8326</v>
      </c>
    </row>
    <row r="552" spans="1:6" ht="60" x14ac:dyDescent="0.25">
      <c r="A552" s="461">
        <v>759</v>
      </c>
      <c r="B552" s="460" t="s">
        <v>8826</v>
      </c>
      <c r="C552" s="461" t="s">
        <v>1104</v>
      </c>
      <c r="D552" s="511">
        <v>6168.96</v>
      </c>
      <c r="E552" s="461" t="s">
        <v>1497</v>
      </c>
      <c r="F552" s="461" t="s">
        <v>8326</v>
      </c>
    </row>
    <row r="553" spans="1:6" ht="60" x14ac:dyDescent="0.25">
      <c r="A553" s="461">
        <v>761</v>
      </c>
      <c r="B553" s="460" t="s">
        <v>8827</v>
      </c>
      <c r="C553" s="461" t="s">
        <v>1104</v>
      </c>
      <c r="D553" s="511">
        <v>10456.9</v>
      </c>
      <c r="E553" s="461" t="s">
        <v>1497</v>
      </c>
      <c r="F553" s="461" t="s">
        <v>8326</v>
      </c>
    </row>
    <row r="554" spans="1:6" ht="45" x14ac:dyDescent="0.25">
      <c r="A554" s="461">
        <v>750</v>
      </c>
      <c r="B554" s="460" t="s">
        <v>8828</v>
      </c>
      <c r="C554" s="461" t="s">
        <v>1104</v>
      </c>
      <c r="D554" s="511">
        <v>9927.99</v>
      </c>
      <c r="E554" s="461" t="s">
        <v>1497</v>
      </c>
      <c r="F554" s="461" t="s">
        <v>8326</v>
      </c>
    </row>
    <row r="555" spans="1:6" ht="60" x14ac:dyDescent="0.25">
      <c r="A555" s="461">
        <v>755</v>
      </c>
      <c r="B555" s="460" t="s">
        <v>8829</v>
      </c>
      <c r="C555" s="461" t="s">
        <v>1104</v>
      </c>
      <c r="D555" s="511">
        <v>40739.68</v>
      </c>
      <c r="E555" s="461" t="s">
        <v>1497</v>
      </c>
      <c r="F555" s="461" t="s">
        <v>8326</v>
      </c>
    </row>
    <row r="556" spans="1:6" ht="60" x14ac:dyDescent="0.25">
      <c r="A556" s="461">
        <v>749</v>
      </c>
      <c r="B556" s="460" t="s">
        <v>8830</v>
      </c>
      <c r="C556" s="461" t="s">
        <v>1104</v>
      </c>
      <c r="D556" s="511">
        <v>14983.3</v>
      </c>
      <c r="E556" s="461" t="s">
        <v>1497</v>
      </c>
      <c r="F556" s="461" t="s">
        <v>8326</v>
      </c>
    </row>
    <row r="557" spans="1:6" ht="60" x14ac:dyDescent="0.25">
      <c r="A557" s="461">
        <v>756</v>
      </c>
      <c r="B557" s="460" t="s">
        <v>8831</v>
      </c>
      <c r="C557" s="461" t="s">
        <v>1104</v>
      </c>
      <c r="D557" s="511">
        <v>44432.07</v>
      </c>
      <c r="E557" s="461" t="s">
        <v>1497</v>
      </c>
      <c r="F557" s="461" t="s">
        <v>8326</v>
      </c>
    </row>
    <row r="558" spans="1:6" ht="45" x14ac:dyDescent="0.25">
      <c r="A558" s="461">
        <v>10588</v>
      </c>
      <c r="B558" s="460" t="s">
        <v>8832</v>
      </c>
      <c r="C558" s="461" t="s">
        <v>1104</v>
      </c>
      <c r="D558" s="511">
        <v>4454.13</v>
      </c>
      <c r="E558" s="461" t="s">
        <v>1497</v>
      </c>
      <c r="F558" s="461" t="s">
        <v>8326</v>
      </c>
    </row>
    <row r="559" spans="1:6" ht="45" x14ac:dyDescent="0.25">
      <c r="A559" s="461">
        <v>10592</v>
      </c>
      <c r="B559" s="460" t="s">
        <v>8833</v>
      </c>
      <c r="C559" s="461" t="s">
        <v>1104</v>
      </c>
      <c r="D559" s="511">
        <v>5380</v>
      </c>
      <c r="E559" s="461" t="s">
        <v>1497</v>
      </c>
      <c r="F559" s="461" t="s">
        <v>8333</v>
      </c>
    </row>
    <row r="560" spans="1:6" ht="45" x14ac:dyDescent="0.25">
      <c r="A560" s="461">
        <v>10589</v>
      </c>
      <c r="B560" s="460" t="s">
        <v>8834</v>
      </c>
      <c r="C560" s="461" t="s">
        <v>1104</v>
      </c>
      <c r="D560" s="511">
        <v>7227.69</v>
      </c>
      <c r="E560" s="461" t="s">
        <v>1497</v>
      </c>
      <c r="F560" s="461" t="s">
        <v>8326</v>
      </c>
    </row>
    <row r="561" spans="1:10" ht="45" x14ac:dyDescent="0.25">
      <c r="A561" s="461">
        <v>760</v>
      </c>
      <c r="B561" s="460" t="s">
        <v>8835</v>
      </c>
      <c r="C561" s="461" t="s">
        <v>1104</v>
      </c>
      <c r="D561" s="511">
        <v>40350</v>
      </c>
      <c r="E561" s="461" t="s">
        <v>1497</v>
      </c>
      <c r="F561" s="461" t="s">
        <v>8326</v>
      </c>
    </row>
    <row r="562" spans="1:10" ht="45" x14ac:dyDescent="0.25">
      <c r="A562" s="461">
        <v>751</v>
      </c>
      <c r="B562" s="460" t="s">
        <v>8836</v>
      </c>
      <c r="C562" s="461" t="s">
        <v>1104</v>
      </c>
      <c r="D562" s="511">
        <v>6355.12</v>
      </c>
      <c r="E562" s="461" t="s">
        <v>1497</v>
      </c>
      <c r="F562" s="461" t="s">
        <v>8326</v>
      </c>
    </row>
    <row r="563" spans="1:10" ht="45" x14ac:dyDescent="0.25">
      <c r="A563" s="461">
        <v>754</v>
      </c>
      <c r="B563" s="460" t="s">
        <v>8837</v>
      </c>
      <c r="C563" s="461" t="s">
        <v>1104</v>
      </c>
      <c r="D563" s="511">
        <v>10087.5</v>
      </c>
      <c r="E563" s="461" t="s">
        <v>1497</v>
      </c>
      <c r="F563" s="461" t="s">
        <v>8326</v>
      </c>
      <c r="J563" s="140">
        <f>400*8.2</f>
        <v>3279.9999999999995</v>
      </c>
    </row>
    <row r="564" spans="1:10" ht="45" x14ac:dyDescent="0.25">
      <c r="A564" s="461">
        <v>757</v>
      </c>
      <c r="B564" s="460" t="s">
        <v>13110</v>
      </c>
      <c r="C564" s="461" t="s">
        <v>1104</v>
      </c>
      <c r="D564" s="511">
        <v>20175</v>
      </c>
      <c r="E564" s="461" t="s">
        <v>1497</v>
      </c>
      <c r="F564" s="461" t="s">
        <v>8326</v>
      </c>
    </row>
    <row r="565" spans="1:10" ht="15" x14ac:dyDescent="0.25">
      <c r="A565" s="461">
        <v>44489</v>
      </c>
      <c r="B565" s="460" t="s">
        <v>13111</v>
      </c>
      <c r="C565" s="461" t="s">
        <v>1104</v>
      </c>
      <c r="D565" s="511">
        <v>288996.98</v>
      </c>
      <c r="E565" s="461" t="s">
        <v>1497</v>
      </c>
      <c r="F565" s="461" t="s">
        <v>8326</v>
      </c>
    </row>
    <row r="566" spans="1:10" ht="30" x14ac:dyDescent="0.25">
      <c r="A566" s="461">
        <v>39917</v>
      </c>
      <c r="B566" s="460" t="s">
        <v>8838</v>
      </c>
      <c r="C566" s="461" t="s">
        <v>1104</v>
      </c>
      <c r="D566" s="511">
        <v>101312.44</v>
      </c>
      <c r="E566" s="461" t="s">
        <v>1497</v>
      </c>
      <c r="F566" s="461" t="s">
        <v>8326</v>
      </c>
    </row>
    <row r="567" spans="1:10" ht="15" x14ac:dyDescent="0.25">
      <c r="A567" s="461">
        <v>38167</v>
      </c>
      <c r="B567" s="460" t="s">
        <v>8839</v>
      </c>
      <c r="C567" s="461" t="s">
        <v>1111</v>
      </c>
      <c r="D567" s="461">
        <v>25.2</v>
      </c>
      <c r="E567" s="461" t="s">
        <v>161</v>
      </c>
      <c r="F567" s="461" t="s">
        <v>8326</v>
      </c>
    </row>
    <row r="568" spans="1:10" ht="15" x14ac:dyDescent="0.25">
      <c r="A568" s="461">
        <v>36145</v>
      </c>
      <c r="B568" s="460" t="s">
        <v>8840</v>
      </c>
      <c r="C568" s="461" t="s">
        <v>1111</v>
      </c>
      <c r="D568" s="461">
        <v>44.64</v>
      </c>
      <c r="E568" s="461" t="s">
        <v>161</v>
      </c>
      <c r="F568" s="461" t="s">
        <v>8326</v>
      </c>
    </row>
    <row r="569" spans="1:10" ht="15" x14ac:dyDescent="0.25">
      <c r="A569" s="461">
        <v>12893</v>
      </c>
      <c r="B569" s="460" t="s">
        <v>8841</v>
      </c>
      <c r="C569" s="461" t="s">
        <v>1111</v>
      </c>
      <c r="D569" s="461">
        <v>74.400000000000006</v>
      </c>
      <c r="E569" s="461" t="s">
        <v>161</v>
      </c>
      <c r="F569" s="461" t="s">
        <v>8326</v>
      </c>
    </row>
    <row r="570" spans="1:10" ht="15" x14ac:dyDescent="0.25">
      <c r="A570" s="461">
        <v>11685</v>
      </c>
      <c r="B570" s="460" t="s">
        <v>13112</v>
      </c>
      <c r="C570" s="461" t="s">
        <v>1104</v>
      </c>
      <c r="D570" s="461">
        <v>26.43</v>
      </c>
      <c r="E570" s="461" t="s">
        <v>161</v>
      </c>
      <c r="F570" s="461" t="s">
        <v>8326</v>
      </c>
    </row>
    <row r="571" spans="1:10" ht="15" x14ac:dyDescent="0.25">
      <c r="A571" s="461">
        <v>11680</v>
      </c>
      <c r="B571" s="460" t="s">
        <v>8842</v>
      </c>
      <c r="C571" s="461" t="s">
        <v>1104</v>
      </c>
      <c r="D571" s="461">
        <v>23.22</v>
      </c>
      <c r="E571" s="461" t="s">
        <v>161</v>
      </c>
      <c r="F571" s="461" t="s">
        <v>8326</v>
      </c>
    </row>
    <row r="572" spans="1:10" ht="15" x14ac:dyDescent="0.25">
      <c r="A572" s="461">
        <v>11679</v>
      </c>
      <c r="B572" s="460" t="s">
        <v>8843</v>
      </c>
      <c r="C572" s="461" t="s">
        <v>1104</v>
      </c>
      <c r="D572" s="461">
        <v>31.48</v>
      </c>
      <c r="E572" s="461" t="s">
        <v>161</v>
      </c>
      <c r="F572" s="461" t="s">
        <v>8326</v>
      </c>
    </row>
    <row r="573" spans="1:10" ht="15" x14ac:dyDescent="0.25">
      <c r="A573" s="461">
        <v>2512</v>
      </c>
      <c r="B573" s="460" t="s">
        <v>8844</v>
      </c>
      <c r="C573" s="461" t="s">
        <v>1104</v>
      </c>
      <c r="D573" s="461">
        <v>23.47</v>
      </c>
      <c r="E573" s="461" t="s">
        <v>161</v>
      </c>
      <c r="F573" s="461" t="s">
        <v>8326</v>
      </c>
    </row>
    <row r="574" spans="1:10" ht="15" x14ac:dyDescent="0.25">
      <c r="A574" s="461">
        <v>4374</v>
      </c>
      <c r="B574" s="460" t="s">
        <v>8845</v>
      </c>
      <c r="C574" s="461" t="s">
        <v>1104</v>
      </c>
      <c r="D574" s="461">
        <v>0.7</v>
      </c>
      <c r="E574" s="461" t="s">
        <v>161</v>
      </c>
      <c r="F574" s="461" t="s">
        <v>8326</v>
      </c>
    </row>
    <row r="575" spans="1:10" ht="30" x14ac:dyDescent="0.25">
      <c r="A575" s="461">
        <v>7568</v>
      </c>
      <c r="B575" s="460" t="s">
        <v>8846</v>
      </c>
      <c r="C575" s="461" t="s">
        <v>1104</v>
      </c>
      <c r="D575" s="461">
        <v>1.1599999999999999</v>
      </c>
      <c r="E575" s="461" t="s">
        <v>161</v>
      </c>
      <c r="F575" s="461" t="s">
        <v>8326</v>
      </c>
    </row>
    <row r="576" spans="1:10" ht="30" x14ac:dyDescent="0.25">
      <c r="A576" s="461">
        <v>7584</v>
      </c>
      <c r="B576" s="460" t="s">
        <v>8847</v>
      </c>
      <c r="C576" s="461" t="s">
        <v>1104</v>
      </c>
      <c r="D576" s="461">
        <v>1.77</v>
      </c>
      <c r="E576" s="461" t="s">
        <v>161</v>
      </c>
      <c r="F576" s="461" t="s">
        <v>8326</v>
      </c>
    </row>
    <row r="577" spans="1:6" ht="15" x14ac:dyDescent="0.25">
      <c r="A577" s="461">
        <v>11945</v>
      </c>
      <c r="B577" s="460" t="s">
        <v>8848</v>
      </c>
      <c r="C577" s="461" t="s">
        <v>1104</v>
      </c>
      <c r="D577" s="461">
        <v>0.11</v>
      </c>
      <c r="E577" s="461" t="s">
        <v>161</v>
      </c>
      <c r="F577" s="461" t="s">
        <v>8326</v>
      </c>
    </row>
    <row r="578" spans="1:6" ht="15" x14ac:dyDescent="0.25">
      <c r="A578" s="461">
        <v>11946</v>
      </c>
      <c r="B578" s="460" t="s">
        <v>8849</v>
      </c>
      <c r="C578" s="461" t="s">
        <v>1104</v>
      </c>
      <c r="D578" s="461">
        <v>0.13</v>
      </c>
      <c r="E578" s="461" t="s">
        <v>161</v>
      </c>
      <c r="F578" s="461" t="s">
        <v>8326</v>
      </c>
    </row>
    <row r="579" spans="1:6" ht="15" x14ac:dyDescent="0.25">
      <c r="A579" s="461">
        <v>4375</v>
      </c>
      <c r="B579" s="460" t="s">
        <v>8850</v>
      </c>
      <c r="C579" s="461" t="s">
        <v>1104</v>
      </c>
      <c r="D579" s="461">
        <v>0.19</v>
      </c>
      <c r="E579" s="461" t="s">
        <v>161</v>
      </c>
      <c r="F579" s="461" t="s">
        <v>8333</v>
      </c>
    </row>
    <row r="580" spans="1:6" ht="30" x14ac:dyDescent="0.25">
      <c r="A580" s="461">
        <v>11950</v>
      </c>
      <c r="B580" s="460" t="s">
        <v>8851</v>
      </c>
      <c r="C580" s="461" t="s">
        <v>1104</v>
      </c>
      <c r="D580" s="461">
        <v>0.39</v>
      </c>
      <c r="E580" s="461" t="s">
        <v>161</v>
      </c>
      <c r="F580" s="461" t="s">
        <v>8326</v>
      </c>
    </row>
    <row r="581" spans="1:6" ht="15" x14ac:dyDescent="0.25">
      <c r="A581" s="461">
        <v>4376</v>
      </c>
      <c r="B581" s="460" t="s">
        <v>8852</v>
      </c>
      <c r="C581" s="461" t="s">
        <v>1104</v>
      </c>
      <c r="D581" s="461">
        <v>0.37</v>
      </c>
      <c r="E581" s="461" t="s">
        <v>161</v>
      </c>
      <c r="F581" s="461" t="s">
        <v>8326</v>
      </c>
    </row>
    <row r="582" spans="1:6" ht="30" x14ac:dyDescent="0.25">
      <c r="A582" s="461">
        <v>7583</v>
      </c>
      <c r="B582" s="460" t="s">
        <v>8853</v>
      </c>
      <c r="C582" s="461" t="s">
        <v>1104</v>
      </c>
      <c r="D582" s="461">
        <v>0.79</v>
      </c>
      <c r="E582" s="461" t="s">
        <v>161</v>
      </c>
      <c r="F582" s="461" t="s">
        <v>8326</v>
      </c>
    </row>
    <row r="583" spans="1:6" ht="30" x14ac:dyDescent="0.25">
      <c r="A583" s="461">
        <v>4350</v>
      </c>
      <c r="B583" s="460" t="s">
        <v>8854</v>
      </c>
      <c r="C583" s="461" t="s">
        <v>1104</v>
      </c>
      <c r="D583" s="461">
        <v>0.7</v>
      </c>
      <c r="E583" s="461" t="s">
        <v>161</v>
      </c>
      <c r="F583" s="461" t="s">
        <v>8328</v>
      </c>
    </row>
    <row r="584" spans="1:6" ht="15" x14ac:dyDescent="0.25">
      <c r="A584" s="461">
        <v>44400</v>
      </c>
      <c r="B584" s="460" t="s">
        <v>8855</v>
      </c>
      <c r="C584" s="461" t="s">
        <v>1104</v>
      </c>
      <c r="D584" s="461">
        <v>26.21</v>
      </c>
      <c r="E584" s="461" t="s">
        <v>161</v>
      </c>
      <c r="F584" s="461" t="s">
        <v>8326</v>
      </c>
    </row>
    <row r="585" spans="1:6" ht="30" x14ac:dyDescent="0.25">
      <c r="A585" s="461">
        <v>39886</v>
      </c>
      <c r="B585" s="460" t="s">
        <v>8856</v>
      </c>
      <c r="C585" s="461" t="s">
        <v>1104</v>
      </c>
      <c r="D585" s="461">
        <v>6.69</v>
      </c>
      <c r="E585" s="461" t="s">
        <v>161</v>
      </c>
      <c r="F585" s="461" t="s">
        <v>8326</v>
      </c>
    </row>
    <row r="586" spans="1:6" ht="30" x14ac:dyDescent="0.25">
      <c r="A586" s="461">
        <v>39887</v>
      </c>
      <c r="B586" s="460" t="s">
        <v>8857</v>
      </c>
      <c r="C586" s="461" t="s">
        <v>1104</v>
      </c>
      <c r="D586" s="461">
        <v>10.029999999999999</v>
      </c>
      <c r="E586" s="461" t="s">
        <v>161</v>
      </c>
      <c r="F586" s="461" t="s">
        <v>8326</v>
      </c>
    </row>
    <row r="587" spans="1:6" ht="30" x14ac:dyDescent="0.25">
      <c r="A587" s="461">
        <v>39888</v>
      </c>
      <c r="B587" s="460" t="s">
        <v>8858</v>
      </c>
      <c r="C587" s="461" t="s">
        <v>1104</v>
      </c>
      <c r="D587" s="461">
        <v>22.94</v>
      </c>
      <c r="E587" s="461" t="s">
        <v>161</v>
      </c>
      <c r="F587" s="461" t="s">
        <v>8326</v>
      </c>
    </row>
    <row r="588" spans="1:6" ht="30" x14ac:dyDescent="0.25">
      <c r="A588" s="461">
        <v>39890</v>
      </c>
      <c r="B588" s="460" t="s">
        <v>8859</v>
      </c>
      <c r="C588" s="461" t="s">
        <v>1104</v>
      </c>
      <c r="D588" s="461">
        <v>39.159999999999997</v>
      </c>
      <c r="E588" s="461" t="s">
        <v>161</v>
      </c>
      <c r="F588" s="461" t="s">
        <v>8326</v>
      </c>
    </row>
    <row r="589" spans="1:6" ht="30" x14ac:dyDescent="0.25">
      <c r="A589" s="461">
        <v>39891</v>
      </c>
      <c r="B589" s="460" t="s">
        <v>8860</v>
      </c>
      <c r="C589" s="461" t="s">
        <v>1104</v>
      </c>
      <c r="D589" s="461">
        <v>55.22</v>
      </c>
      <c r="E589" s="461" t="s">
        <v>161</v>
      </c>
      <c r="F589" s="461" t="s">
        <v>8326</v>
      </c>
    </row>
    <row r="590" spans="1:6" ht="30" x14ac:dyDescent="0.25">
      <c r="A590" s="461">
        <v>39892</v>
      </c>
      <c r="B590" s="460" t="s">
        <v>8861</v>
      </c>
      <c r="C590" s="461" t="s">
        <v>1104</v>
      </c>
      <c r="D590" s="461">
        <v>172.13</v>
      </c>
      <c r="E590" s="461" t="s">
        <v>161</v>
      </c>
      <c r="F590" s="461" t="s">
        <v>8326</v>
      </c>
    </row>
    <row r="591" spans="1:6" ht="15" x14ac:dyDescent="0.25">
      <c r="A591" s="461">
        <v>790</v>
      </c>
      <c r="B591" s="460" t="s">
        <v>8862</v>
      </c>
      <c r="C591" s="461" t="s">
        <v>1104</v>
      </c>
      <c r="D591" s="461">
        <v>23.11</v>
      </c>
      <c r="E591" s="461" t="s">
        <v>161</v>
      </c>
      <c r="F591" s="461" t="s">
        <v>8328</v>
      </c>
    </row>
    <row r="592" spans="1:6" ht="15" x14ac:dyDescent="0.25">
      <c r="A592" s="461">
        <v>766</v>
      </c>
      <c r="B592" s="460" t="s">
        <v>8863</v>
      </c>
      <c r="C592" s="461" t="s">
        <v>1104</v>
      </c>
      <c r="D592" s="461">
        <v>23.11</v>
      </c>
      <c r="E592" s="461" t="s">
        <v>161</v>
      </c>
      <c r="F592" s="461" t="s">
        <v>8328</v>
      </c>
    </row>
    <row r="593" spans="1:6" ht="15" x14ac:dyDescent="0.25">
      <c r="A593" s="461">
        <v>791</v>
      </c>
      <c r="B593" s="460" t="s">
        <v>8864</v>
      </c>
      <c r="C593" s="461" t="s">
        <v>1104</v>
      </c>
      <c r="D593" s="461">
        <v>23.11</v>
      </c>
      <c r="E593" s="461" t="s">
        <v>161</v>
      </c>
      <c r="F593" s="461" t="s">
        <v>8328</v>
      </c>
    </row>
    <row r="594" spans="1:6" ht="15" x14ac:dyDescent="0.25">
      <c r="A594" s="461">
        <v>767</v>
      </c>
      <c r="B594" s="460" t="s">
        <v>8865</v>
      </c>
      <c r="C594" s="461" t="s">
        <v>1104</v>
      </c>
      <c r="D594" s="461">
        <v>23.11</v>
      </c>
      <c r="E594" s="461" t="s">
        <v>161</v>
      </c>
      <c r="F594" s="461" t="s">
        <v>8328</v>
      </c>
    </row>
    <row r="595" spans="1:6" ht="15" x14ac:dyDescent="0.25">
      <c r="A595" s="461">
        <v>768</v>
      </c>
      <c r="B595" s="460" t="s">
        <v>8866</v>
      </c>
      <c r="C595" s="461" t="s">
        <v>1104</v>
      </c>
      <c r="D595" s="461">
        <v>18.149999999999999</v>
      </c>
      <c r="E595" s="461" t="s">
        <v>161</v>
      </c>
      <c r="F595" s="461" t="s">
        <v>8328</v>
      </c>
    </row>
    <row r="596" spans="1:6" ht="15" x14ac:dyDescent="0.25">
      <c r="A596" s="461">
        <v>789</v>
      </c>
      <c r="B596" s="460" t="s">
        <v>8867</v>
      </c>
      <c r="C596" s="461" t="s">
        <v>1104</v>
      </c>
      <c r="D596" s="461">
        <v>17.760000000000002</v>
      </c>
      <c r="E596" s="461" t="s">
        <v>161</v>
      </c>
      <c r="F596" s="461" t="s">
        <v>8328</v>
      </c>
    </row>
    <row r="597" spans="1:6" ht="15" x14ac:dyDescent="0.25">
      <c r="A597" s="461">
        <v>769</v>
      </c>
      <c r="B597" s="460" t="s">
        <v>8868</v>
      </c>
      <c r="C597" s="461" t="s">
        <v>1104</v>
      </c>
      <c r="D597" s="461">
        <v>18.149999999999999</v>
      </c>
      <c r="E597" s="461" t="s">
        <v>161</v>
      </c>
      <c r="F597" s="461" t="s">
        <v>8328</v>
      </c>
    </row>
    <row r="598" spans="1:6" ht="15" x14ac:dyDescent="0.25">
      <c r="A598" s="461">
        <v>770</v>
      </c>
      <c r="B598" s="460" t="s">
        <v>8869</v>
      </c>
      <c r="C598" s="461" t="s">
        <v>1104</v>
      </c>
      <c r="D598" s="461">
        <v>6.4</v>
      </c>
      <c r="E598" s="461" t="s">
        <v>161</v>
      </c>
      <c r="F598" s="461" t="s">
        <v>8328</v>
      </c>
    </row>
    <row r="599" spans="1:6" ht="15" x14ac:dyDescent="0.25">
      <c r="A599" s="461">
        <v>12394</v>
      </c>
      <c r="B599" s="460" t="s">
        <v>8870</v>
      </c>
      <c r="C599" s="461" t="s">
        <v>1104</v>
      </c>
      <c r="D599" s="461">
        <v>6.4</v>
      </c>
      <c r="E599" s="461" t="s">
        <v>161</v>
      </c>
      <c r="F599" s="461" t="s">
        <v>8328</v>
      </c>
    </row>
    <row r="600" spans="1:6" ht="15" x14ac:dyDescent="0.25">
      <c r="A600" s="461">
        <v>764</v>
      </c>
      <c r="B600" s="460" t="s">
        <v>8871</v>
      </c>
      <c r="C600" s="461" t="s">
        <v>1104</v>
      </c>
      <c r="D600" s="461">
        <v>11.17</v>
      </c>
      <c r="E600" s="461" t="s">
        <v>161</v>
      </c>
      <c r="F600" s="461" t="s">
        <v>8328</v>
      </c>
    </row>
    <row r="601" spans="1:6" ht="15" x14ac:dyDescent="0.25">
      <c r="A601" s="461">
        <v>765</v>
      </c>
      <c r="B601" s="460" t="s">
        <v>8872</v>
      </c>
      <c r="C601" s="461" t="s">
        <v>1104</v>
      </c>
      <c r="D601" s="461">
        <v>11.17</v>
      </c>
      <c r="E601" s="461" t="s">
        <v>161</v>
      </c>
      <c r="F601" s="461" t="s">
        <v>8328</v>
      </c>
    </row>
    <row r="602" spans="1:6" ht="15" x14ac:dyDescent="0.25">
      <c r="A602" s="461">
        <v>787</v>
      </c>
      <c r="B602" s="460" t="s">
        <v>8873</v>
      </c>
      <c r="C602" s="461" t="s">
        <v>1104</v>
      </c>
      <c r="D602" s="461">
        <v>49.89</v>
      </c>
      <c r="E602" s="461" t="s">
        <v>161</v>
      </c>
      <c r="F602" s="461" t="s">
        <v>8328</v>
      </c>
    </row>
    <row r="603" spans="1:6" ht="15" x14ac:dyDescent="0.25">
      <c r="A603" s="461">
        <v>774</v>
      </c>
      <c r="B603" s="460" t="s">
        <v>8874</v>
      </c>
      <c r="C603" s="461" t="s">
        <v>1104</v>
      </c>
      <c r="D603" s="461">
        <v>49.89</v>
      </c>
      <c r="E603" s="461" t="s">
        <v>161</v>
      </c>
      <c r="F603" s="461" t="s">
        <v>8328</v>
      </c>
    </row>
    <row r="604" spans="1:6" ht="15" x14ac:dyDescent="0.25">
      <c r="A604" s="461">
        <v>773</v>
      </c>
      <c r="B604" s="460" t="s">
        <v>8875</v>
      </c>
      <c r="C604" s="461" t="s">
        <v>1104</v>
      </c>
      <c r="D604" s="461">
        <v>49.89</v>
      </c>
      <c r="E604" s="461" t="s">
        <v>161</v>
      </c>
      <c r="F604" s="461" t="s">
        <v>8328</v>
      </c>
    </row>
    <row r="605" spans="1:6" ht="15" x14ac:dyDescent="0.25">
      <c r="A605" s="461">
        <v>775</v>
      </c>
      <c r="B605" s="460" t="s">
        <v>8876</v>
      </c>
      <c r="C605" s="461" t="s">
        <v>1104</v>
      </c>
      <c r="D605" s="461">
        <v>49.89</v>
      </c>
      <c r="E605" s="461" t="s">
        <v>161</v>
      </c>
      <c r="F605" s="461" t="s">
        <v>8328</v>
      </c>
    </row>
    <row r="606" spans="1:6" ht="15" x14ac:dyDescent="0.25">
      <c r="A606" s="461">
        <v>788</v>
      </c>
      <c r="B606" s="460" t="s">
        <v>8877</v>
      </c>
      <c r="C606" s="461" t="s">
        <v>1104</v>
      </c>
      <c r="D606" s="461">
        <v>31.01</v>
      </c>
      <c r="E606" s="461" t="s">
        <v>161</v>
      </c>
      <c r="F606" s="461" t="s">
        <v>8328</v>
      </c>
    </row>
    <row r="607" spans="1:6" ht="15" x14ac:dyDescent="0.25">
      <c r="A607" s="461">
        <v>772</v>
      </c>
      <c r="B607" s="460" t="s">
        <v>8878</v>
      </c>
      <c r="C607" s="461" t="s">
        <v>1104</v>
      </c>
      <c r="D607" s="461">
        <v>31.01</v>
      </c>
      <c r="E607" s="461" t="s">
        <v>161</v>
      </c>
      <c r="F607" s="461" t="s">
        <v>8328</v>
      </c>
    </row>
    <row r="608" spans="1:6" ht="15" x14ac:dyDescent="0.25">
      <c r="A608" s="461">
        <v>771</v>
      </c>
      <c r="B608" s="460" t="s">
        <v>8879</v>
      </c>
      <c r="C608" s="461" t="s">
        <v>1104</v>
      </c>
      <c r="D608" s="461">
        <v>31.01</v>
      </c>
      <c r="E608" s="461" t="s">
        <v>161</v>
      </c>
      <c r="F608" s="461" t="s">
        <v>8328</v>
      </c>
    </row>
    <row r="609" spans="1:6" ht="15" x14ac:dyDescent="0.25">
      <c r="A609" s="461">
        <v>779</v>
      </c>
      <c r="B609" s="460" t="s">
        <v>8880</v>
      </c>
      <c r="C609" s="461" t="s">
        <v>1104</v>
      </c>
      <c r="D609" s="461">
        <v>7.71</v>
      </c>
      <c r="E609" s="461" t="s">
        <v>161</v>
      </c>
      <c r="F609" s="461" t="s">
        <v>8328</v>
      </c>
    </row>
    <row r="610" spans="1:6" ht="15" x14ac:dyDescent="0.25">
      <c r="A610" s="461">
        <v>776</v>
      </c>
      <c r="B610" s="460" t="s">
        <v>8881</v>
      </c>
      <c r="C610" s="461" t="s">
        <v>1104</v>
      </c>
      <c r="D610" s="461">
        <v>73.55</v>
      </c>
      <c r="E610" s="461" t="s">
        <v>161</v>
      </c>
      <c r="F610" s="461" t="s">
        <v>8328</v>
      </c>
    </row>
    <row r="611" spans="1:6" ht="15" x14ac:dyDescent="0.25">
      <c r="A611" s="461">
        <v>777</v>
      </c>
      <c r="B611" s="460" t="s">
        <v>8882</v>
      </c>
      <c r="C611" s="461" t="s">
        <v>1104</v>
      </c>
      <c r="D611" s="461">
        <v>71.5</v>
      </c>
      <c r="E611" s="461" t="s">
        <v>161</v>
      </c>
      <c r="F611" s="461" t="s">
        <v>8328</v>
      </c>
    </row>
    <row r="612" spans="1:6" ht="15" x14ac:dyDescent="0.25">
      <c r="A612" s="461">
        <v>780</v>
      </c>
      <c r="B612" s="460" t="s">
        <v>8883</v>
      </c>
      <c r="C612" s="461" t="s">
        <v>1104</v>
      </c>
      <c r="D612" s="461">
        <v>71.86</v>
      </c>
      <c r="E612" s="461" t="s">
        <v>161</v>
      </c>
      <c r="F612" s="461" t="s">
        <v>8328</v>
      </c>
    </row>
    <row r="613" spans="1:6" ht="15" x14ac:dyDescent="0.25">
      <c r="A613" s="461">
        <v>778</v>
      </c>
      <c r="B613" s="460" t="s">
        <v>8884</v>
      </c>
      <c r="C613" s="461" t="s">
        <v>1104</v>
      </c>
      <c r="D613" s="461">
        <v>73.55</v>
      </c>
      <c r="E613" s="461" t="s">
        <v>161</v>
      </c>
      <c r="F613" s="461" t="s">
        <v>8328</v>
      </c>
    </row>
    <row r="614" spans="1:6" ht="15" x14ac:dyDescent="0.25">
      <c r="A614" s="461">
        <v>781</v>
      </c>
      <c r="B614" s="460" t="s">
        <v>8885</v>
      </c>
      <c r="C614" s="461" t="s">
        <v>1104</v>
      </c>
      <c r="D614" s="461">
        <v>135.9</v>
      </c>
      <c r="E614" s="461" t="s">
        <v>161</v>
      </c>
      <c r="F614" s="461" t="s">
        <v>8328</v>
      </c>
    </row>
    <row r="615" spans="1:6" ht="15" x14ac:dyDescent="0.25">
      <c r="A615" s="461">
        <v>786</v>
      </c>
      <c r="B615" s="460" t="s">
        <v>8886</v>
      </c>
      <c r="C615" s="461" t="s">
        <v>1104</v>
      </c>
      <c r="D615" s="461">
        <v>135.9</v>
      </c>
      <c r="E615" s="461" t="s">
        <v>161</v>
      </c>
      <c r="F615" s="461" t="s">
        <v>8328</v>
      </c>
    </row>
    <row r="616" spans="1:6" ht="15" x14ac:dyDescent="0.25">
      <c r="A616" s="461">
        <v>782</v>
      </c>
      <c r="B616" s="460" t="s">
        <v>8887</v>
      </c>
      <c r="C616" s="461" t="s">
        <v>1104</v>
      </c>
      <c r="D616" s="461">
        <v>135.9</v>
      </c>
      <c r="E616" s="461" t="s">
        <v>161</v>
      </c>
      <c r="F616" s="461" t="s">
        <v>8328</v>
      </c>
    </row>
    <row r="617" spans="1:6" ht="15" x14ac:dyDescent="0.25">
      <c r="A617" s="461">
        <v>783</v>
      </c>
      <c r="B617" s="460" t="s">
        <v>8888</v>
      </c>
      <c r="C617" s="461" t="s">
        <v>1104</v>
      </c>
      <c r="D617" s="461">
        <v>371.95</v>
      </c>
      <c r="E617" s="461" t="s">
        <v>161</v>
      </c>
      <c r="F617" s="461" t="s">
        <v>8328</v>
      </c>
    </row>
    <row r="618" spans="1:6" ht="15" x14ac:dyDescent="0.25">
      <c r="A618" s="461">
        <v>785</v>
      </c>
      <c r="B618" s="460" t="s">
        <v>8889</v>
      </c>
      <c r="C618" s="461" t="s">
        <v>1104</v>
      </c>
      <c r="D618" s="461">
        <v>393</v>
      </c>
      <c r="E618" s="461" t="s">
        <v>161</v>
      </c>
      <c r="F618" s="461" t="s">
        <v>8328</v>
      </c>
    </row>
    <row r="619" spans="1:6" ht="15" x14ac:dyDescent="0.25">
      <c r="A619" s="461">
        <v>784</v>
      </c>
      <c r="B619" s="460" t="s">
        <v>8890</v>
      </c>
      <c r="C619" s="461" t="s">
        <v>1104</v>
      </c>
      <c r="D619" s="461">
        <v>421.59</v>
      </c>
      <c r="E619" s="461" t="s">
        <v>161</v>
      </c>
      <c r="F619" s="461" t="s">
        <v>8328</v>
      </c>
    </row>
    <row r="620" spans="1:6" ht="30" x14ac:dyDescent="0.25">
      <c r="A620" s="461">
        <v>828</v>
      </c>
      <c r="B620" s="460" t="s">
        <v>8891</v>
      </c>
      <c r="C620" s="461" t="s">
        <v>1104</v>
      </c>
      <c r="D620" s="461">
        <v>0.57999999999999996</v>
      </c>
      <c r="E620" s="461" t="s">
        <v>161</v>
      </c>
      <c r="F620" s="461" t="s">
        <v>8326</v>
      </c>
    </row>
    <row r="621" spans="1:6" ht="30" x14ac:dyDescent="0.25">
      <c r="A621" s="461">
        <v>829</v>
      </c>
      <c r="B621" s="460" t="s">
        <v>8892</v>
      </c>
      <c r="C621" s="461" t="s">
        <v>1104</v>
      </c>
      <c r="D621" s="461">
        <v>0.94</v>
      </c>
      <c r="E621" s="461" t="s">
        <v>161</v>
      </c>
      <c r="F621" s="461" t="s">
        <v>8326</v>
      </c>
    </row>
    <row r="622" spans="1:6" ht="30" x14ac:dyDescent="0.25">
      <c r="A622" s="461">
        <v>812</v>
      </c>
      <c r="B622" s="460" t="s">
        <v>8893</v>
      </c>
      <c r="C622" s="461" t="s">
        <v>1104</v>
      </c>
      <c r="D622" s="461">
        <v>2.0699999999999998</v>
      </c>
      <c r="E622" s="461" t="s">
        <v>161</v>
      </c>
      <c r="F622" s="461" t="s">
        <v>8326</v>
      </c>
    </row>
    <row r="623" spans="1:6" ht="30" x14ac:dyDescent="0.25">
      <c r="A623" s="461">
        <v>819</v>
      </c>
      <c r="B623" s="460" t="s">
        <v>8894</v>
      </c>
      <c r="C623" s="461" t="s">
        <v>1104</v>
      </c>
      <c r="D623" s="461">
        <v>3.59</v>
      </c>
      <c r="E623" s="461" t="s">
        <v>161</v>
      </c>
      <c r="F623" s="461" t="s">
        <v>8326</v>
      </c>
    </row>
    <row r="624" spans="1:6" ht="30" x14ac:dyDescent="0.25">
      <c r="A624" s="461">
        <v>818</v>
      </c>
      <c r="B624" s="460" t="s">
        <v>8895</v>
      </c>
      <c r="C624" s="461" t="s">
        <v>1104</v>
      </c>
      <c r="D624" s="461">
        <v>6.7</v>
      </c>
      <c r="E624" s="461" t="s">
        <v>161</v>
      </c>
      <c r="F624" s="461" t="s">
        <v>8326</v>
      </c>
    </row>
    <row r="625" spans="1:6" ht="30" x14ac:dyDescent="0.25">
      <c r="A625" s="461">
        <v>832</v>
      </c>
      <c r="B625" s="460" t="s">
        <v>8896</v>
      </c>
      <c r="C625" s="461" t="s">
        <v>1104</v>
      </c>
      <c r="D625" s="461">
        <v>2.76</v>
      </c>
      <c r="E625" s="461" t="s">
        <v>161</v>
      </c>
      <c r="F625" s="461" t="s">
        <v>8326</v>
      </c>
    </row>
    <row r="626" spans="1:6" ht="30" x14ac:dyDescent="0.25">
      <c r="A626" s="461">
        <v>834</v>
      </c>
      <c r="B626" s="460" t="s">
        <v>8897</v>
      </c>
      <c r="C626" s="461" t="s">
        <v>1104</v>
      </c>
      <c r="D626" s="461">
        <v>3.58</v>
      </c>
      <c r="E626" s="461" t="s">
        <v>161</v>
      </c>
      <c r="F626" s="461" t="s">
        <v>8326</v>
      </c>
    </row>
    <row r="627" spans="1:6" ht="30" x14ac:dyDescent="0.25">
      <c r="A627" s="461">
        <v>813</v>
      </c>
      <c r="B627" s="460" t="s">
        <v>8898</v>
      </c>
      <c r="C627" s="461" t="s">
        <v>1104</v>
      </c>
      <c r="D627" s="461">
        <v>4.17</v>
      </c>
      <c r="E627" s="461" t="s">
        <v>161</v>
      </c>
      <c r="F627" s="461" t="s">
        <v>8326</v>
      </c>
    </row>
    <row r="628" spans="1:6" ht="30" x14ac:dyDescent="0.25">
      <c r="A628" s="461">
        <v>820</v>
      </c>
      <c r="B628" s="460" t="s">
        <v>8899</v>
      </c>
      <c r="C628" s="461" t="s">
        <v>1104</v>
      </c>
      <c r="D628" s="461">
        <v>5.61</v>
      </c>
      <c r="E628" s="461" t="s">
        <v>161</v>
      </c>
      <c r="F628" s="461" t="s">
        <v>8326</v>
      </c>
    </row>
    <row r="629" spans="1:6" ht="30" x14ac:dyDescent="0.25">
      <c r="A629" s="461">
        <v>816</v>
      </c>
      <c r="B629" s="460" t="s">
        <v>8900</v>
      </c>
      <c r="C629" s="461" t="s">
        <v>1104</v>
      </c>
      <c r="D629" s="461">
        <v>10</v>
      </c>
      <c r="E629" s="461" t="s">
        <v>161</v>
      </c>
      <c r="F629" s="461" t="s">
        <v>8326</v>
      </c>
    </row>
    <row r="630" spans="1:6" ht="30" x14ac:dyDescent="0.25">
      <c r="A630" s="461">
        <v>814</v>
      </c>
      <c r="B630" s="460" t="s">
        <v>8901</v>
      </c>
      <c r="C630" s="461" t="s">
        <v>1104</v>
      </c>
      <c r="D630" s="461">
        <v>12.42</v>
      </c>
      <c r="E630" s="461" t="s">
        <v>161</v>
      </c>
      <c r="F630" s="461" t="s">
        <v>8326</v>
      </c>
    </row>
    <row r="631" spans="1:6" ht="30" x14ac:dyDescent="0.25">
      <c r="A631" s="461">
        <v>822</v>
      </c>
      <c r="B631" s="460" t="s">
        <v>8902</v>
      </c>
      <c r="C631" s="461" t="s">
        <v>1104</v>
      </c>
      <c r="D631" s="461">
        <v>16.21</v>
      </c>
      <c r="E631" s="461" t="s">
        <v>161</v>
      </c>
      <c r="F631" s="461" t="s">
        <v>8326</v>
      </c>
    </row>
    <row r="632" spans="1:6" ht="30" x14ac:dyDescent="0.25">
      <c r="A632" s="461">
        <v>821</v>
      </c>
      <c r="B632" s="460" t="s">
        <v>8903</v>
      </c>
      <c r="C632" s="461" t="s">
        <v>1104</v>
      </c>
      <c r="D632" s="461">
        <v>18.54</v>
      </c>
      <c r="E632" s="461" t="s">
        <v>161</v>
      </c>
      <c r="F632" s="461" t="s">
        <v>8326</v>
      </c>
    </row>
    <row r="633" spans="1:6" ht="15" x14ac:dyDescent="0.25">
      <c r="A633" s="461">
        <v>20086</v>
      </c>
      <c r="B633" s="460" t="s">
        <v>8904</v>
      </c>
      <c r="C633" s="461" t="s">
        <v>1104</v>
      </c>
      <c r="D633" s="461">
        <v>2.58</v>
      </c>
      <c r="E633" s="461" t="s">
        <v>161</v>
      </c>
      <c r="F633" s="461" t="s">
        <v>8326</v>
      </c>
    </row>
    <row r="634" spans="1:6" ht="30" x14ac:dyDescent="0.25">
      <c r="A634" s="461">
        <v>39191</v>
      </c>
      <c r="B634" s="460" t="s">
        <v>8905</v>
      </c>
      <c r="C634" s="461" t="s">
        <v>1104</v>
      </c>
      <c r="D634" s="461">
        <v>17.649999999999999</v>
      </c>
      <c r="E634" s="461" t="s">
        <v>161</v>
      </c>
      <c r="F634" s="461" t="s">
        <v>8326</v>
      </c>
    </row>
    <row r="635" spans="1:6" ht="15" x14ac:dyDescent="0.25">
      <c r="A635" s="461">
        <v>39190</v>
      </c>
      <c r="B635" s="460" t="s">
        <v>8906</v>
      </c>
      <c r="C635" s="461" t="s">
        <v>1104</v>
      </c>
      <c r="D635" s="461">
        <v>18.440000000000001</v>
      </c>
      <c r="E635" s="461" t="s">
        <v>161</v>
      </c>
      <c r="F635" s="461" t="s">
        <v>8326</v>
      </c>
    </row>
    <row r="636" spans="1:6" ht="15" x14ac:dyDescent="0.25">
      <c r="A636" s="461">
        <v>39189</v>
      </c>
      <c r="B636" s="460" t="s">
        <v>8907</v>
      </c>
      <c r="C636" s="461" t="s">
        <v>1104</v>
      </c>
      <c r="D636" s="461">
        <v>19.510000000000002</v>
      </c>
      <c r="E636" s="461" t="s">
        <v>161</v>
      </c>
      <c r="F636" s="461" t="s">
        <v>8326</v>
      </c>
    </row>
    <row r="637" spans="1:6" ht="15" x14ac:dyDescent="0.25">
      <c r="A637" s="461">
        <v>39186</v>
      </c>
      <c r="B637" s="460" t="s">
        <v>8908</v>
      </c>
      <c r="C637" s="461" t="s">
        <v>1104</v>
      </c>
      <c r="D637" s="461">
        <v>17.46</v>
      </c>
      <c r="E637" s="461" t="s">
        <v>161</v>
      </c>
      <c r="F637" s="461" t="s">
        <v>8326</v>
      </c>
    </row>
    <row r="638" spans="1:6" ht="15" x14ac:dyDescent="0.25">
      <c r="A638" s="461">
        <v>39188</v>
      </c>
      <c r="B638" s="460" t="s">
        <v>8909</v>
      </c>
      <c r="C638" s="461" t="s">
        <v>1104</v>
      </c>
      <c r="D638" s="461">
        <v>14.36</v>
      </c>
      <c r="E638" s="461" t="s">
        <v>161</v>
      </c>
      <c r="F638" s="461" t="s">
        <v>8326</v>
      </c>
    </row>
    <row r="639" spans="1:6" ht="15" x14ac:dyDescent="0.25">
      <c r="A639" s="461">
        <v>39187</v>
      </c>
      <c r="B639" s="460" t="s">
        <v>8910</v>
      </c>
      <c r="C639" s="461" t="s">
        <v>1104</v>
      </c>
      <c r="D639" s="461">
        <v>15.06</v>
      </c>
      <c r="E639" s="461" t="s">
        <v>161</v>
      </c>
      <c r="F639" s="461" t="s">
        <v>8326</v>
      </c>
    </row>
    <row r="640" spans="1:6" ht="15" x14ac:dyDescent="0.25">
      <c r="A640" s="461">
        <v>39184</v>
      </c>
      <c r="B640" s="460" t="s">
        <v>8911</v>
      </c>
      <c r="C640" s="461" t="s">
        <v>1104</v>
      </c>
      <c r="D640" s="461">
        <v>5.66</v>
      </c>
      <c r="E640" s="461" t="s">
        <v>161</v>
      </c>
      <c r="F640" s="461" t="s">
        <v>8326</v>
      </c>
    </row>
    <row r="641" spans="1:6" ht="15" x14ac:dyDescent="0.25">
      <c r="A641" s="461">
        <v>39185</v>
      </c>
      <c r="B641" s="460" t="s">
        <v>8912</v>
      </c>
      <c r="C641" s="461" t="s">
        <v>1104</v>
      </c>
      <c r="D641" s="461">
        <v>5.16</v>
      </c>
      <c r="E641" s="461" t="s">
        <v>161</v>
      </c>
      <c r="F641" s="461" t="s">
        <v>8326</v>
      </c>
    </row>
    <row r="642" spans="1:6" ht="30" x14ac:dyDescent="0.25">
      <c r="A642" s="461">
        <v>39198</v>
      </c>
      <c r="B642" s="460" t="s">
        <v>8913</v>
      </c>
      <c r="C642" s="461" t="s">
        <v>1104</v>
      </c>
      <c r="D642" s="461">
        <v>57.9</v>
      </c>
      <c r="E642" s="461" t="s">
        <v>161</v>
      </c>
      <c r="F642" s="461" t="s">
        <v>8326</v>
      </c>
    </row>
    <row r="643" spans="1:6" ht="30" x14ac:dyDescent="0.25">
      <c r="A643" s="461">
        <v>39197</v>
      </c>
      <c r="B643" s="460" t="s">
        <v>8914</v>
      </c>
      <c r="C643" s="461" t="s">
        <v>1104</v>
      </c>
      <c r="D643" s="461">
        <v>60.49</v>
      </c>
      <c r="E643" s="461" t="s">
        <v>161</v>
      </c>
      <c r="F643" s="461" t="s">
        <v>8326</v>
      </c>
    </row>
    <row r="644" spans="1:6" ht="15" x14ac:dyDescent="0.25">
      <c r="A644" s="461">
        <v>39196</v>
      </c>
      <c r="B644" s="460" t="s">
        <v>8915</v>
      </c>
      <c r="C644" s="461" t="s">
        <v>1104</v>
      </c>
      <c r="D644" s="461">
        <v>62.38</v>
      </c>
      <c r="E644" s="461" t="s">
        <v>161</v>
      </c>
      <c r="F644" s="461" t="s">
        <v>8326</v>
      </c>
    </row>
    <row r="645" spans="1:6" ht="15" x14ac:dyDescent="0.25">
      <c r="A645" s="461">
        <v>39199</v>
      </c>
      <c r="B645" s="460" t="s">
        <v>8916</v>
      </c>
      <c r="C645" s="461" t="s">
        <v>1104</v>
      </c>
      <c r="D645" s="461">
        <v>55.72</v>
      </c>
      <c r="E645" s="461" t="s">
        <v>161</v>
      </c>
      <c r="F645" s="461" t="s">
        <v>8326</v>
      </c>
    </row>
    <row r="646" spans="1:6" ht="15" x14ac:dyDescent="0.25">
      <c r="A646" s="461">
        <v>39195</v>
      </c>
      <c r="B646" s="460" t="s">
        <v>8917</v>
      </c>
      <c r="C646" s="461" t="s">
        <v>1104</v>
      </c>
      <c r="D646" s="461">
        <v>32.159999999999997</v>
      </c>
      <c r="E646" s="461" t="s">
        <v>161</v>
      </c>
      <c r="F646" s="461" t="s">
        <v>8326</v>
      </c>
    </row>
    <row r="647" spans="1:6" ht="15" x14ac:dyDescent="0.25">
      <c r="A647" s="461">
        <v>39194</v>
      </c>
      <c r="B647" s="460" t="s">
        <v>8918</v>
      </c>
      <c r="C647" s="461" t="s">
        <v>1104</v>
      </c>
      <c r="D647" s="461">
        <v>34.42</v>
      </c>
      <c r="E647" s="461" t="s">
        <v>161</v>
      </c>
      <c r="F647" s="461" t="s">
        <v>8326</v>
      </c>
    </row>
    <row r="648" spans="1:6" ht="15" x14ac:dyDescent="0.25">
      <c r="A648" s="461">
        <v>39193</v>
      </c>
      <c r="B648" s="460" t="s">
        <v>8919</v>
      </c>
      <c r="C648" s="461" t="s">
        <v>1104</v>
      </c>
      <c r="D648" s="461">
        <v>37.72</v>
      </c>
      <c r="E648" s="461" t="s">
        <v>161</v>
      </c>
      <c r="F648" s="461" t="s">
        <v>8326</v>
      </c>
    </row>
    <row r="649" spans="1:6" ht="15" x14ac:dyDescent="0.25">
      <c r="A649" s="461">
        <v>39192</v>
      </c>
      <c r="B649" s="460" t="s">
        <v>8920</v>
      </c>
      <c r="C649" s="461" t="s">
        <v>1104</v>
      </c>
      <c r="D649" s="461">
        <v>39.24</v>
      </c>
      <c r="E649" s="461" t="s">
        <v>161</v>
      </c>
      <c r="F649" s="461" t="s">
        <v>8326</v>
      </c>
    </row>
    <row r="650" spans="1:6" ht="15" x14ac:dyDescent="0.25">
      <c r="A650" s="461">
        <v>39920</v>
      </c>
      <c r="B650" s="460" t="s">
        <v>8921</v>
      </c>
      <c r="C650" s="461" t="s">
        <v>1104</v>
      </c>
      <c r="D650" s="461">
        <v>4.75</v>
      </c>
      <c r="E650" s="461" t="s">
        <v>161</v>
      </c>
      <c r="F650" s="461" t="s">
        <v>8326</v>
      </c>
    </row>
    <row r="651" spans="1:6" ht="15" x14ac:dyDescent="0.25">
      <c r="A651" s="461">
        <v>39201</v>
      </c>
      <c r="B651" s="460" t="s">
        <v>8922</v>
      </c>
      <c r="C651" s="461" t="s">
        <v>1104</v>
      </c>
      <c r="D651" s="461">
        <v>69.23</v>
      </c>
      <c r="E651" s="461" t="s">
        <v>161</v>
      </c>
      <c r="F651" s="461" t="s">
        <v>8326</v>
      </c>
    </row>
    <row r="652" spans="1:6" ht="15" x14ac:dyDescent="0.25">
      <c r="A652" s="461">
        <v>39200</v>
      </c>
      <c r="B652" s="460" t="s">
        <v>8923</v>
      </c>
      <c r="C652" s="461" t="s">
        <v>1104</v>
      </c>
      <c r="D652" s="461">
        <v>69.790000000000006</v>
      </c>
      <c r="E652" s="461" t="s">
        <v>161</v>
      </c>
      <c r="F652" s="461" t="s">
        <v>8326</v>
      </c>
    </row>
    <row r="653" spans="1:6" ht="15" x14ac:dyDescent="0.25">
      <c r="A653" s="461">
        <v>39203</v>
      </c>
      <c r="B653" s="460" t="s">
        <v>8924</v>
      </c>
      <c r="C653" s="461" t="s">
        <v>1104</v>
      </c>
      <c r="D653" s="461">
        <v>56.35</v>
      </c>
      <c r="E653" s="461" t="s">
        <v>161</v>
      </c>
      <c r="F653" s="461" t="s">
        <v>8326</v>
      </c>
    </row>
    <row r="654" spans="1:6" ht="15" x14ac:dyDescent="0.25">
      <c r="A654" s="461">
        <v>39202</v>
      </c>
      <c r="B654" s="460" t="s">
        <v>8925</v>
      </c>
      <c r="C654" s="461" t="s">
        <v>1104</v>
      </c>
      <c r="D654" s="461">
        <v>66.19</v>
      </c>
      <c r="E654" s="461" t="s">
        <v>161</v>
      </c>
      <c r="F654" s="461" t="s">
        <v>8326</v>
      </c>
    </row>
    <row r="655" spans="1:6" ht="15" x14ac:dyDescent="0.25">
      <c r="A655" s="461">
        <v>39205</v>
      </c>
      <c r="B655" s="460" t="s">
        <v>8926</v>
      </c>
      <c r="C655" s="461" t="s">
        <v>1104</v>
      </c>
      <c r="D655" s="461">
        <v>110.43</v>
      </c>
      <c r="E655" s="461" t="s">
        <v>161</v>
      </c>
      <c r="F655" s="461" t="s">
        <v>8326</v>
      </c>
    </row>
    <row r="656" spans="1:6" ht="15" x14ac:dyDescent="0.25">
      <c r="A656" s="461">
        <v>39204</v>
      </c>
      <c r="B656" s="460" t="s">
        <v>8927</v>
      </c>
      <c r="C656" s="461" t="s">
        <v>1104</v>
      </c>
      <c r="D656" s="461">
        <v>113.1</v>
      </c>
      <c r="E656" s="461" t="s">
        <v>161</v>
      </c>
      <c r="F656" s="461" t="s">
        <v>8326</v>
      </c>
    </row>
    <row r="657" spans="1:6" ht="15" x14ac:dyDescent="0.25">
      <c r="A657" s="461">
        <v>39206</v>
      </c>
      <c r="B657" s="460" t="s">
        <v>8928</v>
      </c>
      <c r="C657" s="461" t="s">
        <v>1104</v>
      </c>
      <c r="D657" s="461">
        <v>107.3</v>
      </c>
      <c r="E657" s="461" t="s">
        <v>161</v>
      </c>
      <c r="F657" s="461" t="s">
        <v>8326</v>
      </c>
    </row>
    <row r="658" spans="1:6" ht="15" x14ac:dyDescent="0.25">
      <c r="A658" s="461">
        <v>798</v>
      </c>
      <c r="B658" s="460" t="s">
        <v>8929</v>
      </c>
      <c r="C658" s="461" t="s">
        <v>1104</v>
      </c>
      <c r="D658" s="461">
        <v>1.1499999999999999</v>
      </c>
      <c r="E658" s="461" t="s">
        <v>161</v>
      </c>
      <c r="F658" s="461" t="s">
        <v>8326</v>
      </c>
    </row>
    <row r="659" spans="1:6" ht="15" x14ac:dyDescent="0.25">
      <c r="A659" s="461">
        <v>797</v>
      </c>
      <c r="B659" s="460" t="s">
        <v>8930</v>
      </c>
      <c r="C659" s="461" t="s">
        <v>1104</v>
      </c>
      <c r="D659" s="461">
        <v>8.39</v>
      </c>
      <c r="E659" s="461" t="s">
        <v>161</v>
      </c>
      <c r="F659" s="461" t="s">
        <v>8326</v>
      </c>
    </row>
    <row r="660" spans="1:6" ht="15" x14ac:dyDescent="0.25">
      <c r="A660" s="461">
        <v>796</v>
      </c>
      <c r="B660" s="460" t="s">
        <v>8931</v>
      </c>
      <c r="C660" s="461" t="s">
        <v>1104</v>
      </c>
      <c r="D660" s="461">
        <v>7.13</v>
      </c>
      <c r="E660" s="461" t="s">
        <v>161</v>
      </c>
      <c r="F660" s="461" t="s">
        <v>8326</v>
      </c>
    </row>
    <row r="661" spans="1:6" ht="15" x14ac:dyDescent="0.25">
      <c r="A661" s="461">
        <v>799</v>
      </c>
      <c r="B661" s="460" t="s">
        <v>8932</v>
      </c>
      <c r="C661" s="461" t="s">
        <v>1104</v>
      </c>
      <c r="D661" s="461">
        <v>3.45</v>
      </c>
      <c r="E661" s="461" t="s">
        <v>161</v>
      </c>
      <c r="F661" s="461" t="s">
        <v>8326</v>
      </c>
    </row>
    <row r="662" spans="1:6" ht="15" x14ac:dyDescent="0.25">
      <c r="A662" s="461">
        <v>792</v>
      </c>
      <c r="B662" s="460" t="s">
        <v>8933</v>
      </c>
      <c r="C662" s="461" t="s">
        <v>1104</v>
      </c>
      <c r="D662" s="461">
        <v>3.34</v>
      </c>
      <c r="E662" s="461" t="s">
        <v>161</v>
      </c>
      <c r="F662" s="461" t="s">
        <v>8326</v>
      </c>
    </row>
    <row r="663" spans="1:6" ht="15" x14ac:dyDescent="0.25">
      <c r="A663" s="461">
        <v>38001</v>
      </c>
      <c r="B663" s="460" t="s">
        <v>8934</v>
      </c>
      <c r="C663" s="461" t="s">
        <v>1104</v>
      </c>
      <c r="D663" s="461">
        <v>0.97</v>
      </c>
      <c r="E663" s="461" t="s">
        <v>161</v>
      </c>
      <c r="F663" s="461" t="s">
        <v>8326</v>
      </c>
    </row>
    <row r="664" spans="1:6" ht="15" x14ac:dyDescent="0.25">
      <c r="A664" s="461">
        <v>38002</v>
      </c>
      <c r="B664" s="460" t="s">
        <v>8935</v>
      </c>
      <c r="C664" s="461" t="s">
        <v>1104</v>
      </c>
      <c r="D664" s="461">
        <v>3.38</v>
      </c>
      <c r="E664" s="461" t="s">
        <v>161</v>
      </c>
      <c r="F664" s="461" t="s">
        <v>8326</v>
      </c>
    </row>
    <row r="665" spans="1:6" ht="15" x14ac:dyDescent="0.25">
      <c r="A665" s="461">
        <v>38003</v>
      </c>
      <c r="B665" s="460" t="s">
        <v>8936</v>
      </c>
      <c r="C665" s="461" t="s">
        <v>1104</v>
      </c>
      <c r="D665" s="461">
        <v>23.11</v>
      </c>
      <c r="E665" s="461" t="s">
        <v>161</v>
      </c>
      <c r="F665" s="461" t="s">
        <v>8326</v>
      </c>
    </row>
    <row r="666" spans="1:6" ht="15" x14ac:dyDescent="0.25">
      <c r="A666" s="461">
        <v>38004</v>
      </c>
      <c r="B666" s="460" t="s">
        <v>8937</v>
      </c>
      <c r="C666" s="461" t="s">
        <v>1104</v>
      </c>
      <c r="D666" s="461">
        <v>26.57</v>
      </c>
      <c r="E666" s="461" t="s">
        <v>161</v>
      </c>
      <c r="F666" s="461" t="s">
        <v>8326</v>
      </c>
    </row>
    <row r="667" spans="1:6" ht="15" x14ac:dyDescent="0.25">
      <c r="A667" s="461">
        <v>44263</v>
      </c>
      <c r="B667" s="460" t="s">
        <v>8938</v>
      </c>
      <c r="C667" s="461" t="s">
        <v>1104</v>
      </c>
      <c r="D667" s="461">
        <v>47.71</v>
      </c>
      <c r="E667" s="461" t="s">
        <v>161</v>
      </c>
      <c r="F667" s="461" t="s">
        <v>8326</v>
      </c>
    </row>
    <row r="668" spans="1:6" ht="15" x14ac:dyDescent="0.25">
      <c r="A668" s="461">
        <v>36327</v>
      </c>
      <c r="B668" s="460" t="s">
        <v>8939</v>
      </c>
      <c r="C668" s="461" t="s">
        <v>1104</v>
      </c>
      <c r="D668" s="461">
        <v>4.45</v>
      </c>
      <c r="E668" s="461" t="s">
        <v>161</v>
      </c>
      <c r="F668" s="461" t="s">
        <v>8326</v>
      </c>
    </row>
    <row r="669" spans="1:6" ht="15" x14ac:dyDescent="0.25">
      <c r="A669" s="461">
        <v>38992</v>
      </c>
      <c r="B669" s="460" t="s">
        <v>8940</v>
      </c>
      <c r="C669" s="461" t="s">
        <v>1104</v>
      </c>
      <c r="D669" s="461">
        <v>5.41</v>
      </c>
      <c r="E669" s="461" t="s">
        <v>161</v>
      </c>
      <c r="F669" s="461" t="s">
        <v>8326</v>
      </c>
    </row>
    <row r="670" spans="1:6" ht="15" x14ac:dyDescent="0.25">
      <c r="A670" s="461">
        <v>38993</v>
      </c>
      <c r="B670" s="460" t="s">
        <v>8941</v>
      </c>
      <c r="C670" s="461" t="s">
        <v>1104</v>
      </c>
      <c r="D670" s="461">
        <v>14.07</v>
      </c>
      <c r="E670" s="461" t="s">
        <v>161</v>
      </c>
      <c r="F670" s="461" t="s">
        <v>8326</v>
      </c>
    </row>
    <row r="671" spans="1:6" ht="15" x14ac:dyDescent="0.25">
      <c r="A671" s="461">
        <v>44175</v>
      </c>
      <c r="B671" s="460" t="s">
        <v>8942</v>
      </c>
      <c r="C671" s="461" t="s">
        <v>1104</v>
      </c>
      <c r="D671" s="461">
        <v>24.54</v>
      </c>
      <c r="E671" s="461" t="s">
        <v>161</v>
      </c>
      <c r="F671" s="461" t="s">
        <v>8326</v>
      </c>
    </row>
    <row r="672" spans="1:6" ht="15" x14ac:dyDescent="0.25">
      <c r="A672" s="461">
        <v>44177</v>
      </c>
      <c r="B672" s="460" t="s">
        <v>8943</v>
      </c>
      <c r="C672" s="461" t="s">
        <v>1104</v>
      </c>
      <c r="D672" s="461">
        <v>18.34</v>
      </c>
      <c r="E672" s="461" t="s">
        <v>161</v>
      </c>
      <c r="F672" s="461" t="s">
        <v>8326</v>
      </c>
    </row>
    <row r="673" spans="1:6" ht="15" x14ac:dyDescent="0.25">
      <c r="A673" s="461">
        <v>38418</v>
      </c>
      <c r="B673" s="460" t="s">
        <v>8944</v>
      </c>
      <c r="C673" s="461" t="s">
        <v>1104</v>
      </c>
      <c r="D673" s="461">
        <v>4.4400000000000004</v>
      </c>
      <c r="E673" s="461" t="s">
        <v>161</v>
      </c>
      <c r="F673" s="461" t="s">
        <v>8326</v>
      </c>
    </row>
    <row r="674" spans="1:6" ht="15" x14ac:dyDescent="0.25">
      <c r="A674" s="461">
        <v>39178</v>
      </c>
      <c r="B674" s="460" t="s">
        <v>13113</v>
      </c>
      <c r="C674" s="461" t="s">
        <v>1104</v>
      </c>
      <c r="D674" s="461">
        <v>1.91</v>
      </c>
      <c r="E674" s="461" t="s">
        <v>161</v>
      </c>
      <c r="F674" s="461" t="s">
        <v>8326</v>
      </c>
    </row>
    <row r="675" spans="1:6" ht="15" x14ac:dyDescent="0.25">
      <c r="A675" s="461">
        <v>39177</v>
      </c>
      <c r="B675" s="460" t="s">
        <v>8945</v>
      </c>
      <c r="C675" s="461" t="s">
        <v>1104</v>
      </c>
      <c r="D675" s="461">
        <v>1.72</v>
      </c>
      <c r="E675" s="461" t="s">
        <v>161</v>
      </c>
      <c r="F675" s="461" t="s">
        <v>8326</v>
      </c>
    </row>
    <row r="676" spans="1:6" ht="15" x14ac:dyDescent="0.25">
      <c r="A676" s="461">
        <v>39174</v>
      </c>
      <c r="B676" s="460" t="s">
        <v>8946</v>
      </c>
      <c r="C676" s="461" t="s">
        <v>1104</v>
      </c>
      <c r="D676" s="461">
        <v>0.86</v>
      </c>
      <c r="E676" s="461" t="s">
        <v>161</v>
      </c>
      <c r="F676" s="461" t="s">
        <v>8326</v>
      </c>
    </row>
    <row r="677" spans="1:6" ht="15" x14ac:dyDescent="0.25">
      <c r="A677" s="461">
        <v>39176</v>
      </c>
      <c r="B677" s="460" t="s">
        <v>8947</v>
      </c>
      <c r="C677" s="461" t="s">
        <v>1104</v>
      </c>
      <c r="D677" s="461">
        <v>1.1299999999999999</v>
      </c>
      <c r="E677" s="461" t="s">
        <v>161</v>
      </c>
      <c r="F677" s="461" t="s">
        <v>8326</v>
      </c>
    </row>
    <row r="678" spans="1:6" ht="15" x14ac:dyDescent="0.25">
      <c r="A678" s="461">
        <v>39180</v>
      </c>
      <c r="B678" s="460" t="s">
        <v>8948</v>
      </c>
      <c r="C678" s="461" t="s">
        <v>1104</v>
      </c>
      <c r="D678" s="461">
        <v>5.18</v>
      </c>
      <c r="E678" s="461" t="s">
        <v>161</v>
      </c>
      <c r="F678" s="461" t="s">
        <v>8326</v>
      </c>
    </row>
    <row r="679" spans="1:6" ht="15" x14ac:dyDescent="0.25">
      <c r="A679" s="461">
        <v>39179</v>
      </c>
      <c r="B679" s="460" t="s">
        <v>8949</v>
      </c>
      <c r="C679" s="461" t="s">
        <v>1104</v>
      </c>
      <c r="D679" s="461">
        <v>4.59</v>
      </c>
      <c r="E679" s="461" t="s">
        <v>161</v>
      </c>
      <c r="F679" s="461" t="s">
        <v>8326</v>
      </c>
    </row>
    <row r="680" spans="1:6" ht="15" x14ac:dyDescent="0.25">
      <c r="A680" s="461">
        <v>39175</v>
      </c>
      <c r="B680" s="460" t="s">
        <v>8950</v>
      </c>
      <c r="C680" s="461" t="s">
        <v>1104</v>
      </c>
      <c r="D680" s="461">
        <v>1.05</v>
      </c>
      <c r="E680" s="461" t="s">
        <v>161</v>
      </c>
      <c r="F680" s="461" t="s">
        <v>8326</v>
      </c>
    </row>
    <row r="681" spans="1:6" ht="15" x14ac:dyDescent="0.25">
      <c r="A681" s="461">
        <v>39217</v>
      </c>
      <c r="B681" s="460" t="s">
        <v>8951</v>
      </c>
      <c r="C681" s="461" t="s">
        <v>1104</v>
      </c>
      <c r="D681" s="461">
        <v>0.81</v>
      </c>
      <c r="E681" s="461" t="s">
        <v>161</v>
      </c>
      <c r="F681" s="461" t="s">
        <v>8326</v>
      </c>
    </row>
    <row r="682" spans="1:6" ht="15" x14ac:dyDescent="0.25">
      <c r="A682" s="461">
        <v>39181</v>
      </c>
      <c r="B682" s="460" t="s">
        <v>8952</v>
      </c>
      <c r="C682" s="461" t="s">
        <v>1104</v>
      </c>
      <c r="D682" s="461">
        <v>6.95</v>
      </c>
      <c r="E682" s="461" t="s">
        <v>161</v>
      </c>
      <c r="F682" s="461" t="s">
        <v>8326</v>
      </c>
    </row>
    <row r="683" spans="1:6" ht="15" x14ac:dyDescent="0.25">
      <c r="A683" s="461">
        <v>39182</v>
      </c>
      <c r="B683" s="460" t="s">
        <v>8953</v>
      </c>
      <c r="C683" s="461" t="s">
        <v>1104</v>
      </c>
      <c r="D683" s="461">
        <v>9.77</v>
      </c>
      <c r="E683" s="461" t="s">
        <v>161</v>
      </c>
      <c r="F683" s="461" t="s">
        <v>8326</v>
      </c>
    </row>
    <row r="684" spans="1:6" ht="30" x14ac:dyDescent="0.25">
      <c r="A684" s="461">
        <v>12616</v>
      </c>
      <c r="B684" s="460" t="s">
        <v>8954</v>
      </c>
      <c r="C684" s="461" t="s">
        <v>1104</v>
      </c>
      <c r="D684" s="461">
        <v>13.71</v>
      </c>
      <c r="E684" s="461" t="s">
        <v>161</v>
      </c>
      <c r="F684" s="461" t="s">
        <v>8326</v>
      </c>
    </row>
    <row r="685" spans="1:6" ht="45" x14ac:dyDescent="0.25">
      <c r="A685" s="461">
        <v>1049</v>
      </c>
      <c r="B685" s="460" t="s">
        <v>8955</v>
      </c>
      <c r="C685" s="461" t="s">
        <v>1104</v>
      </c>
      <c r="D685" s="461">
        <v>8.18</v>
      </c>
      <c r="E685" s="461" t="s">
        <v>161</v>
      </c>
      <c r="F685" s="461" t="s">
        <v>8326</v>
      </c>
    </row>
    <row r="686" spans="1:6" ht="45" x14ac:dyDescent="0.25">
      <c r="A686" s="461">
        <v>1099</v>
      </c>
      <c r="B686" s="460" t="s">
        <v>8956</v>
      </c>
      <c r="C686" s="461" t="s">
        <v>1104</v>
      </c>
      <c r="D686" s="461">
        <v>6.26</v>
      </c>
      <c r="E686" s="461" t="s">
        <v>161</v>
      </c>
      <c r="F686" s="461" t="s">
        <v>8326</v>
      </c>
    </row>
    <row r="687" spans="1:6" ht="45" x14ac:dyDescent="0.25">
      <c r="A687" s="461">
        <v>39678</v>
      </c>
      <c r="B687" s="460" t="s">
        <v>8957</v>
      </c>
      <c r="C687" s="461" t="s">
        <v>1104</v>
      </c>
      <c r="D687" s="461">
        <v>2.52</v>
      </c>
      <c r="E687" s="461" t="s">
        <v>161</v>
      </c>
      <c r="F687" s="461" t="s">
        <v>8326</v>
      </c>
    </row>
    <row r="688" spans="1:6" ht="45" x14ac:dyDescent="0.25">
      <c r="A688" s="461">
        <v>1050</v>
      </c>
      <c r="B688" s="460" t="s">
        <v>8958</v>
      </c>
      <c r="C688" s="461" t="s">
        <v>1104</v>
      </c>
      <c r="D688" s="461">
        <v>4.28</v>
      </c>
      <c r="E688" s="461" t="s">
        <v>161</v>
      </c>
      <c r="F688" s="461" t="s">
        <v>8326</v>
      </c>
    </row>
    <row r="689" spans="1:6" ht="45" x14ac:dyDescent="0.25">
      <c r="A689" s="461">
        <v>1101</v>
      </c>
      <c r="B689" s="460" t="s">
        <v>8959</v>
      </c>
      <c r="C689" s="461" t="s">
        <v>1104</v>
      </c>
      <c r="D689" s="461">
        <v>26.99</v>
      </c>
      <c r="E689" s="461" t="s">
        <v>161</v>
      </c>
      <c r="F689" s="461" t="s">
        <v>8326</v>
      </c>
    </row>
    <row r="690" spans="1:6" ht="45" x14ac:dyDescent="0.25">
      <c r="A690" s="461">
        <v>1100</v>
      </c>
      <c r="B690" s="460" t="s">
        <v>8960</v>
      </c>
      <c r="C690" s="461" t="s">
        <v>1104</v>
      </c>
      <c r="D690" s="461">
        <v>13.92</v>
      </c>
      <c r="E690" s="461" t="s">
        <v>161</v>
      </c>
      <c r="F690" s="461" t="s">
        <v>8326</v>
      </c>
    </row>
    <row r="691" spans="1:6" ht="45" x14ac:dyDescent="0.25">
      <c r="A691" s="461">
        <v>39679</v>
      </c>
      <c r="B691" s="460" t="s">
        <v>8961</v>
      </c>
      <c r="C691" s="461" t="s">
        <v>1104</v>
      </c>
      <c r="D691" s="461">
        <v>53.78</v>
      </c>
      <c r="E691" s="461" t="s">
        <v>161</v>
      </c>
      <c r="F691" s="461" t="s">
        <v>8326</v>
      </c>
    </row>
    <row r="692" spans="1:6" ht="45" x14ac:dyDescent="0.25">
      <c r="A692" s="461">
        <v>1098</v>
      </c>
      <c r="B692" s="460" t="s">
        <v>8962</v>
      </c>
      <c r="C692" s="461" t="s">
        <v>1104</v>
      </c>
      <c r="D692" s="461">
        <v>3.34</v>
      </c>
      <c r="E692" s="461" t="s">
        <v>161</v>
      </c>
      <c r="F692" s="461" t="s">
        <v>8326</v>
      </c>
    </row>
    <row r="693" spans="1:6" ht="45" x14ac:dyDescent="0.25">
      <c r="A693" s="461">
        <v>1102</v>
      </c>
      <c r="B693" s="460" t="s">
        <v>8963</v>
      </c>
      <c r="C693" s="461" t="s">
        <v>1104</v>
      </c>
      <c r="D693" s="461">
        <v>40.24</v>
      </c>
      <c r="E693" s="461" t="s">
        <v>161</v>
      </c>
      <c r="F693" s="461" t="s">
        <v>8326</v>
      </c>
    </row>
    <row r="694" spans="1:6" ht="45" x14ac:dyDescent="0.25">
      <c r="A694" s="461">
        <v>1051</v>
      </c>
      <c r="B694" s="460" t="s">
        <v>8964</v>
      </c>
      <c r="C694" s="461" t="s">
        <v>1104</v>
      </c>
      <c r="D694" s="461">
        <v>58.49</v>
      </c>
      <c r="E694" s="461" t="s">
        <v>161</v>
      </c>
      <c r="F694" s="461" t="s">
        <v>8326</v>
      </c>
    </row>
    <row r="695" spans="1:6" ht="15" x14ac:dyDescent="0.25">
      <c r="A695" s="461">
        <v>37399</v>
      </c>
      <c r="B695" s="460" t="s">
        <v>8965</v>
      </c>
      <c r="C695" s="461" t="s">
        <v>1104</v>
      </c>
      <c r="D695" s="461">
        <v>25.06</v>
      </c>
      <c r="E695" s="461" t="s">
        <v>161</v>
      </c>
      <c r="F695" s="461" t="s">
        <v>8326</v>
      </c>
    </row>
    <row r="696" spans="1:6" ht="15" x14ac:dyDescent="0.25">
      <c r="A696" s="461">
        <v>43834</v>
      </c>
      <c r="B696" s="460" t="s">
        <v>8966</v>
      </c>
      <c r="C696" s="461" t="s">
        <v>1107</v>
      </c>
      <c r="D696" s="461">
        <v>23.87</v>
      </c>
      <c r="E696" s="461" t="s">
        <v>161</v>
      </c>
      <c r="F696" s="461" t="s">
        <v>8326</v>
      </c>
    </row>
    <row r="697" spans="1:6" ht="15" x14ac:dyDescent="0.25">
      <c r="A697" s="461">
        <v>43835</v>
      </c>
      <c r="B697" s="460" t="s">
        <v>8967</v>
      </c>
      <c r="C697" s="461" t="s">
        <v>1107</v>
      </c>
      <c r="D697" s="461">
        <v>2.14</v>
      </c>
      <c r="E697" s="461" t="s">
        <v>161</v>
      </c>
      <c r="F697" s="461" t="s">
        <v>8326</v>
      </c>
    </row>
    <row r="698" spans="1:6" ht="15" x14ac:dyDescent="0.25">
      <c r="A698" s="461">
        <v>43833</v>
      </c>
      <c r="B698" s="460" t="s">
        <v>8968</v>
      </c>
      <c r="C698" s="461" t="s">
        <v>1107</v>
      </c>
      <c r="D698" s="461">
        <v>2.2200000000000002</v>
      </c>
      <c r="E698" s="461" t="s">
        <v>161</v>
      </c>
      <c r="F698" s="461" t="s">
        <v>8326</v>
      </c>
    </row>
    <row r="699" spans="1:6" ht="30" x14ac:dyDescent="0.25">
      <c r="A699" s="461">
        <v>41955</v>
      </c>
      <c r="B699" s="460" t="s">
        <v>8969</v>
      </c>
      <c r="C699" s="461" t="s">
        <v>1108</v>
      </c>
      <c r="D699" s="461">
        <v>53.55</v>
      </c>
      <c r="E699" s="461" t="s">
        <v>161</v>
      </c>
      <c r="F699" s="461" t="s">
        <v>8326</v>
      </c>
    </row>
    <row r="700" spans="1:6" ht="30" x14ac:dyDescent="0.25">
      <c r="A700" s="461">
        <v>41953</v>
      </c>
      <c r="B700" s="460" t="s">
        <v>8970</v>
      </c>
      <c r="C700" s="461" t="s">
        <v>1108</v>
      </c>
      <c r="D700" s="461">
        <v>51.1</v>
      </c>
      <c r="E700" s="461" t="s">
        <v>161</v>
      </c>
      <c r="F700" s="461" t="s">
        <v>8326</v>
      </c>
    </row>
    <row r="701" spans="1:6" ht="30" x14ac:dyDescent="0.25">
      <c r="A701" s="461">
        <v>41954</v>
      </c>
      <c r="B701" s="460" t="s">
        <v>8971</v>
      </c>
      <c r="C701" s="461" t="s">
        <v>1108</v>
      </c>
      <c r="D701" s="461">
        <v>50.62</v>
      </c>
      <c r="E701" s="461" t="s">
        <v>161</v>
      </c>
      <c r="F701" s="461" t="s">
        <v>8326</v>
      </c>
    </row>
    <row r="702" spans="1:6" ht="15" x14ac:dyDescent="0.25">
      <c r="A702" s="461">
        <v>25004</v>
      </c>
      <c r="B702" s="460" t="s">
        <v>8972</v>
      </c>
      <c r="C702" s="461" t="s">
        <v>1108</v>
      </c>
      <c r="D702" s="461">
        <v>52.13</v>
      </c>
      <c r="E702" s="461" t="s">
        <v>161</v>
      </c>
      <c r="F702" s="461" t="s">
        <v>8326</v>
      </c>
    </row>
    <row r="703" spans="1:6" ht="15" x14ac:dyDescent="0.25">
      <c r="A703" s="461">
        <v>25002</v>
      </c>
      <c r="B703" s="460" t="s">
        <v>8973</v>
      </c>
      <c r="C703" s="461" t="s">
        <v>1108</v>
      </c>
      <c r="D703" s="461">
        <v>52.13</v>
      </c>
      <c r="E703" s="461" t="s">
        <v>161</v>
      </c>
      <c r="F703" s="461" t="s">
        <v>8326</v>
      </c>
    </row>
    <row r="704" spans="1:6" ht="15" x14ac:dyDescent="0.25">
      <c r="A704" s="461">
        <v>37409</v>
      </c>
      <c r="B704" s="460" t="s">
        <v>8974</v>
      </c>
      <c r="C704" s="461" t="s">
        <v>1108</v>
      </c>
      <c r="D704" s="461">
        <v>52.13</v>
      </c>
      <c r="E704" s="461" t="s">
        <v>161</v>
      </c>
      <c r="F704" s="461" t="s">
        <v>8326</v>
      </c>
    </row>
    <row r="705" spans="1:6" ht="15" x14ac:dyDescent="0.25">
      <c r="A705" s="461">
        <v>841</v>
      </c>
      <c r="B705" s="460" t="s">
        <v>8975</v>
      </c>
      <c r="C705" s="461" t="s">
        <v>1108</v>
      </c>
      <c r="D705" s="461">
        <v>52.76</v>
      </c>
      <c r="E705" s="461" t="s">
        <v>161</v>
      </c>
      <c r="F705" s="461" t="s">
        <v>8326</v>
      </c>
    </row>
    <row r="706" spans="1:6" ht="15" x14ac:dyDescent="0.25">
      <c r="A706" s="461">
        <v>25005</v>
      </c>
      <c r="B706" s="460" t="s">
        <v>8976</v>
      </c>
      <c r="C706" s="461" t="s">
        <v>1108</v>
      </c>
      <c r="D706" s="461">
        <v>57.2</v>
      </c>
      <c r="E706" s="461" t="s">
        <v>161</v>
      </c>
      <c r="F706" s="461" t="s">
        <v>8326</v>
      </c>
    </row>
    <row r="707" spans="1:6" ht="15" x14ac:dyDescent="0.25">
      <c r="A707" s="461">
        <v>25003</v>
      </c>
      <c r="B707" s="460" t="s">
        <v>8977</v>
      </c>
      <c r="C707" s="461" t="s">
        <v>1108</v>
      </c>
      <c r="D707" s="461">
        <v>58.06</v>
      </c>
      <c r="E707" s="461" t="s">
        <v>161</v>
      </c>
      <c r="F707" s="461" t="s">
        <v>8326</v>
      </c>
    </row>
    <row r="708" spans="1:6" ht="15" x14ac:dyDescent="0.25">
      <c r="A708" s="461">
        <v>37410</v>
      </c>
      <c r="B708" s="460" t="s">
        <v>8978</v>
      </c>
      <c r="C708" s="461" t="s">
        <v>1108</v>
      </c>
      <c r="D708" s="461">
        <v>57.2</v>
      </c>
      <c r="E708" s="461" t="s">
        <v>161</v>
      </c>
      <c r="F708" s="461" t="s">
        <v>8326</v>
      </c>
    </row>
    <row r="709" spans="1:6" ht="15" x14ac:dyDescent="0.25">
      <c r="A709" s="461">
        <v>842</v>
      </c>
      <c r="B709" s="460" t="s">
        <v>8979</v>
      </c>
      <c r="C709" s="461" t="s">
        <v>1108</v>
      </c>
      <c r="D709" s="461">
        <v>58.01</v>
      </c>
      <c r="E709" s="461" t="s">
        <v>161</v>
      </c>
      <c r="F709" s="461" t="s">
        <v>8326</v>
      </c>
    </row>
    <row r="710" spans="1:6" ht="30" x14ac:dyDescent="0.25">
      <c r="A710" s="461">
        <v>44391</v>
      </c>
      <c r="B710" s="460" t="s">
        <v>8980</v>
      </c>
      <c r="C710" s="461" t="s">
        <v>1107</v>
      </c>
      <c r="D710" s="461">
        <v>123.61</v>
      </c>
      <c r="E710" s="461" t="s">
        <v>161</v>
      </c>
      <c r="F710" s="461" t="s">
        <v>8326</v>
      </c>
    </row>
    <row r="711" spans="1:6" ht="30" x14ac:dyDescent="0.25">
      <c r="A711" s="461">
        <v>44388</v>
      </c>
      <c r="B711" s="460" t="s">
        <v>8981</v>
      </c>
      <c r="C711" s="461" t="s">
        <v>1107</v>
      </c>
      <c r="D711" s="461">
        <v>2.67</v>
      </c>
      <c r="E711" s="461" t="s">
        <v>161</v>
      </c>
      <c r="F711" s="461" t="s">
        <v>8326</v>
      </c>
    </row>
    <row r="712" spans="1:6" ht="30" x14ac:dyDescent="0.25">
      <c r="A712" s="461">
        <v>44392</v>
      </c>
      <c r="B712" s="460" t="s">
        <v>8982</v>
      </c>
      <c r="C712" s="461" t="s">
        <v>1107</v>
      </c>
      <c r="D712" s="461">
        <v>246.13</v>
      </c>
      <c r="E712" s="461" t="s">
        <v>161</v>
      </c>
      <c r="F712" s="461" t="s">
        <v>8326</v>
      </c>
    </row>
    <row r="713" spans="1:6" ht="30" x14ac:dyDescent="0.25">
      <c r="A713" s="461">
        <v>44390</v>
      </c>
      <c r="B713" s="460" t="s">
        <v>8983</v>
      </c>
      <c r="C713" s="461" t="s">
        <v>1107</v>
      </c>
      <c r="D713" s="461">
        <v>52.15</v>
      </c>
      <c r="E713" s="461" t="s">
        <v>161</v>
      </c>
      <c r="F713" s="461" t="s">
        <v>8326</v>
      </c>
    </row>
    <row r="714" spans="1:6" ht="30" x14ac:dyDescent="0.25">
      <c r="A714" s="461">
        <v>44389</v>
      </c>
      <c r="B714" s="460" t="s">
        <v>8984</v>
      </c>
      <c r="C714" s="461" t="s">
        <v>1107</v>
      </c>
      <c r="D714" s="461">
        <v>6.16</v>
      </c>
      <c r="E714" s="461" t="s">
        <v>161</v>
      </c>
      <c r="F714" s="461" t="s">
        <v>8326</v>
      </c>
    </row>
    <row r="715" spans="1:6" ht="15" x14ac:dyDescent="0.25">
      <c r="A715" s="461">
        <v>862</v>
      </c>
      <c r="B715" s="460" t="s">
        <v>8985</v>
      </c>
      <c r="C715" s="461" t="s">
        <v>1107</v>
      </c>
      <c r="D715" s="461">
        <v>11.28</v>
      </c>
      <c r="E715" s="461" t="s">
        <v>161</v>
      </c>
      <c r="F715" s="461" t="s">
        <v>8326</v>
      </c>
    </row>
    <row r="716" spans="1:6" ht="15" x14ac:dyDescent="0.25">
      <c r="A716" s="461">
        <v>866</v>
      </c>
      <c r="B716" s="460" t="s">
        <v>8986</v>
      </c>
      <c r="C716" s="461" t="s">
        <v>1107</v>
      </c>
      <c r="D716" s="461">
        <v>143.32</v>
      </c>
      <c r="E716" s="461" t="s">
        <v>161</v>
      </c>
      <c r="F716" s="461" t="s">
        <v>8326</v>
      </c>
    </row>
    <row r="717" spans="1:6" ht="15" x14ac:dyDescent="0.25">
      <c r="A717" s="461">
        <v>892</v>
      </c>
      <c r="B717" s="460" t="s">
        <v>8987</v>
      </c>
      <c r="C717" s="461" t="s">
        <v>1107</v>
      </c>
      <c r="D717" s="461">
        <v>173.49</v>
      </c>
      <c r="E717" s="461" t="s">
        <v>161</v>
      </c>
      <c r="F717" s="461" t="s">
        <v>8326</v>
      </c>
    </row>
    <row r="718" spans="1:6" ht="15" x14ac:dyDescent="0.25">
      <c r="A718" s="461">
        <v>857</v>
      </c>
      <c r="B718" s="460" t="s">
        <v>8988</v>
      </c>
      <c r="C718" s="461" t="s">
        <v>1107</v>
      </c>
      <c r="D718" s="461">
        <v>18.87</v>
      </c>
      <c r="E718" s="461" t="s">
        <v>161</v>
      </c>
      <c r="F718" s="461" t="s">
        <v>8326</v>
      </c>
    </row>
    <row r="719" spans="1:6" ht="15" x14ac:dyDescent="0.25">
      <c r="A719" s="461">
        <v>37404</v>
      </c>
      <c r="B719" s="460" t="s">
        <v>8989</v>
      </c>
      <c r="C719" s="461" t="s">
        <v>1107</v>
      </c>
      <c r="D719" s="461">
        <v>200.72</v>
      </c>
      <c r="E719" s="461" t="s">
        <v>161</v>
      </c>
      <c r="F719" s="461" t="s">
        <v>8326</v>
      </c>
    </row>
    <row r="720" spans="1:6" ht="15" x14ac:dyDescent="0.25">
      <c r="A720" s="461">
        <v>868</v>
      </c>
      <c r="B720" s="460" t="s">
        <v>8990</v>
      </c>
      <c r="C720" s="461" t="s">
        <v>1107</v>
      </c>
      <c r="D720" s="461">
        <v>26.89</v>
      </c>
      <c r="E720" s="461" t="s">
        <v>161</v>
      </c>
      <c r="F720" s="461" t="s">
        <v>8326</v>
      </c>
    </row>
    <row r="721" spans="1:6" ht="15" x14ac:dyDescent="0.25">
      <c r="A721" s="461">
        <v>863</v>
      </c>
      <c r="B721" s="460" t="s">
        <v>8991</v>
      </c>
      <c r="C721" s="461" t="s">
        <v>1107</v>
      </c>
      <c r="D721" s="461">
        <v>39.6</v>
      </c>
      <c r="E721" s="461" t="s">
        <v>161</v>
      </c>
      <c r="F721" s="461" t="s">
        <v>8326</v>
      </c>
    </row>
    <row r="722" spans="1:6" ht="15" x14ac:dyDescent="0.25">
      <c r="A722" s="461">
        <v>867</v>
      </c>
      <c r="B722" s="460" t="s">
        <v>8992</v>
      </c>
      <c r="C722" s="461" t="s">
        <v>1107</v>
      </c>
      <c r="D722" s="461">
        <v>56.42</v>
      </c>
      <c r="E722" s="461" t="s">
        <v>161</v>
      </c>
      <c r="F722" s="461" t="s">
        <v>8326</v>
      </c>
    </row>
    <row r="723" spans="1:6" ht="15" x14ac:dyDescent="0.25">
      <c r="A723" s="461">
        <v>864</v>
      </c>
      <c r="B723" s="460" t="s">
        <v>8993</v>
      </c>
      <c r="C723" s="461" t="s">
        <v>1107</v>
      </c>
      <c r="D723" s="461">
        <v>74.52</v>
      </c>
      <c r="E723" s="461" t="s">
        <v>161</v>
      </c>
      <c r="F723" s="461" t="s">
        <v>8326</v>
      </c>
    </row>
    <row r="724" spans="1:6" ht="15" x14ac:dyDescent="0.25">
      <c r="A724" s="461">
        <v>865</v>
      </c>
      <c r="B724" s="460" t="s">
        <v>8994</v>
      </c>
      <c r="C724" s="461" t="s">
        <v>1107</v>
      </c>
      <c r="D724" s="461">
        <v>107.19</v>
      </c>
      <c r="E724" s="461" t="s">
        <v>161</v>
      </c>
      <c r="F724" s="461" t="s">
        <v>8326</v>
      </c>
    </row>
    <row r="725" spans="1:6" ht="45" x14ac:dyDescent="0.25">
      <c r="A725" s="461">
        <v>993</v>
      </c>
      <c r="B725" s="460" t="s">
        <v>8995</v>
      </c>
      <c r="C725" s="461" t="s">
        <v>1107</v>
      </c>
      <c r="D725" s="461">
        <v>2.04</v>
      </c>
      <c r="E725" s="461" t="s">
        <v>161</v>
      </c>
      <c r="F725" s="461" t="s">
        <v>8326</v>
      </c>
    </row>
    <row r="726" spans="1:6" ht="45" x14ac:dyDescent="0.25">
      <c r="A726" s="461">
        <v>1020</v>
      </c>
      <c r="B726" s="460" t="s">
        <v>8996</v>
      </c>
      <c r="C726" s="461" t="s">
        <v>1107</v>
      </c>
      <c r="D726" s="461">
        <v>10.4</v>
      </c>
      <c r="E726" s="461" t="s">
        <v>161</v>
      </c>
      <c r="F726" s="461" t="s">
        <v>8326</v>
      </c>
    </row>
    <row r="727" spans="1:6" ht="45" x14ac:dyDescent="0.25">
      <c r="A727" s="461">
        <v>1017</v>
      </c>
      <c r="B727" s="460" t="s">
        <v>8997</v>
      </c>
      <c r="C727" s="461" t="s">
        <v>1107</v>
      </c>
      <c r="D727" s="461">
        <v>127.45</v>
      </c>
      <c r="E727" s="461" t="s">
        <v>161</v>
      </c>
      <c r="F727" s="461" t="s">
        <v>8326</v>
      </c>
    </row>
    <row r="728" spans="1:6" ht="45" x14ac:dyDescent="0.25">
      <c r="A728" s="461">
        <v>999</v>
      </c>
      <c r="B728" s="460" t="s">
        <v>8998</v>
      </c>
      <c r="C728" s="461" t="s">
        <v>1107</v>
      </c>
      <c r="D728" s="461">
        <v>154.41</v>
      </c>
      <c r="E728" s="461" t="s">
        <v>161</v>
      </c>
      <c r="F728" s="461" t="s">
        <v>8326</v>
      </c>
    </row>
    <row r="729" spans="1:6" ht="45" x14ac:dyDescent="0.25">
      <c r="A729" s="461">
        <v>995</v>
      </c>
      <c r="B729" s="460" t="s">
        <v>8999</v>
      </c>
      <c r="C729" s="461" t="s">
        <v>1107</v>
      </c>
      <c r="D729" s="461">
        <v>16.559999999999999</v>
      </c>
      <c r="E729" s="461" t="s">
        <v>161</v>
      </c>
      <c r="F729" s="461" t="s">
        <v>8326</v>
      </c>
    </row>
    <row r="730" spans="1:6" ht="45" x14ac:dyDescent="0.25">
      <c r="A730" s="461">
        <v>1000</v>
      </c>
      <c r="B730" s="460" t="s">
        <v>9000</v>
      </c>
      <c r="C730" s="461" t="s">
        <v>1107</v>
      </c>
      <c r="D730" s="461">
        <v>189.66</v>
      </c>
      <c r="E730" s="461" t="s">
        <v>161</v>
      </c>
      <c r="F730" s="461" t="s">
        <v>8326</v>
      </c>
    </row>
    <row r="731" spans="1:6" ht="45" x14ac:dyDescent="0.25">
      <c r="A731" s="461">
        <v>1022</v>
      </c>
      <c r="B731" s="460" t="s">
        <v>9001</v>
      </c>
      <c r="C731" s="461" t="s">
        <v>1107</v>
      </c>
      <c r="D731" s="461">
        <v>2.84</v>
      </c>
      <c r="E731" s="461" t="s">
        <v>161</v>
      </c>
      <c r="F731" s="461" t="s">
        <v>8326</v>
      </c>
    </row>
    <row r="732" spans="1:6" ht="45" x14ac:dyDescent="0.25">
      <c r="A732" s="461">
        <v>1015</v>
      </c>
      <c r="B732" s="460" t="s">
        <v>9002</v>
      </c>
      <c r="C732" s="461" t="s">
        <v>1107</v>
      </c>
      <c r="D732" s="461">
        <v>252.03</v>
      </c>
      <c r="E732" s="461" t="s">
        <v>161</v>
      </c>
      <c r="F732" s="461" t="s">
        <v>8326</v>
      </c>
    </row>
    <row r="733" spans="1:6" ht="45" x14ac:dyDescent="0.25">
      <c r="A733" s="461">
        <v>996</v>
      </c>
      <c r="B733" s="460" t="s">
        <v>9003</v>
      </c>
      <c r="C733" s="461" t="s">
        <v>1107</v>
      </c>
      <c r="D733" s="461">
        <v>25.68</v>
      </c>
      <c r="E733" s="461" t="s">
        <v>161</v>
      </c>
      <c r="F733" s="461" t="s">
        <v>8326</v>
      </c>
    </row>
    <row r="734" spans="1:6" ht="45" x14ac:dyDescent="0.25">
      <c r="A734" s="461">
        <v>1001</v>
      </c>
      <c r="B734" s="460" t="s">
        <v>9004</v>
      </c>
      <c r="C734" s="461" t="s">
        <v>1107</v>
      </c>
      <c r="D734" s="461">
        <v>327.01</v>
      </c>
      <c r="E734" s="461" t="s">
        <v>161</v>
      </c>
      <c r="F734" s="461" t="s">
        <v>8326</v>
      </c>
    </row>
    <row r="735" spans="1:6" ht="45" x14ac:dyDescent="0.25">
      <c r="A735" s="461">
        <v>1019</v>
      </c>
      <c r="B735" s="460" t="s">
        <v>9005</v>
      </c>
      <c r="C735" s="461" t="s">
        <v>1107</v>
      </c>
      <c r="D735" s="461">
        <v>36.29</v>
      </c>
      <c r="E735" s="461" t="s">
        <v>161</v>
      </c>
      <c r="F735" s="461" t="s">
        <v>8326</v>
      </c>
    </row>
    <row r="736" spans="1:6" ht="45" x14ac:dyDescent="0.25">
      <c r="A736" s="461">
        <v>1021</v>
      </c>
      <c r="B736" s="460" t="s">
        <v>9006</v>
      </c>
      <c r="C736" s="461" t="s">
        <v>1107</v>
      </c>
      <c r="D736" s="461">
        <v>4.3600000000000003</v>
      </c>
      <c r="E736" s="461" t="s">
        <v>161</v>
      </c>
      <c r="F736" s="461" t="s">
        <v>8326</v>
      </c>
    </row>
    <row r="737" spans="1:6" ht="45" x14ac:dyDescent="0.25">
      <c r="A737" s="461">
        <v>39249</v>
      </c>
      <c r="B737" s="460" t="s">
        <v>9007</v>
      </c>
      <c r="C737" s="461" t="s">
        <v>1107</v>
      </c>
      <c r="D737" s="461">
        <v>439.68</v>
      </c>
      <c r="E737" s="461" t="s">
        <v>161</v>
      </c>
      <c r="F737" s="461" t="s">
        <v>8326</v>
      </c>
    </row>
    <row r="738" spans="1:6" ht="45" x14ac:dyDescent="0.25">
      <c r="A738" s="461">
        <v>1018</v>
      </c>
      <c r="B738" s="460" t="s">
        <v>9008</v>
      </c>
      <c r="C738" s="461" t="s">
        <v>1107</v>
      </c>
      <c r="D738" s="461">
        <v>53.66</v>
      </c>
      <c r="E738" s="461" t="s">
        <v>161</v>
      </c>
      <c r="F738" s="461" t="s">
        <v>8326</v>
      </c>
    </row>
    <row r="739" spans="1:6" ht="45" x14ac:dyDescent="0.25">
      <c r="A739" s="461">
        <v>39250</v>
      </c>
      <c r="B739" s="460" t="s">
        <v>9009</v>
      </c>
      <c r="C739" s="461" t="s">
        <v>1107</v>
      </c>
      <c r="D739" s="461">
        <v>525.96</v>
      </c>
      <c r="E739" s="461" t="s">
        <v>161</v>
      </c>
      <c r="F739" s="461" t="s">
        <v>8326</v>
      </c>
    </row>
    <row r="740" spans="1:6" ht="45" x14ac:dyDescent="0.25">
      <c r="A740" s="461">
        <v>994</v>
      </c>
      <c r="B740" s="460" t="s">
        <v>9010</v>
      </c>
      <c r="C740" s="461" t="s">
        <v>1107</v>
      </c>
      <c r="D740" s="461">
        <v>6.34</v>
      </c>
      <c r="E740" s="461" t="s">
        <v>161</v>
      </c>
      <c r="F740" s="461" t="s">
        <v>8326</v>
      </c>
    </row>
    <row r="741" spans="1:6" ht="45" x14ac:dyDescent="0.25">
      <c r="A741" s="461">
        <v>977</v>
      </c>
      <c r="B741" s="460" t="s">
        <v>9011</v>
      </c>
      <c r="C741" s="461" t="s">
        <v>1107</v>
      </c>
      <c r="D741" s="461">
        <v>75.06</v>
      </c>
      <c r="E741" s="461" t="s">
        <v>161</v>
      </c>
      <c r="F741" s="461" t="s">
        <v>8326</v>
      </c>
    </row>
    <row r="742" spans="1:6" ht="45" x14ac:dyDescent="0.25">
      <c r="A742" s="461">
        <v>998</v>
      </c>
      <c r="B742" s="460" t="s">
        <v>9012</v>
      </c>
      <c r="C742" s="461" t="s">
        <v>1107</v>
      </c>
      <c r="D742" s="461">
        <v>97.46</v>
      </c>
      <c r="E742" s="461" t="s">
        <v>161</v>
      </c>
      <c r="F742" s="461" t="s">
        <v>8326</v>
      </c>
    </row>
    <row r="743" spans="1:6" ht="30" x14ac:dyDescent="0.25">
      <c r="A743" s="461">
        <v>39251</v>
      </c>
      <c r="B743" s="460" t="s">
        <v>9013</v>
      </c>
      <c r="C743" s="461" t="s">
        <v>1107</v>
      </c>
      <c r="D743" s="461">
        <v>0.7</v>
      </c>
      <c r="E743" s="461" t="s">
        <v>161</v>
      </c>
      <c r="F743" s="461" t="s">
        <v>8326</v>
      </c>
    </row>
    <row r="744" spans="1:6" ht="30" x14ac:dyDescent="0.25">
      <c r="A744" s="461">
        <v>1011</v>
      </c>
      <c r="B744" s="460" t="s">
        <v>9014</v>
      </c>
      <c r="C744" s="461" t="s">
        <v>1107</v>
      </c>
      <c r="D744" s="461">
        <v>0.96</v>
      </c>
      <c r="E744" s="461" t="s">
        <v>161</v>
      </c>
      <c r="F744" s="461" t="s">
        <v>8326</v>
      </c>
    </row>
    <row r="745" spans="1:6" ht="30" x14ac:dyDescent="0.25">
      <c r="A745" s="461">
        <v>39252</v>
      </c>
      <c r="B745" s="460" t="s">
        <v>9015</v>
      </c>
      <c r="C745" s="461" t="s">
        <v>1107</v>
      </c>
      <c r="D745" s="461">
        <v>1.26</v>
      </c>
      <c r="E745" s="461" t="s">
        <v>161</v>
      </c>
      <c r="F745" s="461" t="s">
        <v>8326</v>
      </c>
    </row>
    <row r="746" spans="1:6" ht="30" x14ac:dyDescent="0.25">
      <c r="A746" s="461">
        <v>1013</v>
      </c>
      <c r="B746" s="460" t="s">
        <v>9016</v>
      </c>
      <c r="C746" s="461" t="s">
        <v>1107</v>
      </c>
      <c r="D746" s="461">
        <v>1.51</v>
      </c>
      <c r="E746" s="461" t="s">
        <v>161</v>
      </c>
      <c r="F746" s="461" t="s">
        <v>8326</v>
      </c>
    </row>
    <row r="747" spans="1:6" ht="30" x14ac:dyDescent="0.25">
      <c r="A747" s="461">
        <v>980</v>
      </c>
      <c r="B747" s="460" t="s">
        <v>9017</v>
      </c>
      <c r="C747" s="461" t="s">
        <v>1107</v>
      </c>
      <c r="D747" s="461">
        <v>10.91</v>
      </c>
      <c r="E747" s="461" t="s">
        <v>161</v>
      </c>
      <c r="F747" s="461" t="s">
        <v>8326</v>
      </c>
    </row>
    <row r="748" spans="1:6" ht="30" x14ac:dyDescent="0.25">
      <c r="A748" s="461">
        <v>39237</v>
      </c>
      <c r="B748" s="460" t="s">
        <v>9018</v>
      </c>
      <c r="C748" s="461" t="s">
        <v>1107</v>
      </c>
      <c r="D748" s="461">
        <v>116.03</v>
      </c>
      <c r="E748" s="461" t="s">
        <v>161</v>
      </c>
      <c r="F748" s="461" t="s">
        <v>8326</v>
      </c>
    </row>
    <row r="749" spans="1:6" ht="30" x14ac:dyDescent="0.25">
      <c r="A749" s="461">
        <v>39238</v>
      </c>
      <c r="B749" s="460" t="s">
        <v>9019</v>
      </c>
      <c r="C749" s="461" t="s">
        <v>1107</v>
      </c>
      <c r="D749" s="461">
        <v>146.34</v>
      </c>
      <c r="E749" s="461" t="s">
        <v>161</v>
      </c>
      <c r="F749" s="461" t="s">
        <v>8326</v>
      </c>
    </row>
    <row r="750" spans="1:6" ht="30" x14ac:dyDescent="0.25">
      <c r="A750" s="461">
        <v>979</v>
      </c>
      <c r="B750" s="460" t="s">
        <v>9020</v>
      </c>
      <c r="C750" s="461" t="s">
        <v>1107</v>
      </c>
      <c r="D750" s="461">
        <v>15.58</v>
      </c>
      <c r="E750" s="461" t="s">
        <v>161</v>
      </c>
      <c r="F750" s="461" t="s">
        <v>8326</v>
      </c>
    </row>
    <row r="751" spans="1:6" ht="30" x14ac:dyDescent="0.25">
      <c r="A751" s="461">
        <v>39239</v>
      </c>
      <c r="B751" s="460" t="s">
        <v>9021</v>
      </c>
      <c r="C751" s="461" t="s">
        <v>1107</v>
      </c>
      <c r="D751" s="461">
        <v>176.79</v>
      </c>
      <c r="E751" s="461" t="s">
        <v>161</v>
      </c>
      <c r="F751" s="461" t="s">
        <v>8326</v>
      </c>
    </row>
    <row r="752" spans="1:6" ht="30" x14ac:dyDescent="0.25">
      <c r="A752" s="461">
        <v>1014</v>
      </c>
      <c r="B752" s="460" t="s">
        <v>9022</v>
      </c>
      <c r="C752" s="461" t="s">
        <v>1107</v>
      </c>
      <c r="D752" s="461">
        <v>2.39</v>
      </c>
      <c r="E752" s="461" t="s">
        <v>161</v>
      </c>
      <c r="F752" s="461" t="s">
        <v>8326</v>
      </c>
    </row>
    <row r="753" spans="1:6" ht="30" x14ac:dyDescent="0.25">
      <c r="A753" s="461">
        <v>39240</v>
      </c>
      <c r="B753" s="460" t="s">
        <v>9023</v>
      </c>
      <c r="C753" s="461" t="s">
        <v>1107</v>
      </c>
      <c r="D753" s="461">
        <v>232.52</v>
      </c>
      <c r="E753" s="461" t="s">
        <v>161</v>
      </c>
      <c r="F753" s="461" t="s">
        <v>8326</v>
      </c>
    </row>
    <row r="754" spans="1:6" ht="30" x14ac:dyDescent="0.25">
      <c r="A754" s="461">
        <v>39232</v>
      </c>
      <c r="B754" s="460" t="s">
        <v>9024</v>
      </c>
      <c r="C754" s="461" t="s">
        <v>1107</v>
      </c>
      <c r="D754" s="461">
        <v>24.4</v>
      </c>
      <c r="E754" s="461" t="s">
        <v>161</v>
      </c>
      <c r="F754" s="461" t="s">
        <v>8326</v>
      </c>
    </row>
    <row r="755" spans="1:6" ht="30" x14ac:dyDescent="0.25">
      <c r="A755" s="461">
        <v>39233</v>
      </c>
      <c r="B755" s="460" t="s">
        <v>9025</v>
      </c>
      <c r="C755" s="461" t="s">
        <v>1107</v>
      </c>
      <c r="D755" s="461">
        <v>35.57</v>
      </c>
      <c r="E755" s="461" t="s">
        <v>161</v>
      </c>
      <c r="F755" s="461" t="s">
        <v>8326</v>
      </c>
    </row>
    <row r="756" spans="1:6" ht="30" x14ac:dyDescent="0.25">
      <c r="A756" s="461">
        <v>981</v>
      </c>
      <c r="B756" s="460" t="s">
        <v>9026</v>
      </c>
      <c r="C756" s="461" t="s">
        <v>1107</v>
      </c>
      <c r="D756" s="461">
        <v>3.97</v>
      </c>
      <c r="E756" s="461" t="s">
        <v>161</v>
      </c>
      <c r="F756" s="461" t="s">
        <v>8333</v>
      </c>
    </row>
    <row r="757" spans="1:6" ht="30" x14ac:dyDescent="0.25">
      <c r="A757" s="461">
        <v>39234</v>
      </c>
      <c r="B757" s="460" t="s">
        <v>9027</v>
      </c>
      <c r="C757" s="461" t="s">
        <v>1107</v>
      </c>
      <c r="D757" s="461">
        <v>49.51</v>
      </c>
      <c r="E757" s="461" t="s">
        <v>161</v>
      </c>
      <c r="F757" s="461" t="s">
        <v>8326</v>
      </c>
    </row>
    <row r="758" spans="1:6" ht="30" x14ac:dyDescent="0.25">
      <c r="A758" s="461">
        <v>982</v>
      </c>
      <c r="B758" s="460" t="s">
        <v>9028</v>
      </c>
      <c r="C758" s="461" t="s">
        <v>1107</v>
      </c>
      <c r="D758" s="461">
        <v>5.71</v>
      </c>
      <c r="E758" s="461" t="s">
        <v>161</v>
      </c>
      <c r="F758" s="461" t="s">
        <v>8326</v>
      </c>
    </row>
    <row r="759" spans="1:6" ht="30" x14ac:dyDescent="0.25">
      <c r="A759" s="461">
        <v>39235</v>
      </c>
      <c r="B759" s="460" t="s">
        <v>9029</v>
      </c>
      <c r="C759" s="461" t="s">
        <v>1107</v>
      </c>
      <c r="D759" s="461">
        <v>73.02</v>
      </c>
      <c r="E759" s="461" t="s">
        <v>161</v>
      </c>
      <c r="F759" s="461" t="s">
        <v>8326</v>
      </c>
    </row>
    <row r="760" spans="1:6" ht="30" x14ac:dyDescent="0.25">
      <c r="A760" s="461">
        <v>39236</v>
      </c>
      <c r="B760" s="460" t="s">
        <v>9030</v>
      </c>
      <c r="C760" s="461" t="s">
        <v>1107</v>
      </c>
      <c r="D760" s="461">
        <v>96.77</v>
      </c>
      <c r="E760" s="461" t="s">
        <v>161</v>
      </c>
      <c r="F760" s="461" t="s">
        <v>8326</v>
      </c>
    </row>
    <row r="761" spans="1:6" ht="30" x14ac:dyDescent="0.25">
      <c r="A761" s="461">
        <v>990</v>
      </c>
      <c r="B761" s="460" t="s">
        <v>9031</v>
      </c>
      <c r="C761" s="461" t="s">
        <v>1107</v>
      </c>
      <c r="D761" s="461">
        <v>171.72</v>
      </c>
      <c r="E761" s="461" t="s">
        <v>161</v>
      </c>
      <c r="F761" s="461" t="s">
        <v>8326</v>
      </c>
    </row>
    <row r="762" spans="1:6" ht="30" x14ac:dyDescent="0.25">
      <c r="A762" s="461">
        <v>39241</v>
      </c>
      <c r="B762" s="460" t="s">
        <v>9032</v>
      </c>
      <c r="C762" s="461" t="s">
        <v>1107</v>
      </c>
      <c r="D762" s="461">
        <v>16.899999999999999</v>
      </c>
      <c r="E762" s="461" t="s">
        <v>161</v>
      </c>
      <c r="F762" s="461" t="s">
        <v>8326</v>
      </c>
    </row>
    <row r="763" spans="1:6" ht="30" x14ac:dyDescent="0.25">
      <c r="A763" s="461">
        <v>1005</v>
      </c>
      <c r="B763" s="460" t="s">
        <v>9033</v>
      </c>
      <c r="C763" s="461" t="s">
        <v>1107</v>
      </c>
      <c r="D763" s="461">
        <v>213.8</v>
      </c>
      <c r="E763" s="461" t="s">
        <v>161</v>
      </c>
      <c r="F763" s="461" t="s">
        <v>8326</v>
      </c>
    </row>
    <row r="764" spans="1:6" ht="30" x14ac:dyDescent="0.25">
      <c r="A764" s="461">
        <v>991</v>
      </c>
      <c r="B764" s="460" t="s">
        <v>9034</v>
      </c>
      <c r="C764" s="461" t="s">
        <v>1107</v>
      </c>
      <c r="D764" s="461">
        <v>280.02999999999997</v>
      </c>
      <c r="E764" s="461" t="s">
        <v>161</v>
      </c>
      <c r="F764" s="461" t="s">
        <v>8326</v>
      </c>
    </row>
    <row r="765" spans="1:6" ht="30" x14ac:dyDescent="0.25">
      <c r="A765" s="461">
        <v>986</v>
      </c>
      <c r="B765" s="460" t="s">
        <v>9035</v>
      </c>
      <c r="C765" s="461" t="s">
        <v>1107</v>
      </c>
      <c r="D765" s="461">
        <v>26.71</v>
      </c>
      <c r="E765" s="461" t="s">
        <v>161</v>
      </c>
      <c r="F765" s="461" t="s">
        <v>8326</v>
      </c>
    </row>
    <row r="766" spans="1:6" ht="30" x14ac:dyDescent="0.25">
      <c r="A766" s="461">
        <v>987</v>
      </c>
      <c r="B766" s="460" t="s">
        <v>9036</v>
      </c>
      <c r="C766" s="461" t="s">
        <v>1107</v>
      </c>
      <c r="D766" s="461">
        <v>36.56</v>
      </c>
      <c r="E766" s="461" t="s">
        <v>161</v>
      </c>
      <c r="F766" s="461" t="s">
        <v>8326</v>
      </c>
    </row>
    <row r="767" spans="1:6" ht="30" x14ac:dyDescent="0.25">
      <c r="A767" s="461">
        <v>1007</v>
      </c>
      <c r="B767" s="460" t="s">
        <v>9037</v>
      </c>
      <c r="C767" s="461" t="s">
        <v>1107</v>
      </c>
      <c r="D767" s="461">
        <v>50.61</v>
      </c>
      <c r="E767" s="461" t="s">
        <v>161</v>
      </c>
      <c r="F767" s="461" t="s">
        <v>8326</v>
      </c>
    </row>
    <row r="768" spans="1:6" ht="30" x14ac:dyDescent="0.25">
      <c r="A768" s="461">
        <v>1008</v>
      </c>
      <c r="B768" s="460" t="s">
        <v>9038</v>
      </c>
      <c r="C768" s="461" t="s">
        <v>1107</v>
      </c>
      <c r="D768" s="461">
        <v>6.42</v>
      </c>
      <c r="E768" s="461" t="s">
        <v>161</v>
      </c>
      <c r="F768" s="461" t="s">
        <v>8326</v>
      </c>
    </row>
    <row r="769" spans="1:6" ht="30" x14ac:dyDescent="0.25">
      <c r="A769" s="461">
        <v>988</v>
      </c>
      <c r="B769" s="460" t="s">
        <v>9039</v>
      </c>
      <c r="C769" s="461" t="s">
        <v>1107</v>
      </c>
      <c r="D769" s="461">
        <v>69.78</v>
      </c>
      <c r="E769" s="461" t="s">
        <v>161</v>
      </c>
      <c r="F769" s="461" t="s">
        <v>8326</v>
      </c>
    </row>
    <row r="770" spans="1:6" ht="30" x14ac:dyDescent="0.25">
      <c r="A770" s="461">
        <v>989</v>
      </c>
      <c r="B770" s="460" t="s">
        <v>9040</v>
      </c>
      <c r="C770" s="461" t="s">
        <v>1107</v>
      </c>
      <c r="D770" s="461">
        <v>96.33</v>
      </c>
      <c r="E770" s="461" t="s">
        <v>161</v>
      </c>
      <c r="F770" s="461" t="s">
        <v>8326</v>
      </c>
    </row>
    <row r="771" spans="1:6" ht="30" x14ac:dyDescent="0.25">
      <c r="A771" s="461">
        <v>1006</v>
      </c>
      <c r="B771" s="460" t="s">
        <v>9041</v>
      </c>
      <c r="C771" s="461" t="s">
        <v>1107</v>
      </c>
      <c r="D771" s="461">
        <v>129.13999999999999</v>
      </c>
      <c r="E771" s="461" t="s">
        <v>161</v>
      </c>
      <c r="F771" s="461" t="s">
        <v>8326</v>
      </c>
    </row>
    <row r="772" spans="1:6" ht="30" x14ac:dyDescent="0.25">
      <c r="A772" s="461">
        <v>43972</v>
      </c>
      <c r="B772" s="460" t="s">
        <v>9042</v>
      </c>
      <c r="C772" s="461" t="s">
        <v>1107</v>
      </c>
      <c r="D772" s="461">
        <v>4.55</v>
      </c>
      <c r="E772" s="461" t="s">
        <v>161</v>
      </c>
      <c r="F772" s="461" t="s">
        <v>8326</v>
      </c>
    </row>
    <row r="773" spans="1:6" ht="30" x14ac:dyDescent="0.25">
      <c r="A773" s="461">
        <v>43971</v>
      </c>
      <c r="B773" s="460" t="s">
        <v>9043</v>
      </c>
      <c r="C773" s="461" t="s">
        <v>1107</v>
      </c>
      <c r="D773" s="461">
        <v>3.48</v>
      </c>
      <c r="E773" s="461" t="s">
        <v>161</v>
      </c>
      <c r="F773" s="461" t="s">
        <v>8333</v>
      </c>
    </row>
    <row r="774" spans="1:6" ht="30" x14ac:dyDescent="0.25">
      <c r="A774" s="461">
        <v>39598</v>
      </c>
      <c r="B774" s="460" t="s">
        <v>9044</v>
      </c>
      <c r="C774" s="461" t="s">
        <v>1107</v>
      </c>
      <c r="D774" s="461">
        <v>6.45</v>
      </c>
      <c r="E774" s="461" t="s">
        <v>161</v>
      </c>
      <c r="F774" s="461" t="s">
        <v>8326</v>
      </c>
    </row>
    <row r="775" spans="1:6" ht="30" x14ac:dyDescent="0.25">
      <c r="A775" s="461">
        <v>43973</v>
      </c>
      <c r="B775" s="460" t="s">
        <v>9045</v>
      </c>
      <c r="C775" s="461" t="s">
        <v>1107</v>
      </c>
      <c r="D775" s="461">
        <v>4.76</v>
      </c>
      <c r="E775" s="461" t="s">
        <v>161</v>
      </c>
      <c r="F775" s="461" t="s">
        <v>8326</v>
      </c>
    </row>
    <row r="776" spans="1:6" ht="30" x14ac:dyDescent="0.25">
      <c r="A776" s="461">
        <v>39599</v>
      </c>
      <c r="B776" s="460" t="s">
        <v>9046</v>
      </c>
      <c r="C776" s="461" t="s">
        <v>1107</v>
      </c>
      <c r="D776" s="461">
        <v>9.2799999999999994</v>
      </c>
      <c r="E776" s="461" t="s">
        <v>161</v>
      </c>
      <c r="F776" s="461" t="s">
        <v>8326</v>
      </c>
    </row>
    <row r="777" spans="1:6" ht="15" x14ac:dyDescent="0.25">
      <c r="A777" s="461">
        <v>43832</v>
      </c>
      <c r="B777" s="460" t="s">
        <v>9047</v>
      </c>
      <c r="C777" s="461" t="s">
        <v>1107</v>
      </c>
      <c r="D777" s="461">
        <v>24.45</v>
      </c>
      <c r="E777" s="461" t="s">
        <v>161</v>
      </c>
      <c r="F777" s="461" t="s">
        <v>8326</v>
      </c>
    </row>
    <row r="778" spans="1:6" ht="15" x14ac:dyDescent="0.25">
      <c r="A778" s="461">
        <v>34602</v>
      </c>
      <c r="B778" s="460" t="s">
        <v>9048</v>
      </c>
      <c r="C778" s="461" t="s">
        <v>1107</v>
      </c>
      <c r="D778" s="461">
        <v>4.42</v>
      </c>
      <c r="E778" s="461" t="s">
        <v>161</v>
      </c>
      <c r="F778" s="461" t="s">
        <v>8326</v>
      </c>
    </row>
    <row r="779" spans="1:6" ht="15" x14ac:dyDescent="0.25">
      <c r="A779" s="461">
        <v>34607</v>
      </c>
      <c r="B779" s="460" t="s">
        <v>9049</v>
      </c>
      <c r="C779" s="461" t="s">
        <v>1107</v>
      </c>
      <c r="D779" s="461">
        <v>10.83</v>
      </c>
      <c r="E779" s="461" t="s">
        <v>161</v>
      </c>
      <c r="F779" s="461" t="s">
        <v>8326</v>
      </c>
    </row>
    <row r="780" spans="1:6" ht="15" x14ac:dyDescent="0.25">
      <c r="A780" s="461">
        <v>34609</v>
      </c>
      <c r="B780" s="460" t="s">
        <v>9050</v>
      </c>
      <c r="C780" s="461" t="s">
        <v>1107</v>
      </c>
      <c r="D780" s="461">
        <v>15.75</v>
      </c>
      <c r="E780" s="461" t="s">
        <v>161</v>
      </c>
      <c r="F780" s="461" t="s">
        <v>8326</v>
      </c>
    </row>
    <row r="781" spans="1:6" ht="15" x14ac:dyDescent="0.25">
      <c r="A781" s="461">
        <v>34618</v>
      </c>
      <c r="B781" s="460" t="s">
        <v>9051</v>
      </c>
      <c r="C781" s="461" t="s">
        <v>1107</v>
      </c>
      <c r="D781" s="461">
        <v>6.02</v>
      </c>
      <c r="E781" s="461" t="s">
        <v>161</v>
      </c>
      <c r="F781" s="461" t="s">
        <v>8326</v>
      </c>
    </row>
    <row r="782" spans="1:6" ht="15" x14ac:dyDescent="0.25">
      <c r="A782" s="461">
        <v>34621</v>
      </c>
      <c r="B782" s="460" t="s">
        <v>9052</v>
      </c>
      <c r="C782" s="461" t="s">
        <v>1107</v>
      </c>
      <c r="D782" s="461">
        <v>14.93</v>
      </c>
      <c r="E782" s="461" t="s">
        <v>161</v>
      </c>
      <c r="F782" s="461" t="s">
        <v>8326</v>
      </c>
    </row>
    <row r="783" spans="1:6" ht="15" x14ac:dyDescent="0.25">
      <c r="A783" s="461">
        <v>34622</v>
      </c>
      <c r="B783" s="460" t="s">
        <v>9053</v>
      </c>
      <c r="C783" s="461" t="s">
        <v>1107</v>
      </c>
      <c r="D783" s="461">
        <v>22.18</v>
      </c>
      <c r="E783" s="461" t="s">
        <v>161</v>
      </c>
      <c r="F783" s="461" t="s">
        <v>8326</v>
      </c>
    </row>
    <row r="784" spans="1:6" ht="15" x14ac:dyDescent="0.25">
      <c r="A784" s="461">
        <v>34624</v>
      </c>
      <c r="B784" s="460" t="s">
        <v>9054</v>
      </c>
      <c r="C784" s="461" t="s">
        <v>1107</v>
      </c>
      <c r="D784" s="461">
        <v>8.0399999999999991</v>
      </c>
      <c r="E784" s="461" t="s">
        <v>161</v>
      </c>
      <c r="F784" s="461" t="s">
        <v>8326</v>
      </c>
    </row>
    <row r="785" spans="1:6" ht="15" x14ac:dyDescent="0.25">
      <c r="A785" s="461">
        <v>34627</v>
      </c>
      <c r="B785" s="460" t="s">
        <v>9055</v>
      </c>
      <c r="C785" s="461" t="s">
        <v>1107</v>
      </c>
      <c r="D785" s="461">
        <v>19.39</v>
      </c>
      <c r="E785" s="461" t="s">
        <v>161</v>
      </c>
      <c r="F785" s="461" t="s">
        <v>8326</v>
      </c>
    </row>
    <row r="786" spans="1:6" ht="15" x14ac:dyDescent="0.25">
      <c r="A786" s="461">
        <v>34629</v>
      </c>
      <c r="B786" s="460" t="s">
        <v>9056</v>
      </c>
      <c r="C786" s="461" t="s">
        <v>1107</v>
      </c>
      <c r="D786" s="461">
        <v>29.63</v>
      </c>
      <c r="E786" s="461" t="s">
        <v>161</v>
      </c>
      <c r="F786" s="461" t="s">
        <v>8326</v>
      </c>
    </row>
    <row r="787" spans="1:6" ht="30" x14ac:dyDescent="0.25">
      <c r="A787" s="461">
        <v>39257</v>
      </c>
      <c r="B787" s="460" t="s">
        <v>9057</v>
      </c>
      <c r="C787" s="461" t="s">
        <v>1107</v>
      </c>
      <c r="D787" s="461">
        <v>6.03</v>
      </c>
      <c r="E787" s="461" t="s">
        <v>161</v>
      </c>
      <c r="F787" s="461" t="s">
        <v>8326</v>
      </c>
    </row>
    <row r="788" spans="1:6" ht="30" x14ac:dyDescent="0.25">
      <c r="A788" s="461">
        <v>39261</v>
      </c>
      <c r="B788" s="460" t="s">
        <v>9058</v>
      </c>
      <c r="C788" s="461" t="s">
        <v>1107</v>
      </c>
      <c r="D788" s="461">
        <v>34.520000000000003</v>
      </c>
      <c r="E788" s="461" t="s">
        <v>161</v>
      </c>
      <c r="F788" s="461" t="s">
        <v>8326</v>
      </c>
    </row>
    <row r="789" spans="1:6" ht="30" x14ac:dyDescent="0.25">
      <c r="A789" s="461">
        <v>39268</v>
      </c>
      <c r="B789" s="460" t="s">
        <v>9059</v>
      </c>
      <c r="C789" s="461" t="s">
        <v>1107</v>
      </c>
      <c r="D789" s="461">
        <v>539.6</v>
      </c>
      <c r="E789" s="461" t="s">
        <v>161</v>
      </c>
      <c r="F789" s="461" t="s">
        <v>8326</v>
      </c>
    </row>
    <row r="790" spans="1:6" ht="30" x14ac:dyDescent="0.25">
      <c r="A790" s="461">
        <v>39262</v>
      </c>
      <c r="B790" s="460" t="s">
        <v>9060</v>
      </c>
      <c r="C790" s="461" t="s">
        <v>1107</v>
      </c>
      <c r="D790" s="461">
        <v>54.97</v>
      </c>
      <c r="E790" s="461" t="s">
        <v>161</v>
      </c>
      <c r="F790" s="461" t="s">
        <v>8326</v>
      </c>
    </row>
    <row r="791" spans="1:6" ht="30" x14ac:dyDescent="0.25">
      <c r="A791" s="461">
        <v>39258</v>
      </c>
      <c r="B791" s="460" t="s">
        <v>9061</v>
      </c>
      <c r="C791" s="461" t="s">
        <v>1107</v>
      </c>
      <c r="D791" s="461">
        <v>9.09</v>
      </c>
      <c r="E791" s="461" t="s">
        <v>161</v>
      </c>
      <c r="F791" s="461" t="s">
        <v>8326</v>
      </c>
    </row>
    <row r="792" spans="1:6" ht="30" x14ac:dyDescent="0.25">
      <c r="A792" s="461">
        <v>39263</v>
      </c>
      <c r="B792" s="460" t="s">
        <v>9062</v>
      </c>
      <c r="C792" s="461" t="s">
        <v>1107</v>
      </c>
      <c r="D792" s="461">
        <v>95.06</v>
      </c>
      <c r="E792" s="461" t="s">
        <v>161</v>
      </c>
      <c r="F792" s="461" t="s">
        <v>8326</v>
      </c>
    </row>
    <row r="793" spans="1:6" ht="30" x14ac:dyDescent="0.25">
      <c r="A793" s="461">
        <v>39264</v>
      </c>
      <c r="B793" s="460" t="s">
        <v>9063</v>
      </c>
      <c r="C793" s="461" t="s">
        <v>1107</v>
      </c>
      <c r="D793" s="461">
        <v>131.68</v>
      </c>
      <c r="E793" s="461" t="s">
        <v>161</v>
      </c>
      <c r="F793" s="461" t="s">
        <v>8326</v>
      </c>
    </row>
    <row r="794" spans="1:6" ht="30" x14ac:dyDescent="0.25">
      <c r="A794" s="461">
        <v>39259</v>
      </c>
      <c r="B794" s="460" t="s">
        <v>9064</v>
      </c>
      <c r="C794" s="461" t="s">
        <v>1107</v>
      </c>
      <c r="D794" s="461">
        <v>13.99</v>
      </c>
      <c r="E794" s="461" t="s">
        <v>161</v>
      </c>
      <c r="F794" s="461" t="s">
        <v>8326</v>
      </c>
    </row>
    <row r="795" spans="1:6" ht="30" x14ac:dyDescent="0.25">
      <c r="A795" s="461">
        <v>39265</v>
      </c>
      <c r="B795" s="460" t="s">
        <v>9065</v>
      </c>
      <c r="C795" s="461" t="s">
        <v>1107</v>
      </c>
      <c r="D795" s="461">
        <v>178.78</v>
      </c>
      <c r="E795" s="461" t="s">
        <v>161</v>
      </c>
      <c r="F795" s="461" t="s">
        <v>8326</v>
      </c>
    </row>
    <row r="796" spans="1:6" ht="30" x14ac:dyDescent="0.25">
      <c r="A796" s="461">
        <v>39260</v>
      </c>
      <c r="B796" s="460" t="s">
        <v>9066</v>
      </c>
      <c r="C796" s="461" t="s">
        <v>1107</v>
      </c>
      <c r="D796" s="461">
        <v>21.43</v>
      </c>
      <c r="E796" s="461" t="s">
        <v>161</v>
      </c>
      <c r="F796" s="461" t="s">
        <v>8326</v>
      </c>
    </row>
    <row r="797" spans="1:6" ht="30" x14ac:dyDescent="0.25">
      <c r="A797" s="461">
        <v>39266</v>
      </c>
      <c r="B797" s="460" t="s">
        <v>9067</v>
      </c>
      <c r="C797" s="461" t="s">
        <v>1107</v>
      </c>
      <c r="D797" s="461">
        <v>269.77999999999997</v>
      </c>
      <c r="E797" s="461" t="s">
        <v>161</v>
      </c>
      <c r="F797" s="461" t="s">
        <v>8326</v>
      </c>
    </row>
    <row r="798" spans="1:6" ht="30" x14ac:dyDescent="0.25">
      <c r="A798" s="461">
        <v>39267</v>
      </c>
      <c r="B798" s="460" t="s">
        <v>9068</v>
      </c>
      <c r="C798" s="461" t="s">
        <v>1107</v>
      </c>
      <c r="D798" s="461">
        <v>337.3</v>
      </c>
      <c r="E798" s="461" t="s">
        <v>161</v>
      </c>
      <c r="F798" s="461" t="s">
        <v>8326</v>
      </c>
    </row>
    <row r="799" spans="1:6" ht="15" x14ac:dyDescent="0.25">
      <c r="A799" s="461">
        <v>11901</v>
      </c>
      <c r="B799" s="460" t="s">
        <v>9069</v>
      </c>
      <c r="C799" s="461" t="s">
        <v>1107</v>
      </c>
      <c r="D799" s="461">
        <v>0.83</v>
      </c>
      <c r="E799" s="461" t="s">
        <v>161</v>
      </c>
      <c r="F799" s="461" t="s">
        <v>8326</v>
      </c>
    </row>
    <row r="800" spans="1:6" ht="15" x14ac:dyDescent="0.25">
      <c r="A800" s="461">
        <v>11902</v>
      </c>
      <c r="B800" s="460" t="s">
        <v>9070</v>
      </c>
      <c r="C800" s="461" t="s">
        <v>1107</v>
      </c>
      <c r="D800" s="461">
        <v>1.6</v>
      </c>
      <c r="E800" s="461" t="s">
        <v>161</v>
      </c>
      <c r="F800" s="461" t="s">
        <v>8326</v>
      </c>
    </row>
    <row r="801" spans="1:6" ht="15" x14ac:dyDescent="0.25">
      <c r="A801" s="461">
        <v>11903</v>
      </c>
      <c r="B801" s="460" t="s">
        <v>9071</v>
      </c>
      <c r="C801" s="461" t="s">
        <v>1107</v>
      </c>
      <c r="D801" s="461">
        <v>1.69</v>
      </c>
      <c r="E801" s="461" t="s">
        <v>161</v>
      </c>
      <c r="F801" s="461" t="s">
        <v>8326</v>
      </c>
    </row>
    <row r="802" spans="1:6" ht="15" x14ac:dyDescent="0.25">
      <c r="A802" s="461">
        <v>11904</v>
      </c>
      <c r="B802" s="460" t="s">
        <v>9072</v>
      </c>
      <c r="C802" s="461" t="s">
        <v>1107</v>
      </c>
      <c r="D802" s="461">
        <v>2.57</v>
      </c>
      <c r="E802" s="461" t="s">
        <v>161</v>
      </c>
      <c r="F802" s="461" t="s">
        <v>8326</v>
      </c>
    </row>
    <row r="803" spans="1:6" ht="15" x14ac:dyDescent="0.25">
      <c r="A803" s="461">
        <v>11905</v>
      </c>
      <c r="B803" s="460" t="s">
        <v>9073</v>
      </c>
      <c r="C803" s="461" t="s">
        <v>1107</v>
      </c>
      <c r="D803" s="461">
        <v>3.13</v>
      </c>
      <c r="E803" s="461" t="s">
        <v>161</v>
      </c>
      <c r="F803" s="461" t="s">
        <v>8326</v>
      </c>
    </row>
    <row r="804" spans="1:6" ht="15" x14ac:dyDescent="0.25">
      <c r="A804" s="461">
        <v>11906</v>
      </c>
      <c r="B804" s="460" t="s">
        <v>9074</v>
      </c>
      <c r="C804" s="461" t="s">
        <v>1107</v>
      </c>
      <c r="D804" s="461">
        <v>3.98</v>
      </c>
      <c r="E804" s="461" t="s">
        <v>161</v>
      </c>
      <c r="F804" s="461" t="s">
        <v>8326</v>
      </c>
    </row>
    <row r="805" spans="1:6" ht="15" x14ac:dyDescent="0.25">
      <c r="A805" s="461">
        <v>11919</v>
      </c>
      <c r="B805" s="460" t="s">
        <v>9075</v>
      </c>
      <c r="C805" s="461" t="s">
        <v>1107</v>
      </c>
      <c r="D805" s="461">
        <v>7.3</v>
      </c>
      <c r="E805" s="461" t="s">
        <v>161</v>
      </c>
      <c r="F805" s="461" t="s">
        <v>8326</v>
      </c>
    </row>
    <row r="806" spans="1:6" ht="15" x14ac:dyDescent="0.25">
      <c r="A806" s="461">
        <v>11920</v>
      </c>
      <c r="B806" s="460" t="s">
        <v>9076</v>
      </c>
      <c r="C806" s="461" t="s">
        <v>1107</v>
      </c>
      <c r="D806" s="461">
        <v>13.87</v>
      </c>
      <c r="E806" s="461" t="s">
        <v>161</v>
      </c>
      <c r="F806" s="461" t="s">
        <v>8326</v>
      </c>
    </row>
    <row r="807" spans="1:6" ht="15" x14ac:dyDescent="0.25">
      <c r="A807" s="461">
        <v>11924</v>
      </c>
      <c r="B807" s="460" t="s">
        <v>9077</v>
      </c>
      <c r="C807" s="461" t="s">
        <v>1107</v>
      </c>
      <c r="D807" s="461">
        <v>116.42</v>
      </c>
      <c r="E807" s="461" t="s">
        <v>161</v>
      </c>
      <c r="F807" s="461" t="s">
        <v>8326</v>
      </c>
    </row>
    <row r="808" spans="1:6" ht="15" x14ac:dyDescent="0.25">
      <c r="A808" s="461">
        <v>11921</v>
      </c>
      <c r="B808" s="460" t="s">
        <v>9078</v>
      </c>
      <c r="C808" s="461" t="s">
        <v>1107</v>
      </c>
      <c r="D808" s="461">
        <v>20.29</v>
      </c>
      <c r="E808" s="461" t="s">
        <v>161</v>
      </c>
      <c r="F808" s="461" t="s">
        <v>8326</v>
      </c>
    </row>
    <row r="809" spans="1:6" ht="15" x14ac:dyDescent="0.25">
      <c r="A809" s="461">
        <v>11922</v>
      </c>
      <c r="B809" s="460" t="s">
        <v>9079</v>
      </c>
      <c r="C809" s="461" t="s">
        <v>1107</v>
      </c>
      <c r="D809" s="461">
        <v>32.81</v>
      </c>
      <c r="E809" s="461" t="s">
        <v>161</v>
      </c>
      <c r="F809" s="461" t="s">
        <v>8326</v>
      </c>
    </row>
    <row r="810" spans="1:6" ht="15" x14ac:dyDescent="0.25">
      <c r="A810" s="461">
        <v>11923</v>
      </c>
      <c r="B810" s="460" t="s">
        <v>9080</v>
      </c>
      <c r="C810" s="461" t="s">
        <v>1107</v>
      </c>
      <c r="D810" s="461">
        <v>48.04</v>
      </c>
      <c r="E810" s="461" t="s">
        <v>161</v>
      </c>
      <c r="F810" s="461" t="s">
        <v>8326</v>
      </c>
    </row>
    <row r="811" spans="1:6" ht="15" x14ac:dyDescent="0.25">
      <c r="A811" s="461">
        <v>11916</v>
      </c>
      <c r="B811" s="460" t="s">
        <v>9081</v>
      </c>
      <c r="C811" s="461" t="s">
        <v>1107</v>
      </c>
      <c r="D811" s="461">
        <v>9.99</v>
      </c>
      <c r="E811" s="461" t="s">
        <v>161</v>
      </c>
      <c r="F811" s="461" t="s">
        <v>8326</v>
      </c>
    </row>
    <row r="812" spans="1:6" ht="15" x14ac:dyDescent="0.25">
      <c r="A812" s="461">
        <v>11914</v>
      </c>
      <c r="B812" s="460" t="s">
        <v>9082</v>
      </c>
      <c r="C812" s="461" t="s">
        <v>1107</v>
      </c>
      <c r="D812" s="461">
        <v>71.97</v>
      </c>
      <c r="E812" s="461" t="s">
        <v>161</v>
      </c>
      <c r="F812" s="461" t="s">
        <v>8326</v>
      </c>
    </row>
    <row r="813" spans="1:6" ht="15" x14ac:dyDescent="0.25">
      <c r="A813" s="461">
        <v>11917</v>
      </c>
      <c r="B813" s="460" t="s">
        <v>9083</v>
      </c>
      <c r="C813" s="461" t="s">
        <v>1107</v>
      </c>
      <c r="D813" s="461">
        <v>17.59</v>
      </c>
      <c r="E813" s="461" t="s">
        <v>161</v>
      </c>
      <c r="F813" s="461" t="s">
        <v>8326</v>
      </c>
    </row>
    <row r="814" spans="1:6" ht="15" x14ac:dyDescent="0.25">
      <c r="A814" s="461">
        <v>11918</v>
      </c>
      <c r="B814" s="460" t="s">
        <v>9084</v>
      </c>
      <c r="C814" s="461" t="s">
        <v>1107</v>
      </c>
      <c r="D814" s="461">
        <v>20.87</v>
      </c>
      <c r="E814" s="461" t="s">
        <v>161</v>
      </c>
      <c r="F814" s="461" t="s">
        <v>8326</v>
      </c>
    </row>
    <row r="815" spans="1:6" ht="30" x14ac:dyDescent="0.25">
      <c r="A815" s="461">
        <v>37734</v>
      </c>
      <c r="B815" s="460" t="s">
        <v>9085</v>
      </c>
      <c r="C815" s="461" t="s">
        <v>1104</v>
      </c>
      <c r="D815" s="511">
        <v>74370.78</v>
      </c>
      <c r="E815" s="461" t="s">
        <v>1497</v>
      </c>
      <c r="F815" s="461" t="s">
        <v>8328</v>
      </c>
    </row>
    <row r="816" spans="1:6" ht="30" x14ac:dyDescent="0.25">
      <c r="A816" s="461">
        <v>42251</v>
      </c>
      <c r="B816" s="460" t="s">
        <v>9086</v>
      </c>
      <c r="C816" s="461" t="s">
        <v>1104</v>
      </c>
      <c r="D816" s="511">
        <v>84452.56</v>
      </c>
      <c r="E816" s="461" t="s">
        <v>1497</v>
      </c>
      <c r="F816" s="461" t="s">
        <v>8328</v>
      </c>
    </row>
    <row r="817" spans="1:6" ht="30" x14ac:dyDescent="0.25">
      <c r="A817" s="461">
        <v>37733</v>
      </c>
      <c r="B817" s="460" t="s">
        <v>9087</v>
      </c>
      <c r="C817" s="461" t="s">
        <v>1104</v>
      </c>
      <c r="D817" s="511">
        <v>55762.93</v>
      </c>
      <c r="E817" s="461" t="s">
        <v>1497</v>
      </c>
      <c r="F817" s="461" t="s">
        <v>8328</v>
      </c>
    </row>
    <row r="818" spans="1:6" ht="30" x14ac:dyDescent="0.25">
      <c r="A818" s="461">
        <v>37735</v>
      </c>
      <c r="B818" s="460" t="s">
        <v>9088</v>
      </c>
      <c r="C818" s="461" t="s">
        <v>1104</v>
      </c>
      <c r="D818" s="511">
        <v>67194.33</v>
      </c>
      <c r="E818" s="461" t="s">
        <v>1497</v>
      </c>
      <c r="F818" s="461" t="s">
        <v>8328</v>
      </c>
    </row>
    <row r="819" spans="1:6" ht="45" x14ac:dyDescent="0.25">
      <c r="A819" s="461">
        <v>5090</v>
      </c>
      <c r="B819" s="460" t="s">
        <v>9089</v>
      </c>
      <c r="C819" s="461" t="s">
        <v>1104</v>
      </c>
      <c r="D819" s="461">
        <v>18.5</v>
      </c>
      <c r="E819" s="461" t="s">
        <v>161</v>
      </c>
      <c r="F819" s="461" t="s">
        <v>8333</v>
      </c>
    </row>
    <row r="820" spans="1:6" ht="45" x14ac:dyDescent="0.25">
      <c r="A820" s="461">
        <v>5085</v>
      </c>
      <c r="B820" s="460" t="s">
        <v>9090</v>
      </c>
      <c r="C820" s="461" t="s">
        <v>1104</v>
      </c>
      <c r="D820" s="461">
        <v>27.54</v>
      </c>
      <c r="E820" s="461" t="s">
        <v>161</v>
      </c>
      <c r="F820" s="461" t="s">
        <v>8326</v>
      </c>
    </row>
    <row r="821" spans="1:6" ht="45" x14ac:dyDescent="0.25">
      <c r="A821" s="461">
        <v>43603</v>
      </c>
      <c r="B821" s="460" t="s">
        <v>9091</v>
      </c>
      <c r="C821" s="461" t="s">
        <v>1104</v>
      </c>
      <c r="D821" s="461">
        <v>39.340000000000003</v>
      </c>
      <c r="E821" s="461" t="s">
        <v>161</v>
      </c>
      <c r="F821" s="461" t="s">
        <v>8326</v>
      </c>
    </row>
    <row r="822" spans="1:6" ht="15" x14ac:dyDescent="0.25">
      <c r="A822" s="461">
        <v>38374</v>
      </c>
      <c r="B822" s="460" t="s">
        <v>9092</v>
      </c>
      <c r="C822" s="461" t="s">
        <v>1104</v>
      </c>
      <c r="D822" s="511">
        <v>1119.02</v>
      </c>
      <c r="E822" s="461" t="s">
        <v>161</v>
      </c>
      <c r="F822" s="461" t="s">
        <v>8326</v>
      </c>
    </row>
    <row r="823" spans="1:6" ht="30" x14ac:dyDescent="0.25">
      <c r="A823" s="461">
        <v>20212</v>
      </c>
      <c r="B823" s="460" t="s">
        <v>9093</v>
      </c>
      <c r="C823" s="461" t="s">
        <v>1107</v>
      </c>
      <c r="D823" s="461">
        <v>24.67</v>
      </c>
      <c r="E823" s="461" t="s">
        <v>161</v>
      </c>
      <c r="F823" s="461" t="s">
        <v>8326</v>
      </c>
    </row>
    <row r="824" spans="1:6" ht="30" x14ac:dyDescent="0.25">
      <c r="A824" s="461">
        <v>20209</v>
      </c>
      <c r="B824" s="460" t="s">
        <v>9094</v>
      </c>
      <c r="C824" s="461" t="s">
        <v>1107</v>
      </c>
      <c r="D824" s="461">
        <v>29.47</v>
      </c>
      <c r="E824" s="461" t="s">
        <v>161</v>
      </c>
      <c r="F824" s="461" t="s">
        <v>8326</v>
      </c>
    </row>
    <row r="825" spans="1:6" ht="30" x14ac:dyDescent="0.25">
      <c r="A825" s="461">
        <v>4430</v>
      </c>
      <c r="B825" s="460" t="s">
        <v>9095</v>
      </c>
      <c r="C825" s="461" t="s">
        <v>1107</v>
      </c>
      <c r="D825" s="461">
        <v>14.44</v>
      </c>
      <c r="E825" s="461" t="s">
        <v>161</v>
      </c>
      <c r="F825" s="461" t="s">
        <v>8333</v>
      </c>
    </row>
    <row r="826" spans="1:6" ht="30" x14ac:dyDescent="0.25">
      <c r="A826" s="461">
        <v>4433</v>
      </c>
      <c r="B826" s="460" t="s">
        <v>9096</v>
      </c>
      <c r="C826" s="461" t="s">
        <v>1107</v>
      </c>
      <c r="D826" s="461">
        <v>28.24</v>
      </c>
      <c r="E826" s="461" t="s">
        <v>161</v>
      </c>
      <c r="F826" s="461" t="s">
        <v>8326</v>
      </c>
    </row>
    <row r="827" spans="1:6" ht="30" x14ac:dyDescent="0.25">
      <c r="A827" s="461">
        <v>4400</v>
      </c>
      <c r="B827" s="460" t="s">
        <v>9097</v>
      </c>
      <c r="C827" s="461" t="s">
        <v>1107</v>
      </c>
      <c r="D827" s="461">
        <v>22.98</v>
      </c>
      <c r="E827" s="461" t="s">
        <v>161</v>
      </c>
      <c r="F827" s="461" t="s">
        <v>8326</v>
      </c>
    </row>
    <row r="828" spans="1:6" ht="30" x14ac:dyDescent="0.25">
      <c r="A828" s="461">
        <v>2729</v>
      </c>
      <c r="B828" s="460" t="s">
        <v>9098</v>
      </c>
      <c r="C828" s="461" t="s">
        <v>1104</v>
      </c>
      <c r="D828" s="461">
        <v>29.09</v>
      </c>
      <c r="E828" s="461" t="s">
        <v>161</v>
      </c>
      <c r="F828" s="461" t="s">
        <v>8326</v>
      </c>
    </row>
    <row r="829" spans="1:6" ht="15" x14ac:dyDescent="0.25">
      <c r="A829" s="461">
        <v>4513</v>
      </c>
      <c r="B829" s="460" t="s">
        <v>9099</v>
      </c>
      <c r="C829" s="461" t="s">
        <v>1107</v>
      </c>
      <c r="D829" s="461">
        <v>5.34</v>
      </c>
      <c r="E829" s="461" t="s">
        <v>161</v>
      </c>
      <c r="F829" s="461" t="s">
        <v>8326</v>
      </c>
    </row>
    <row r="830" spans="1:6" ht="30" x14ac:dyDescent="0.25">
      <c r="A830" s="461">
        <v>37106</v>
      </c>
      <c r="B830" s="460" t="s">
        <v>9100</v>
      </c>
      <c r="C830" s="461" t="s">
        <v>1104</v>
      </c>
      <c r="D830" s="511">
        <v>4929.55</v>
      </c>
      <c r="E830" s="461" t="s">
        <v>161</v>
      </c>
      <c r="F830" s="461" t="s">
        <v>8326</v>
      </c>
    </row>
    <row r="831" spans="1:6" ht="30" x14ac:dyDescent="0.25">
      <c r="A831" s="461">
        <v>11869</v>
      </c>
      <c r="B831" s="460" t="s">
        <v>9101</v>
      </c>
      <c r="C831" s="461" t="s">
        <v>1104</v>
      </c>
      <c r="D831" s="461">
        <v>985.91</v>
      </c>
      <c r="E831" s="461" t="s">
        <v>161</v>
      </c>
      <c r="F831" s="461" t="s">
        <v>8326</v>
      </c>
    </row>
    <row r="832" spans="1:6" ht="30" x14ac:dyDescent="0.25">
      <c r="A832" s="461">
        <v>43981</v>
      </c>
      <c r="B832" s="460" t="s">
        <v>9102</v>
      </c>
      <c r="C832" s="461" t="s">
        <v>1104</v>
      </c>
      <c r="D832" s="511">
        <v>7428.79</v>
      </c>
      <c r="E832" s="461" t="s">
        <v>161</v>
      </c>
      <c r="F832" s="461" t="s">
        <v>8326</v>
      </c>
    </row>
    <row r="833" spans="1:6" ht="30" x14ac:dyDescent="0.25">
      <c r="A833" s="461">
        <v>37104</v>
      </c>
      <c r="B833" s="460" t="s">
        <v>9103</v>
      </c>
      <c r="C833" s="461" t="s">
        <v>1104</v>
      </c>
      <c r="D833" s="511">
        <v>1237.33</v>
      </c>
      <c r="E833" s="461" t="s">
        <v>161</v>
      </c>
      <c r="F833" s="461" t="s">
        <v>8326</v>
      </c>
    </row>
    <row r="834" spans="1:6" ht="30" x14ac:dyDescent="0.25">
      <c r="A834" s="461">
        <v>43982</v>
      </c>
      <c r="B834" s="460" t="s">
        <v>9104</v>
      </c>
      <c r="C834" s="461" t="s">
        <v>1104</v>
      </c>
      <c r="D834" s="511">
        <v>11735.61</v>
      </c>
      <c r="E834" s="461" t="s">
        <v>161</v>
      </c>
      <c r="F834" s="461" t="s">
        <v>8326</v>
      </c>
    </row>
    <row r="835" spans="1:6" ht="30" x14ac:dyDescent="0.25">
      <c r="A835" s="461">
        <v>43978</v>
      </c>
      <c r="B835" s="460" t="s">
        <v>9105</v>
      </c>
      <c r="C835" s="461" t="s">
        <v>1104</v>
      </c>
      <c r="D835" s="511">
        <v>1833.71</v>
      </c>
      <c r="E835" s="461" t="s">
        <v>161</v>
      </c>
      <c r="F835" s="461" t="s">
        <v>8326</v>
      </c>
    </row>
    <row r="836" spans="1:6" ht="30" x14ac:dyDescent="0.25">
      <c r="A836" s="461">
        <v>11871</v>
      </c>
      <c r="B836" s="460" t="s">
        <v>9106</v>
      </c>
      <c r="C836" s="461" t="s">
        <v>1104</v>
      </c>
      <c r="D836" s="461">
        <v>459.58</v>
      </c>
      <c r="E836" s="461" t="s">
        <v>161</v>
      </c>
      <c r="F836" s="461" t="s">
        <v>8326</v>
      </c>
    </row>
    <row r="837" spans="1:6" ht="30" x14ac:dyDescent="0.25">
      <c r="A837" s="461">
        <v>37105</v>
      </c>
      <c r="B837" s="460" t="s">
        <v>9107</v>
      </c>
      <c r="C837" s="461" t="s">
        <v>1104</v>
      </c>
      <c r="D837" s="511">
        <v>2827.78</v>
      </c>
      <c r="E837" s="461" t="s">
        <v>161</v>
      </c>
      <c r="F837" s="461" t="s">
        <v>8326</v>
      </c>
    </row>
    <row r="838" spans="1:6" ht="30" x14ac:dyDescent="0.25">
      <c r="A838" s="461">
        <v>43980</v>
      </c>
      <c r="B838" s="460" t="s">
        <v>9108</v>
      </c>
      <c r="C838" s="461" t="s">
        <v>1104</v>
      </c>
      <c r="D838" s="511">
        <v>3521.71</v>
      </c>
      <c r="E838" s="461" t="s">
        <v>161</v>
      </c>
      <c r="F838" s="461" t="s">
        <v>8326</v>
      </c>
    </row>
    <row r="839" spans="1:6" ht="30" x14ac:dyDescent="0.25">
      <c r="A839" s="461">
        <v>43979</v>
      </c>
      <c r="B839" s="460" t="s">
        <v>9109</v>
      </c>
      <c r="C839" s="461" t="s">
        <v>1104</v>
      </c>
      <c r="D839" s="461">
        <v>661.69</v>
      </c>
      <c r="E839" s="461" t="s">
        <v>161</v>
      </c>
      <c r="F839" s="461" t="s">
        <v>8326</v>
      </c>
    </row>
    <row r="840" spans="1:6" ht="30" x14ac:dyDescent="0.25">
      <c r="A840" s="461">
        <v>11868</v>
      </c>
      <c r="B840" s="460" t="s">
        <v>9110</v>
      </c>
      <c r="C840" s="461" t="s">
        <v>1104</v>
      </c>
      <c r="D840" s="461">
        <v>639.91999999999996</v>
      </c>
      <c r="E840" s="461" t="s">
        <v>161</v>
      </c>
      <c r="F840" s="461" t="s">
        <v>8326</v>
      </c>
    </row>
    <row r="841" spans="1:6" ht="15" x14ac:dyDescent="0.25">
      <c r="A841" s="461">
        <v>34636</v>
      </c>
      <c r="B841" s="460" t="s">
        <v>9111</v>
      </c>
      <c r="C841" s="461" t="s">
        <v>1104</v>
      </c>
      <c r="D841" s="461">
        <v>454.43</v>
      </c>
      <c r="E841" s="461" t="s">
        <v>161</v>
      </c>
      <c r="F841" s="461" t="s">
        <v>8333</v>
      </c>
    </row>
    <row r="842" spans="1:6" ht="15" x14ac:dyDescent="0.25">
      <c r="A842" s="461">
        <v>34639</v>
      </c>
      <c r="B842" s="460" t="s">
        <v>9112</v>
      </c>
      <c r="C842" s="461" t="s">
        <v>1104</v>
      </c>
      <c r="D842" s="461">
        <v>1048.9000000000001</v>
      </c>
      <c r="E842" s="461" t="s">
        <v>161</v>
      </c>
      <c r="F842" s="461" t="s">
        <v>8326</v>
      </c>
    </row>
    <row r="843" spans="1:6" ht="15" x14ac:dyDescent="0.25">
      <c r="A843" s="461">
        <v>34640</v>
      </c>
      <c r="B843" s="460" t="s">
        <v>9113</v>
      </c>
      <c r="C843" s="461" t="s">
        <v>1104</v>
      </c>
      <c r="D843" s="511">
        <v>1189.82</v>
      </c>
      <c r="E843" s="461" t="s">
        <v>161</v>
      </c>
      <c r="F843" s="461" t="s">
        <v>8326</v>
      </c>
    </row>
    <row r="844" spans="1:6" ht="15" x14ac:dyDescent="0.25">
      <c r="A844" s="461">
        <v>43977</v>
      </c>
      <c r="B844" s="460" t="s">
        <v>9114</v>
      </c>
      <c r="C844" s="461" t="s">
        <v>1104</v>
      </c>
      <c r="D844" s="511">
        <v>2051.17</v>
      </c>
      <c r="E844" s="461" t="s">
        <v>161</v>
      </c>
      <c r="F844" s="461" t="s">
        <v>8326</v>
      </c>
    </row>
    <row r="845" spans="1:6" ht="15" x14ac:dyDescent="0.25">
      <c r="A845" s="461">
        <v>34637</v>
      </c>
      <c r="B845" s="460" t="s">
        <v>9115</v>
      </c>
      <c r="C845" s="461" t="s">
        <v>1104</v>
      </c>
      <c r="D845" s="461">
        <v>274.81</v>
      </c>
      <c r="E845" s="461" t="s">
        <v>161</v>
      </c>
      <c r="F845" s="461" t="s">
        <v>8326</v>
      </c>
    </row>
    <row r="846" spans="1:6" ht="15" x14ac:dyDescent="0.25">
      <c r="A846" s="461">
        <v>34638</v>
      </c>
      <c r="B846" s="460" t="s">
        <v>9116</v>
      </c>
      <c r="C846" s="461" t="s">
        <v>1104</v>
      </c>
      <c r="D846" s="461">
        <v>425.08</v>
      </c>
      <c r="E846" s="461" t="s">
        <v>161</v>
      </c>
      <c r="F846" s="461" t="s">
        <v>8326</v>
      </c>
    </row>
    <row r="847" spans="1:6" ht="30" x14ac:dyDescent="0.25">
      <c r="A847" s="461">
        <v>34641</v>
      </c>
      <c r="B847" s="460" t="s">
        <v>9117</v>
      </c>
      <c r="C847" s="461" t="s">
        <v>1104</v>
      </c>
      <c r="D847" s="461">
        <v>109.45</v>
      </c>
      <c r="E847" s="461" t="s">
        <v>161</v>
      </c>
      <c r="F847" s="461" t="s">
        <v>8326</v>
      </c>
    </row>
    <row r="848" spans="1:6" ht="30" x14ac:dyDescent="0.25">
      <c r="A848" s="461">
        <v>43434</v>
      </c>
      <c r="B848" s="460" t="s">
        <v>9118</v>
      </c>
      <c r="C848" s="461" t="s">
        <v>1104</v>
      </c>
      <c r="D848" s="461">
        <v>118.33</v>
      </c>
      <c r="E848" s="461" t="s">
        <v>161</v>
      </c>
      <c r="F848" s="461" t="s">
        <v>8326</v>
      </c>
    </row>
    <row r="849" spans="1:6" ht="30" x14ac:dyDescent="0.25">
      <c r="A849" s="461">
        <v>43435</v>
      </c>
      <c r="B849" s="460" t="s">
        <v>9119</v>
      </c>
      <c r="C849" s="461" t="s">
        <v>1104</v>
      </c>
      <c r="D849" s="461">
        <v>216.94</v>
      </c>
      <c r="E849" s="461" t="s">
        <v>161</v>
      </c>
      <c r="F849" s="461" t="s">
        <v>8326</v>
      </c>
    </row>
    <row r="850" spans="1:6" ht="30" x14ac:dyDescent="0.25">
      <c r="A850" s="461">
        <v>43436</v>
      </c>
      <c r="B850" s="460" t="s">
        <v>9120</v>
      </c>
      <c r="C850" s="461" t="s">
        <v>1104</v>
      </c>
      <c r="D850" s="461">
        <v>379.66</v>
      </c>
      <c r="E850" s="461" t="s">
        <v>161</v>
      </c>
      <c r="F850" s="461" t="s">
        <v>8326</v>
      </c>
    </row>
    <row r="851" spans="1:6" ht="30" x14ac:dyDescent="0.25">
      <c r="A851" s="461">
        <v>43437</v>
      </c>
      <c r="B851" s="460" t="s">
        <v>9121</v>
      </c>
      <c r="C851" s="461" t="s">
        <v>1104</v>
      </c>
      <c r="D851" s="461">
        <v>688.32</v>
      </c>
      <c r="E851" s="461" t="s">
        <v>161</v>
      </c>
      <c r="F851" s="461" t="s">
        <v>8326</v>
      </c>
    </row>
    <row r="852" spans="1:6" ht="30" x14ac:dyDescent="0.25">
      <c r="A852" s="461">
        <v>43438</v>
      </c>
      <c r="B852" s="460" t="s">
        <v>9122</v>
      </c>
      <c r="C852" s="461" t="s">
        <v>1104</v>
      </c>
      <c r="D852" s="511">
        <v>1232.6600000000001</v>
      </c>
      <c r="E852" s="461" t="s">
        <v>161</v>
      </c>
      <c r="F852" s="461" t="s">
        <v>8326</v>
      </c>
    </row>
    <row r="853" spans="1:6" ht="30" x14ac:dyDescent="0.25">
      <c r="A853" s="461">
        <v>41627</v>
      </c>
      <c r="B853" s="460" t="s">
        <v>9123</v>
      </c>
      <c r="C853" s="461" t="s">
        <v>1104</v>
      </c>
      <c r="D853" s="461">
        <v>182.43</v>
      </c>
      <c r="E853" s="461" t="s">
        <v>161</v>
      </c>
      <c r="F853" s="461" t="s">
        <v>8326</v>
      </c>
    </row>
    <row r="854" spans="1:6" ht="30" x14ac:dyDescent="0.25">
      <c r="A854" s="461">
        <v>41628</v>
      </c>
      <c r="B854" s="460" t="s">
        <v>9124</v>
      </c>
      <c r="C854" s="461" t="s">
        <v>1104</v>
      </c>
      <c r="D854" s="461">
        <v>335.28</v>
      </c>
      <c r="E854" s="461" t="s">
        <v>161</v>
      </c>
      <c r="F854" s="461" t="s">
        <v>8326</v>
      </c>
    </row>
    <row r="855" spans="1:6" ht="30" x14ac:dyDescent="0.25">
      <c r="A855" s="461">
        <v>41629</v>
      </c>
      <c r="B855" s="460" t="s">
        <v>9125</v>
      </c>
      <c r="C855" s="461" t="s">
        <v>1104</v>
      </c>
      <c r="D855" s="461">
        <v>426.01</v>
      </c>
      <c r="E855" s="461" t="s">
        <v>161</v>
      </c>
      <c r="F855" s="461" t="s">
        <v>8326</v>
      </c>
    </row>
    <row r="856" spans="1:6" ht="30" x14ac:dyDescent="0.25">
      <c r="A856" s="461">
        <v>43429</v>
      </c>
      <c r="B856" s="460" t="s">
        <v>9126</v>
      </c>
      <c r="C856" s="461" t="s">
        <v>1104</v>
      </c>
      <c r="D856" s="461">
        <v>94.39</v>
      </c>
      <c r="E856" s="461" t="s">
        <v>161</v>
      </c>
      <c r="F856" s="461" t="s">
        <v>8326</v>
      </c>
    </row>
    <row r="857" spans="1:6" ht="30" x14ac:dyDescent="0.25">
      <c r="A857" s="461">
        <v>43430</v>
      </c>
      <c r="B857" s="460" t="s">
        <v>9127</v>
      </c>
      <c r="C857" s="461" t="s">
        <v>1104</v>
      </c>
      <c r="D857" s="461">
        <v>156.79</v>
      </c>
      <c r="E857" s="461" t="s">
        <v>161</v>
      </c>
      <c r="F857" s="461" t="s">
        <v>8326</v>
      </c>
    </row>
    <row r="858" spans="1:6" ht="30" x14ac:dyDescent="0.25">
      <c r="A858" s="461">
        <v>43431</v>
      </c>
      <c r="B858" s="460" t="s">
        <v>9128</v>
      </c>
      <c r="C858" s="461" t="s">
        <v>1104</v>
      </c>
      <c r="D858" s="461">
        <v>303.72000000000003</v>
      </c>
      <c r="E858" s="461" t="s">
        <v>161</v>
      </c>
      <c r="F858" s="461" t="s">
        <v>8326</v>
      </c>
    </row>
    <row r="859" spans="1:6" ht="30" x14ac:dyDescent="0.25">
      <c r="A859" s="461">
        <v>43432</v>
      </c>
      <c r="B859" s="460" t="s">
        <v>9129</v>
      </c>
      <c r="C859" s="461" t="s">
        <v>1104</v>
      </c>
      <c r="D859" s="461">
        <v>631.12</v>
      </c>
      <c r="E859" s="461" t="s">
        <v>161</v>
      </c>
      <c r="F859" s="461" t="s">
        <v>8326</v>
      </c>
    </row>
    <row r="860" spans="1:6" ht="30" x14ac:dyDescent="0.25">
      <c r="A860" s="461">
        <v>43433</v>
      </c>
      <c r="B860" s="460" t="s">
        <v>9130</v>
      </c>
      <c r="C860" s="461" t="s">
        <v>1104</v>
      </c>
      <c r="D860" s="461">
        <v>995</v>
      </c>
      <c r="E860" s="461" t="s">
        <v>161</v>
      </c>
      <c r="F860" s="461" t="s">
        <v>8326</v>
      </c>
    </row>
    <row r="861" spans="1:6" ht="45" x14ac:dyDescent="0.25">
      <c r="A861" s="461">
        <v>43094</v>
      </c>
      <c r="B861" s="460" t="s">
        <v>9131</v>
      </c>
      <c r="C861" s="461" t="s">
        <v>1104</v>
      </c>
      <c r="D861" s="461">
        <v>360.43</v>
      </c>
      <c r="E861" s="461" t="s">
        <v>161</v>
      </c>
      <c r="F861" s="461" t="s">
        <v>8326</v>
      </c>
    </row>
    <row r="862" spans="1:6" ht="45" x14ac:dyDescent="0.25">
      <c r="A862" s="461">
        <v>43093</v>
      </c>
      <c r="B862" s="460" t="s">
        <v>9132</v>
      </c>
      <c r="C862" s="461" t="s">
        <v>1104</v>
      </c>
      <c r="D862" s="461">
        <v>383.03</v>
      </c>
      <c r="E862" s="461" t="s">
        <v>161</v>
      </c>
      <c r="F862" s="461" t="s">
        <v>8326</v>
      </c>
    </row>
    <row r="863" spans="1:6" ht="45" x14ac:dyDescent="0.25">
      <c r="A863" s="461">
        <v>11694</v>
      </c>
      <c r="B863" s="460" t="s">
        <v>9133</v>
      </c>
      <c r="C863" s="461" t="s">
        <v>1104</v>
      </c>
      <c r="D863" s="511">
        <v>1127.3599999999999</v>
      </c>
      <c r="E863" s="461" t="s">
        <v>161</v>
      </c>
      <c r="F863" s="461" t="s">
        <v>8326</v>
      </c>
    </row>
    <row r="864" spans="1:6" ht="45" x14ac:dyDescent="0.25">
      <c r="A864" s="461">
        <v>1030</v>
      </c>
      <c r="B864" s="460" t="s">
        <v>9134</v>
      </c>
      <c r="C864" s="461" t="s">
        <v>1104</v>
      </c>
      <c r="D864" s="461">
        <v>51</v>
      </c>
      <c r="E864" s="461" t="s">
        <v>161</v>
      </c>
      <c r="F864" s="461" t="s">
        <v>8333</v>
      </c>
    </row>
    <row r="865" spans="1:6" ht="30" x14ac:dyDescent="0.25">
      <c r="A865" s="461">
        <v>11881</v>
      </c>
      <c r="B865" s="460" t="s">
        <v>13114</v>
      </c>
      <c r="C865" s="461" t="s">
        <v>1104</v>
      </c>
      <c r="D865" s="461">
        <v>167.64</v>
      </c>
      <c r="E865" s="461" t="s">
        <v>161</v>
      </c>
      <c r="F865" s="461" t="s">
        <v>8326</v>
      </c>
    </row>
    <row r="866" spans="1:6" ht="30" x14ac:dyDescent="0.25">
      <c r="A866" s="461">
        <v>35277</v>
      </c>
      <c r="B866" s="460" t="s">
        <v>13115</v>
      </c>
      <c r="C866" s="461" t="s">
        <v>1104</v>
      </c>
      <c r="D866" s="461">
        <v>497.92</v>
      </c>
      <c r="E866" s="461" t="s">
        <v>161</v>
      </c>
      <c r="F866" s="461" t="s">
        <v>8326</v>
      </c>
    </row>
    <row r="867" spans="1:6" ht="60" x14ac:dyDescent="0.25">
      <c r="A867" s="461">
        <v>10521</v>
      </c>
      <c r="B867" s="460" t="s">
        <v>9135</v>
      </c>
      <c r="C867" s="461" t="s">
        <v>1104</v>
      </c>
      <c r="D867" s="461">
        <v>276.81</v>
      </c>
      <c r="E867" s="461" t="s">
        <v>161</v>
      </c>
      <c r="F867" s="461" t="s">
        <v>8326</v>
      </c>
    </row>
    <row r="868" spans="1:6" ht="60" x14ac:dyDescent="0.25">
      <c r="A868" s="461">
        <v>10885</v>
      </c>
      <c r="B868" s="460" t="s">
        <v>9136</v>
      </c>
      <c r="C868" s="461" t="s">
        <v>1104</v>
      </c>
      <c r="D868" s="461">
        <v>350.14</v>
      </c>
      <c r="E868" s="461" t="s">
        <v>161</v>
      </c>
      <c r="F868" s="461" t="s">
        <v>8326</v>
      </c>
    </row>
    <row r="869" spans="1:6" ht="60" x14ac:dyDescent="0.25">
      <c r="A869" s="461">
        <v>20962</v>
      </c>
      <c r="B869" s="460" t="s">
        <v>9137</v>
      </c>
      <c r="C869" s="461" t="s">
        <v>1104</v>
      </c>
      <c r="D869" s="461">
        <v>290</v>
      </c>
      <c r="E869" s="461" t="s">
        <v>161</v>
      </c>
      <c r="F869" s="461" t="s">
        <v>8333</v>
      </c>
    </row>
    <row r="870" spans="1:6" ht="60" x14ac:dyDescent="0.25">
      <c r="A870" s="461">
        <v>20963</v>
      </c>
      <c r="B870" s="460" t="s">
        <v>9138</v>
      </c>
      <c r="C870" s="461" t="s">
        <v>1104</v>
      </c>
      <c r="D870" s="461">
        <v>354.26</v>
      </c>
      <c r="E870" s="461" t="s">
        <v>161</v>
      </c>
      <c r="F870" s="461" t="s">
        <v>8326</v>
      </c>
    </row>
    <row r="871" spans="1:6" ht="30" x14ac:dyDescent="0.25">
      <c r="A871" s="461">
        <v>34643</v>
      </c>
      <c r="B871" s="460" t="s">
        <v>13116</v>
      </c>
      <c r="C871" s="461" t="s">
        <v>1104</v>
      </c>
      <c r="D871" s="461">
        <v>57.34</v>
      </c>
      <c r="E871" s="461" t="s">
        <v>161</v>
      </c>
      <c r="F871" s="461" t="s">
        <v>8326</v>
      </c>
    </row>
    <row r="872" spans="1:6" ht="30" x14ac:dyDescent="0.25">
      <c r="A872" s="461">
        <v>41480</v>
      </c>
      <c r="B872" s="460" t="s">
        <v>9139</v>
      </c>
      <c r="C872" s="461" t="s">
        <v>1104</v>
      </c>
      <c r="D872" s="461">
        <v>66.489999999999995</v>
      </c>
      <c r="E872" s="461" t="s">
        <v>161</v>
      </c>
      <c r="F872" s="461" t="s">
        <v>8326</v>
      </c>
    </row>
    <row r="873" spans="1:6" ht="30" x14ac:dyDescent="0.25">
      <c r="A873" s="461">
        <v>41474</v>
      </c>
      <c r="B873" s="460" t="s">
        <v>9140</v>
      </c>
      <c r="C873" s="461" t="s">
        <v>1104</v>
      </c>
      <c r="D873" s="461">
        <v>106.21</v>
      </c>
      <c r="E873" s="461" t="s">
        <v>161</v>
      </c>
      <c r="F873" s="461" t="s">
        <v>8326</v>
      </c>
    </row>
    <row r="874" spans="1:6" ht="30" x14ac:dyDescent="0.25">
      <c r="A874" s="461">
        <v>41475</v>
      </c>
      <c r="B874" s="460" t="s">
        <v>9141</v>
      </c>
      <c r="C874" s="461" t="s">
        <v>1104</v>
      </c>
      <c r="D874" s="461">
        <v>90.62</v>
      </c>
      <c r="E874" s="461" t="s">
        <v>161</v>
      </c>
      <c r="F874" s="461" t="s">
        <v>8326</v>
      </c>
    </row>
    <row r="875" spans="1:6" ht="30" x14ac:dyDescent="0.25">
      <c r="A875" s="461">
        <v>41476</v>
      </c>
      <c r="B875" s="460" t="s">
        <v>9142</v>
      </c>
      <c r="C875" s="461" t="s">
        <v>1104</v>
      </c>
      <c r="D875" s="461">
        <v>198.43</v>
      </c>
      <c r="E875" s="461" t="s">
        <v>161</v>
      </c>
      <c r="F875" s="461" t="s">
        <v>8326</v>
      </c>
    </row>
    <row r="876" spans="1:6" ht="15" x14ac:dyDescent="0.25">
      <c r="A876" s="461">
        <v>2555</v>
      </c>
      <c r="B876" s="460" t="s">
        <v>9143</v>
      </c>
      <c r="C876" s="461" t="s">
        <v>1104</v>
      </c>
      <c r="D876" s="461">
        <v>1.22</v>
      </c>
      <c r="E876" s="461" t="s">
        <v>161</v>
      </c>
      <c r="F876" s="461" t="s">
        <v>8326</v>
      </c>
    </row>
    <row r="877" spans="1:6" ht="15" x14ac:dyDescent="0.25">
      <c r="A877" s="461">
        <v>2556</v>
      </c>
      <c r="B877" s="460" t="s">
        <v>9144</v>
      </c>
      <c r="C877" s="461" t="s">
        <v>1104</v>
      </c>
      <c r="D877" s="461">
        <v>1.26</v>
      </c>
      <c r="E877" s="461" t="s">
        <v>161</v>
      </c>
      <c r="F877" s="461" t="s">
        <v>8326</v>
      </c>
    </row>
    <row r="878" spans="1:6" ht="15" x14ac:dyDescent="0.25">
      <c r="A878" s="461">
        <v>2557</v>
      </c>
      <c r="B878" s="460" t="s">
        <v>9145</v>
      </c>
      <c r="C878" s="461" t="s">
        <v>1104</v>
      </c>
      <c r="D878" s="461">
        <v>2.67</v>
      </c>
      <c r="E878" s="461" t="s">
        <v>161</v>
      </c>
      <c r="F878" s="461" t="s">
        <v>8326</v>
      </c>
    </row>
    <row r="879" spans="1:6" ht="30" x14ac:dyDescent="0.25">
      <c r="A879" s="461">
        <v>10569</v>
      </c>
      <c r="B879" s="460" t="s">
        <v>9146</v>
      </c>
      <c r="C879" s="461" t="s">
        <v>1104</v>
      </c>
      <c r="D879" s="461">
        <v>2.67</v>
      </c>
      <c r="E879" s="461" t="s">
        <v>161</v>
      </c>
      <c r="F879" s="461" t="s">
        <v>8326</v>
      </c>
    </row>
    <row r="880" spans="1:6" ht="30" x14ac:dyDescent="0.25">
      <c r="A880" s="461">
        <v>39810</v>
      </c>
      <c r="B880" s="460" t="s">
        <v>9147</v>
      </c>
      <c r="C880" s="461" t="s">
        <v>1104</v>
      </c>
      <c r="D880" s="461">
        <v>48.64</v>
      </c>
      <c r="E880" s="461" t="s">
        <v>161</v>
      </c>
      <c r="F880" s="461" t="s">
        <v>8326</v>
      </c>
    </row>
    <row r="881" spans="1:6" ht="30" x14ac:dyDescent="0.25">
      <c r="A881" s="461">
        <v>39811</v>
      </c>
      <c r="B881" s="460" t="s">
        <v>9148</v>
      </c>
      <c r="C881" s="461" t="s">
        <v>1104</v>
      </c>
      <c r="D881" s="461">
        <v>59.5</v>
      </c>
      <c r="E881" s="461" t="s">
        <v>161</v>
      </c>
      <c r="F881" s="461" t="s">
        <v>8326</v>
      </c>
    </row>
    <row r="882" spans="1:6" ht="30" x14ac:dyDescent="0.25">
      <c r="A882" s="461">
        <v>39812</v>
      </c>
      <c r="B882" s="460" t="s">
        <v>9149</v>
      </c>
      <c r="C882" s="461" t="s">
        <v>1104</v>
      </c>
      <c r="D882" s="461">
        <v>97.83</v>
      </c>
      <c r="E882" s="461" t="s">
        <v>161</v>
      </c>
      <c r="F882" s="461" t="s">
        <v>8326</v>
      </c>
    </row>
    <row r="883" spans="1:6" ht="30" x14ac:dyDescent="0.25">
      <c r="A883" s="461">
        <v>43096</v>
      </c>
      <c r="B883" s="460" t="s">
        <v>9150</v>
      </c>
      <c r="C883" s="461" t="s">
        <v>1104</v>
      </c>
      <c r="D883" s="461">
        <v>324.27999999999997</v>
      </c>
      <c r="E883" s="461" t="s">
        <v>161</v>
      </c>
      <c r="F883" s="461" t="s">
        <v>8326</v>
      </c>
    </row>
    <row r="884" spans="1:6" ht="30" x14ac:dyDescent="0.25">
      <c r="A884" s="461">
        <v>43102</v>
      </c>
      <c r="B884" s="460" t="s">
        <v>9151</v>
      </c>
      <c r="C884" s="461" t="s">
        <v>1104</v>
      </c>
      <c r="D884" s="461">
        <v>197.18</v>
      </c>
      <c r="E884" s="461" t="s">
        <v>161</v>
      </c>
      <c r="F884" s="461" t="s">
        <v>8326</v>
      </c>
    </row>
    <row r="885" spans="1:6" ht="30" x14ac:dyDescent="0.25">
      <c r="A885" s="461">
        <v>43103</v>
      </c>
      <c r="B885" s="460" t="s">
        <v>9152</v>
      </c>
      <c r="C885" s="461" t="s">
        <v>1104</v>
      </c>
      <c r="D885" s="461">
        <v>290.35000000000002</v>
      </c>
      <c r="E885" s="461" t="s">
        <v>161</v>
      </c>
      <c r="F885" s="461" t="s">
        <v>8326</v>
      </c>
    </row>
    <row r="886" spans="1:6" ht="30" x14ac:dyDescent="0.25">
      <c r="A886" s="461">
        <v>43098</v>
      </c>
      <c r="B886" s="460" t="s">
        <v>9153</v>
      </c>
      <c r="C886" s="461" t="s">
        <v>1104</v>
      </c>
      <c r="D886" s="461">
        <v>109.84</v>
      </c>
      <c r="E886" s="461" t="s">
        <v>161</v>
      </c>
      <c r="F886" s="461" t="s">
        <v>8326</v>
      </c>
    </row>
    <row r="887" spans="1:6" ht="30" x14ac:dyDescent="0.25">
      <c r="A887" s="461">
        <v>43097</v>
      </c>
      <c r="B887" s="460" t="s">
        <v>9154</v>
      </c>
      <c r="C887" s="461" t="s">
        <v>1104</v>
      </c>
      <c r="D887" s="461">
        <v>65.069999999999993</v>
      </c>
      <c r="E887" s="461" t="s">
        <v>161</v>
      </c>
      <c r="F887" s="461" t="s">
        <v>8326</v>
      </c>
    </row>
    <row r="888" spans="1:6" ht="15" x14ac:dyDescent="0.25">
      <c r="A888" s="461">
        <v>43104</v>
      </c>
      <c r="B888" s="460" t="s">
        <v>9155</v>
      </c>
      <c r="C888" s="461" t="s">
        <v>1104</v>
      </c>
      <c r="D888" s="461">
        <v>769.79</v>
      </c>
      <c r="E888" s="461" t="s">
        <v>161</v>
      </c>
      <c r="F888" s="461" t="s">
        <v>8326</v>
      </c>
    </row>
    <row r="889" spans="1:6" ht="30" x14ac:dyDescent="0.25">
      <c r="A889" s="461">
        <v>39771</v>
      </c>
      <c r="B889" s="460" t="s">
        <v>9156</v>
      </c>
      <c r="C889" s="461" t="s">
        <v>1104</v>
      </c>
      <c r="D889" s="461">
        <v>25.69</v>
      </c>
      <c r="E889" s="461" t="s">
        <v>161</v>
      </c>
      <c r="F889" s="461" t="s">
        <v>8326</v>
      </c>
    </row>
    <row r="890" spans="1:6" ht="30" x14ac:dyDescent="0.25">
      <c r="A890" s="461">
        <v>39772</v>
      </c>
      <c r="B890" s="460" t="s">
        <v>9157</v>
      </c>
      <c r="C890" s="461" t="s">
        <v>1104</v>
      </c>
      <c r="D890" s="461">
        <v>50.49</v>
      </c>
      <c r="E890" s="461" t="s">
        <v>161</v>
      </c>
      <c r="F890" s="461" t="s">
        <v>8326</v>
      </c>
    </row>
    <row r="891" spans="1:6" ht="30" x14ac:dyDescent="0.25">
      <c r="A891" s="461">
        <v>39773</v>
      </c>
      <c r="B891" s="460" t="s">
        <v>9158</v>
      </c>
      <c r="C891" s="461" t="s">
        <v>1104</v>
      </c>
      <c r="D891" s="461">
        <v>81.16</v>
      </c>
      <c r="E891" s="461" t="s">
        <v>161</v>
      </c>
      <c r="F891" s="461" t="s">
        <v>8326</v>
      </c>
    </row>
    <row r="892" spans="1:6" ht="30" x14ac:dyDescent="0.25">
      <c r="A892" s="461">
        <v>39774</v>
      </c>
      <c r="B892" s="460" t="s">
        <v>9159</v>
      </c>
      <c r="C892" s="461" t="s">
        <v>1104</v>
      </c>
      <c r="D892" s="461">
        <v>121.39</v>
      </c>
      <c r="E892" s="461" t="s">
        <v>161</v>
      </c>
      <c r="F892" s="461" t="s">
        <v>8326</v>
      </c>
    </row>
    <row r="893" spans="1:6" ht="30" x14ac:dyDescent="0.25">
      <c r="A893" s="461">
        <v>39775</v>
      </c>
      <c r="B893" s="460" t="s">
        <v>9160</v>
      </c>
      <c r="C893" s="461" t="s">
        <v>1104</v>
      </c>
      <c r="D893" s="461">
        <v>162.02000000000001</v>
      </c>
      <c r="E893" s="461" t="s">
        <v>161</v>
      </c>
      <c r="F893" s="461" t="s">
        <v>8326</v>
      </c>
    </row>
    <row r="894" spans="1:6" ht="30" x14ac:dyDescent="0.25">
      <c r="A894" s="461">
        <v>39776</v>
      </c>
      <c r="B894" s="460" t="s">
        <v>9161</v>
      </c>
      <c r="C894" s="461" t="s">
        <v>1104</v>
      </c>
      <c r="D894" s="461">
        <v>195.8</v>
      </c>
      <c r="E894" s="461" t="s">
        <v>161</v>
      </c>
      <c r="F894" s="461" t="s">
        <v>8326</v>
      </c>
    </row>
    <row r="895" spans="1:6" ht="30" x14ac:dyDescent="0.25">
      <c r="A895" s="461">
        <v>39777</v>
      </c>
      <c r="B895" s="460" t="s">
        <v>9162</v>
      </c>
      <c r="C895" s="461" t="s">
        <v>1104</v>
      </c>
      <c r="D895" s="461">
        <v>248.17</v>
      </c>
      <c r="E895" s="461" t="s">
        <v>161</v>
      </c>
      <c r="F895" s="461" t="s">
        <v>8326</v>
      </c>
    </row>
    <row r="896" spans="1:6" ht="30" x14ac:dyDescent="0.25">
      <c r="A896" s="461">
        <v>20254</v>
      </c>
      <c r="B896" s="460" t="s">
        <v>9163</v>
      </c>
      <c r="C896" s="461" t="s">
        <v>1104</v>
      </c>
      <c r="D896" s="461">
        <v>18.010000000000002</v>
      </c>
      <c r="E896" s="461" t="s">
        <v>161</v>
      </c>
      <c r="F896" s="461" t="s">
        <v>8326</v>
      </c>
    </row>
    <row r="897" spans="1:6" ht="30" x14ac:dyDescent="0.25">
      <c r="A897" s="461">
        <v>20253</v>
      </c>
      <c r="B897" s="460" t="s">
        <v>9164</v>
      </c>
      <c r="C897" s="461" t="s">
        <v>1104</v>
      </c>
      <c r="D897" s="461">
        <v>59.15</v>
      </c>
      <c r="E897" s="461" t="s">
        <v>161</v>
      </c>
      <c r="F897" s="461" t="s">
        <v>8326</v>
      </c>
    </row>
    <row r="898" spans="1:6" ht="30" x14ac:dyDescent="0.25">
      <c r="A898" s="461">
        <v>14055</v>
      </c>
      <c r="B898" s="460" t="s">
        <v>9165</v>
      </c>
      <c r="C898" s="461" t="s">
        <v>1104</v>
      </c>
      <c r="D898" s="511">
        <v>540.52</v>
      </c>
      <c r="E898" s="461" t="s">
        <v>161</v>
      </c>
      <c r="F898" s="461" t="s">
        <v>8326</v>
      </c>
    </row>
    <row r="899" spans="1:6" ht="30" x14ac:dyDescent="0.25">
      <c r="A899" s="461">
        <v>11247</v>
      </c>
      <c r="B899" s="460" t="s">
        <v>13117</v>
      </c>
      <c r="C899" s="461" t="s">
        <v>1104</v>
      </c>
      <c r="D899" s="461">
        <v>1137.3699999999999</v>
      </c>
      <c r="E899" s="461" t="s">
        <v>161</v>
      </c>
      <c r="F899" s="461" t="s">
        <v>8326</v>
      </c>
    </row>
    <row r="900" spans="1:6" ht="30" x14ac:dyDescent="0.25">
      <c r="A900" s="461">
        <v>11250</v>
      </c>
      <c r="B900" s="460" t="s">
        <v>13118</v>
      </c>
      <c r="C900" s="461" t="s">
        <v>1104</v>
      </c>
      <c r="D900" s="511">
        <v>48.96</v>
      </c>
      <c r="E900" s="461" t="s">
        <v>161</v>
      </c>
      <c r="F900" s="461" t="s">
        <v>8326</v>
      </c>
    </row>
    <row r="901" spans="1:6" ht="30" x14ac:dyDescent="0.25">
      <c r="A901" s="461">
        <v>11249</v>
      </c>
      <c r="B901" s="460" t="s">
        <v>13119</v>
      </c>
      <c r="C901" s="461" t="s">
        <v>1104</v>
      </c>
      <c r="D901" s="461">
        <v>2221.69</v>
      </c>
      <c r="E901" s="461" t="s">
        <v>161</v>
      </c>
      <c r="F901" s="461" t="s">
        <v>8326</v>
      </c>
    </row>
    <row r="902" spans="1:6" ht="30" x14ac:dyDescent="0.25">
      <c r="A902" s="461">
        <v>11251</v>
      </c>
      <c r="B902" s="460" t="s">
        <v>13120</v>
      </c>
      <c r="C902" s="461" t="s">
        <v>1104</v>
      </c>
      <c r="D902" s="461">
        <v>108.46</v>
      </c>
      <c r="E902" s="461" t="s">
        <v>161</v>
      </c>
      <c r="F902" s="461" t="s">
        <v>8326</v>
      </c>
    </row>
    <row r="903" spans="1:6" ht="30" x14ac:dyDescent="0.25">
      <c r="A903" s="461">
        <v>11253</v>
      </c>
      <c r="B903" s="460" t="s">
        <v>13121</v>
      </c>
      <c r="C903" s="461" t="s">
        <v>1104</v>
      </c>
      <c r="D903" s="461">
        <v>179.73</v>
      </c>
      <c r="E903" s="461" t="s">
        <v>161</v>
      </c>
      <c r="F903" s="461" t="s">
        <v>8326</v>
      </c>
    </row>
    <row r="904" spans="1:6" ht="30" x14ac:dyDescent="0.25">
      <c r="A904" s="461">
        <v>11255</v>
      </c>
      <c r="B904" s="460" t="s">
        <v>13122</v>
      </c>
      <c r="C904" s="461" t="s">
        <v>1104</v>
      </c>
      <c r="D904" s="461">
        <v>268.69</v>
      </c>
      <c r="E904" s="461" t="s">
        <v>161</v>
      </c>
      <c r="F904" s="461" t="s">
        <v>8326</v>
      </c>
    </row>
    <row r="905" spans="1:6" ht="30" x14ac:dyDescent="0.25">
      <c r="A905" s="461">
        <v>11256</v>
      </c>
      <c r="B905" s="460" t="s">
        <v>13123</v>
      </c>
      <c r="C905" s="461" t="s">
        <v>1104</v>
      </c>
      <c r="D905" s="461">
        <v>336.57</v>
      </c>
      <c r="E905" s="461" t="s">
        <v>161</v>
      </c>
      <c r="F905" s="461" t="s">
        <v>8326</v>
      </c>
    </row>
    <row r="906" spans="1:6" ht="15" x14ac:dyDescent="0.25">
      <c r="A906" s="461">
        <v>1872</v>
      </c>
      <c r="B906" s="460" t="s">
        <v>9166</v>
      </c>
      <c r="C906" s="461" t="s">
        <v>1104</v>
      </c>
      <c r="D906" s="461">
        <v>2.62</v>
      </c>
      <c r="E906" s="461" t="s">
        <v>161</v>
      </c>
      <c r="F906" s="461" t="s">
        <v>8326</v>
      </c>
    </row>
    <row r="907" spans="1:6" ht="15" x14ac:dyDescent="0.25">
      <c r="A907" s="461">
        <v>1873</v>
      </c>
      <c r="B907" s="460" t="s">
        <v>9167</v>
      </c>
      <c r="C907" s="461" t="s">
        <v>1104</v>
      </c>
      <c r="D907" s="461">
        <v>5.21</v>
      </c>
      <c r="E907" s="461" t="s">
        <v>161</v>
      </c>
      <c r="F907" s="461" t="s">
        <v>8326</v>
      </c>
    </row>
    <row r="908" spans="1:6" ht="30" x14ac:dyDescent="0.25">
      <c r="A908" s="461">
        <v>39693</v>
      </c>
      <c r="B908" s="460" t="s">
        <v>9168</v>
      </c>
      <c r="C908" s="461" t="s">
        <v>1104</v>
      </c>
      <c r="D908" s="511">
        <v>2113.81</v>
      </c>
      <c r="E908" s="461" t="s">
        <v>161</v>
      </c>
      <c r="F908" s="461" t="s">
        <v>8326</v>
      </c>
    </row>
    <row r="909" spans="1:6" ht="30" x14ac:dyDescent="0.25">
      <c r="A909" s="461">
        <v>39692</v>
      </c>
      <c r="B909" s="460" t="s">
        <v>9169</v>
      </c>
      <c r="C909" s="461" t="s">
        <v>1104</v>
      </c>
      <c r="D909" s="461">
        <v>676.37</v>
      </c>
      <c r="E909" s="461" t="s">
        <v>161</v>
      </c>
      <c r="F909" s="461" t="s">
        <v>8326</v>
      </c>
    </row>
    <row r="910" spans="1:6" ht="30" x14ac:dyDescent="0.25">
      <c r="A910" s="461">
        <v>1062</v>
      </c>
      <c r="B910" s="460" t="s">
        <v>9170</v>
      </c>
      <c r="C910" s="461" t="s">
        <v>1104</v>
      </c>
      <c r="D910" s="461">
        <v>214.35</v>
      </c>
      <c r="E910" s="461" t="s">
        <v>161</v>
      </c>
      <c r="F910" s="461" t="s">
        <v>8326</v>
      </c>
    </row>
    <row r="911" spans="1:6" ht="30" x14ac:dyDescent="0.25">
      <c r="A911" s="461">
        <v>39686</v>
      </c>
      <c r="B911" s="460" t="s">
        <v>9171</v>
      </c>
      <c r="C911" s="461" t="s">
        <v>1104</v>
      </c>
      <c r="D911" s="461">
        <v>347.08</v>
      </c>
      <c r="E911" s="461" t="s">
        <v>161</v>
      </c>
      <c r="F911" s="461" t="s">
        <v>8326</v>
      </c>
    </row>
    <row r="912" spans="1:6" ht="45" x14ac:dyDescent="0.25">
      <c r="A912" s="461">
        <v>43095</v>
      </c>
      <c r="B912" s="460" t="s">
        <v>13124</v>
      </c>
      <c r="C912" s="461" t="s">
        <v>1104</v>
      </c>
      <c r="D912" s="461">
        <v>213.68</v>
      </c>
      <c r="E912" s="461" t="s">
        <v>161</v>
      </c>
      <c r="F912" s="461" t="s">
        <v>8326</v>
      </c>
    </row>
    <row r="913" spans="1:6" ht="30" x14ac:dyDescent="0.25">
      <c r="A913" s="461">
        <v>1871</v>
      </c>
      <c r="B913" s="460" t="s">
        <v>9172</v>
      </c>
      <c r="C913" s="461" t="s">
        <v>1104</v>
      </c>
      <c r="D913" s="461">
        <v>4.6900000000000004</v>
      </c>
      <c r="E913" s="461" t="s">
        <v>161</v>
      </c>
      <c r="F913" s="461" t="s">
        <v>8326</v>
      </c>
    </row>
    <row r="914" spans="1:6" ht="30" x14ac:dyDescent="0.25">
      <c r="A914" s="461">
        <v>12001</v>
      </c>
      <c r="B914" s="460" t="s">
        <v>9173</v>
      </c>
      <c r="C914" s="461" t="s">
        <v>1104</v>
      </c>
      <c r="D914" s="461">
        <v>6.78</v>
      </c>
      <c r="E914" s="461" t="s">
        <v>161</v>
      </c>
      <c r="F914" s="461" t="s">
        <v>8326</v>
      </c>
    </row>
    <row r="915" spans="1:6" ht="30" x14ac:dyDescent="0.25">
      <c r="A915" s="461">
        <v>11882</v>
      </c>
      <c r="B915" s="460" t="s">
        <v>9174</v>
      </c>
      <c r="C915" s="461" t="s">
        <v>1104</v>
      </c>
      <c r="D915" s="461">
        <v>120.3</v>
      </c>
      <c r="E915" s="461" t="s">
        <v>161</v>
      </c>
      <c r="F915" s="461" t="s">
        <v>8326</v>
      </c>
    </row>
    <row r="916" spans="1:6" ht="30" x14ac:dyDescent="0.25">
      <c r="A916" s="461">
        <v>1068</v>
      </c>
      <c r="B916" s="460" t="s">
        <v>9175</v>
      </c>
      <c r="C916" s="461" t="s">
        <v>1104</v>
      </c>
      <c r="D916" s="511">
        <v>1413.88</v>
      </c>
      <c r="E916" s="461" t="s">
        <v>161</v>
      </c>
      <c r="F916" s="461" t="s">
        <v>8326</v>
      </c>
    </row>
    <row r="917" spans="1:6" ht="30" x14ac:dyDescent="0.25">
      <c r="A917" s="461">
        <v>39690</v>
      </c>
      <c r="B917" s="460" t="s">
        <v>9176</v>
      </c>
      <c r="C917" s="461" t="s">
        <v>1104</v>
      </c>
      <c r="D917" s="511">
        <v>2372.0300000000002</v>
      </c>
      <c r="E917" s="461" t="s">
        <v>161</v>
      </c>
      <c r="F917" s="461" t="s">
        <v>8326</v>
      </c>
    </row>
    <row r="918" spans="1:6" ht="30" x14ac:dyDescent="0.25">
      <c r="A918" s="461">
        <v>39691</v>
      </c>
      <c r="B918" s="460" t="s">
        <v>9177</v>
      </c>
      <c r="C918" s="461" t="s">
        <v>1104</v>
      </c>
      <c r="D918" s="511">
        <v>2983.35</v>
      </c>
      <c r="E918" s="461" t="s">
        <v>161</v>
      </c>
      <c r="F918" s="461" t="s">
        <v>8326</v>
      </c>
    </row>
    <row r="919" spans="1:6" ht="30" x14ac:dyDescent="0.25">
      <c r="A919" s="461">
        <v>39808</v>
      </c>
      <c r="B919" s="460" t="s">
        <v>9178</v>
      </c>
      <c r="C919" s="461" t="s">
        <v>1104</v>
      </c>
      <c r="D919" s="461">
        <v>111.56</v>
      </c>
      <c r="E919" s="461" t="s">
        <v>161</v>
      </c>
      <c r="F919" s="461" t="s">
        <v>8326</v>
      </c>
    </row>
    <row r="920" spans="1:6" ht="30" x14ac:dyDescent="0.25">
      <c r="A920" s="461">
        <v>39809</v>
      </c>
      <c r="B920" s="460" t="s">
        <v>9179</v>
      </c>
      <c r="C920" s="461" t="s">
        <v>1104</v>
      </c>
      <c r="D920" s="461">
        <v>264.60000000000002</v>
      </c>
      <c r="E920" s="461" t="s">
        <v>161</v>
      </c>
      <c r="F920" s="461" t="s">
        <v>8326</v>
      </c>
    </row>
    <row r="921" spans="1:6" ht="30" x14ac:dyDescent="0.25">
      <c r="A921" s="461">
        <v>43439</v>
      </c>
      <c r="B921" s="460" t="s">
        <v>9180</v>
      </c>
      <c r="C921" s="461" t="s">
        <v>1104</v>
      </c>
      <c r="D921" s="461">
        <v>552.23</v>
      </c>
      <c r="E921" s="461" t="s">
        <v>161</v>
      </c>
      <c r="F921" s="461" t="s">
        <v>8326</v>
      </c>
    </row>
    <row r="922" spans="1:6" ht="15" x14ac:dyDescent="0.25">
      <c r="A922" s="461">
        <v>5103</v>
      </c>
      <c r="B922" s="460" t="s">
        <v>9181</v>
      </c>
      <c r="C922" s="461" t="s">
        <v>1104</v>
      </c>
      <c r="D922" s="461">
        <v>31.52</v>
      </c>
      <c r="E922" s="461" t="s">
        <v>161</v>
      </c>
      <c r="F922" s="461" t="s">
        <v>8326</v>
      </c>
    </row>
    <row r="923" spans="1:6" ht="15" x14ac:dyDescent="0.25">
      <c r="A923" s="461">
        <v>11880</v>
      </c>
      <c r="B923" s="460" t="s">
        <v>9182</v>
      </c>
      <c r="C923" s="461" t="s">
        <v>1104</v>
      </c>
      <c r="D923" s="461">
        <v>132.58000000000001</v>
      </c>
      <c r="E923" s="461" t="s">
        <v>161</v>
      </c>
      <c r="F923" s="461" t="s">
        <v>8326</v>
      </c>
    </row>
    <row r="924" spans="1:6" ht="15" x14ac:dyDescent="0.25">
      <c r="A924" s="461">
        <v>11714</v>
      </c>
      <c r="B924" s="460" t="s">
        <v>9183</v>
      </c>
      <c r="C924" s="461" t="s">
        <v>1104</v>
      </c>
      <c r="D924" s="461">
        <v>90.32</v>
      </c>
      <c r="E924" s="461" t="s">
        <v>161</v>
      </c>
      <c r="F924" s="461" t="s">
        <v>8326</v>
      </c>
    </row>
    <row r="925" spans="1:6" ht="30" x14ac:dyDescent="0.25">
      <c r="A925" s="461">
        <v>11712</v>
      </c>
      <c r="B925" s="460" t="s">
        <v>9184</v>
      </c>
      <c r="C925" s="461" t="s">
        <v>1104</v>
      </c>
      <c r="D925" s="461">
        <v>58.98</v>
      </c>
      <c r="E925" s="461" t="s">
        <v>161</v>
      </c>
      <c r="F925" s="461" t="s">
        <v>8333</v>
      </c>
    </row>
    <row r="926" spans="1:6" ht="15" x14ac:dyDescent="0.25">
      <c r="A926" s="461">
        <v>11717</v>
      </c>
      <c r="B926" s="460" t="s">
        <v>9185</v>
      </c>
      <c r="C926" s="461" t="s">
        <v>1104</v>
      </c>
      <c r="D926" s="461">
        <v>71.099999999999994</v>
      </c>
      <c r="E926" s="461" t="s">
        <v>161</v>
      </c>
      <c r="F926" s="461" t="s">
        <v>8326</v>
      </c>
    </row>
    <row r="927" spans="1:6" ht="15" x14ac:dyDescent="0.25">
      <c r="A927" s="461">
        <v>1106</v>
      </c>
      <c r="B927" s="460" t="s">
        <v>9186</v>
      </c>
      <c r="C927" s="461" t="s">
        <v>1108</v>
      </c>
      <c r="D927" s="461">
        <v>1.5</v>
      </c>
      <c r="E927" s="461" t="s">
        <v>161</v>
      </c>
      <c r="F927" s="461" t="s">
        <v>8333</v>
      </c>
    </row>
    <row r="928" spans="1:6" ht="15" x14ac:dyDescent="0.25">
      <c r="A928" s="461">
        <v>11161</v>
      </c>
      <c r="B928" s="460" t="s">
        <v>9187</v>
      </c>
      <c r="C928" s="461" t="s">
        <v>1108</v>
      </c>
      <c r="D928" s="461">
        <v>2.5</v>
      </c>
      <c r="E928" s="461" t="s">
        <v>161</v>
      </c>
      <c r="F928" s="461" t="s">
        <v>8326</v>
      </c>
    </row>
    <row r="929" spans="1:6" ht="15" x14ac:dyDescent="0.25">
      <c r="A929" s="461">
        <v>1107</v>
      </c>
      <c r="B929" s="460" t="s">
        <v>9188</v>
      </c>
      <c r="C929" s="461" t="s">
        <v>1108</v>
      </c>
      <c r="D929" s="461">
        <v>1.27</v>
      </c>
      <c r="E929" s="461" t="s">
        <v>161</v>
      </c>
      <c r="F929" s="461" t="s">
        <v>8326</v>
      </c>
    </row>
    <row r="930" spans="1:6" ht="15" x14ac:dyDescent="0.25">
      <c r="A930" s="461">
        <v>44479</v>
      </c>
      <c r="B930" s="460" t="s">
        <v>9189</v>
      </c>
      <c r="C930" s="461" t="s">
        <v>1108</v>
      </c>
      <c r="D930" s="461">
        <v>0.27</v>
      </c>
      <c r="E930" s="461" t="s">
        <v>161</v>
      </c>
      <c r="F930" s="461" t="s">
        <v>8326</v>
      </c>
    </row>
    <row r="931" spans="1:6" ht="15" x14ac:dyDescent="0.25">
      <c r="A931" s="461">
        <v>4759</v>
      </c>
      <c r="B931" s="460" t="s">
        <v>9190</v>
      </c>
      <c r="C931" s="461" t="s">
        <v>1103</v>
      </c>
      <c r="D931" s="461">
        <v>19.77</v>
      </c>
      <c r="E931" s="461" t="s">
        <v>4455</v>
      </c>
      <c r="F931" s="461" t="s">
        <v>8326</v>
      </c>
    </row>
    <row r="932" spans="1:6" ht="15" x14ac:dyDescent="0.25">
      <c r="A932" s="461">
        <v>41068</v>
      </c>
      <c r="B932" s="460" t="s">
        <v>9191</v>
      </c>
      <c r="C932" s="461" t="s">
        <v>1110</v>
      </c>
      <c r="D932" s="511">
        <v>3520.4</v>
      </c>
      <c r="E932" s="461" t="s">
        <v>4455</v>
      </c>
      <c r="F932" s="461" t="s">
        <v>8326</v>
      </c>
    </row>
    <row r="933" spans="1:6" ht="30" x14ac:dyDescent="0.25">
      <c r="A933" s="461">
        <v>12618</v>
      </c>
      <c r="B933" s="460" t="s">
        <v>9192</v>
      </c>
      <c r="C933" s="461" t="s">
        <v>1104</v>
      </c>
      <c r="D933" s="461">
        <v>139.93</v>
      </c>
      <c r="E933" s="461" t="s">
        <v>161</v>
      </c>
      <c r="F933" s="461" t="s">
        <v>8326</v>
      </c>
    </row>
    <row r="934" spans="1:6" ht="30" x14ac:dyDescent="0.25">
      <c r="A934" s="461">
        <v>1108</v>
      </c>
      <c r="B934" s="460" t="s">
        <v>9193</v>
      </c>
      <c r="C934" s="461" t="s">
        <v>1107</v>
      </c>
      <c r="D934" s="461">
        <v>23.05</v>
      </c>
      <c r="E934" s="461" t="s">
        <v>161</v>
      </c>
      <c r="F934" s="461" t="s">
        <v>8326</v>
      </c>
    </row>
    <row r="935" spans="1:6" ht="15" x14ac:dyDescent="0.25">
      <c r="A935" s="461">
        <v>1117</v>
      </c>
      <c r="B935" s="460" t="s">
        <v>9194</v>
      </c>
      <c r="C935" s="461" t="s">
        <v>1107</v>
      </c>
      <c r="D935" s="461">
        <v>23.24</v>
      </c>
      <c r="E935" s="461" t="s">
        <v>161</v>
      </c>
      <c r="F935" s="461" t="s">
        <v>8326</v>
      </c>
    </row>
    <row r="936" spans="1:6" ht="15" x14ac:dyDescent="0.25">
      <c r="A936" s="461">
        <v>1118</v>
      </c>
      <c r="B936" s="460" t="s">
        <v>9195</v>
      </c>
      <c r="C936" s="461" t="s">
        <v>1107</v>
      </c>
      <c r="D936" s="461">
        <v>27.46</v>
      </c>
      <c r="E936" s="461" t="s">
        <v>161</v>
      </c>
      <c r="F936" s="461" t="s">
        <v>8326</v>
      </c>
    </row>
    <row r="937" spans="1:6" ht="15" x14ac:dyDescent="0.25">
      <c r="A937" s="461">
        <v>1110</v>
      </c>
      <c r="B937" s="460" t="s">
        <v>9196</v>
      </c>
      <c r="C937" s="461" t="s">
        <v>1107</v>
      </c>
      <c r="D937" s="461">
        <v>27.46</v>
      </c>
      <c r="E937" s="461" t="s">
        <v>161</v>
      </c>
      <c r="F937" s="461" t="s">
        <v>8326</v>
      </c>
    </row>
    <row r="938" spans="1:6" ht="15" x14ac:dyDescent="0.25">
      <c r="A938" s="461">
        <v>40784</v>
      </c>
      <c r="B938" s="460" t="s">
        <v>9197</v>
      </c>
      <c r="C938" s="461" t="s">
        <v>1107</v>
      </c>
      <c r="D938" s="461">
        <v>75.75</v>
      </c>
      <c r="E938" s="461" t="s">
        <v>161</v>
      </c>
      <c r="F938" s="461" t="s">
        <v>8326</v>
      </c>
    </row>
    <row r="939" spans="1:6" ht="15" x14ac:dyDescent="0.25">
      <c r="A939" s="461">
        <v>40782</v>
      </c>
      <c r="B939" s="460" t="s">
        <v>9198</v>
      </c>
      <c r="C939" s="461" t="s">
        <v>1107</v>
      </c>
      <c r="D939" s="461">
        <v>29.73</v>
      </c>
      <c r="E939" s="461" t="s">
        <v>161</v>
      </c>
      <c r="F939" s="461" t="s">
        <v>8326</v>
      </c>
    </row>
    <row r="940" spans="1:6" ht="15" x14ac:dyDescent="0.25">
      <c r="A940" s="461">
        <v>40783</v>
      </c>
      <c r="B940" s="460" t="s">
        <v>9199</v>
      </c>
      <c r="C940" s="461" t="s">
        <v>1107</v>
      </c>
      <c r="D940" s="461">
        <v>38.72</v>
      </c>
      <c r="E940" s="461" t="s">
        <v>161</v>
      </c>
      <c r="F940" s="461" t="s">
        <v>8326</v>
      </c>
    </row>
    <row r="941" spans="1:6" ht="15" x14ac:dyDescent="0.25">
      <c r="A941" s="461">
        <v>1109</v>
      </c>
      <c r="B941" s="460" t="s">
        <v>9200</v>
      </c>
      <c r="C941" s="461" t="s">
        <v>1107</v>
      </c>
      <c r="D941" s="461">
        <v>23.05</v>
      </c>
      <c r="E941" s="461" t="s">
        <v>161</v>
      </c>
      <c r="F941" s="461" t="s">
        <v>8326</v>
      </c>
    </row>
    <row r="942" spans="1:6" ht="15" x14ac:dyDescent="0.25">
      <c r="A942" s="461">
        <v>1119</v>
      </c>
      <c r="B942" s="460" t="s">
        <v>9201</v>
      </c>
      <c r="C942" s="461" t="s">
        <v>1107</v>
      </c>
      <c r="D942" s="461">
        <v>14.86</v>
      </c>
      <c r="E942" s="461" t="s">
        <v>161</v>
      </c>
      <c r="F942" s="461" t="s">
        <v>8326</v>
      </c>
    </row>
    <row r="943" spans="1:6" ht="30" x14ac:dyDescent="0.25">
      <c r="A943" s="461">
        <v>13115</v>
      </c>
      <c r="B943" s="460" t="s">
        <v>9202</v>
      </c>
      <c r="C943" s="461" t="s">
        <v>1107</v>
      </c>
      <c r="D943" s="461">
        <v>21.49</v>
      </c>
      <c r="E943" s="461" t="s">
        <v>161</v>
      </c>
      <c r="F943" s="461" t="s">
        <v>8326</v>
      </c>
    </row>
    <row r="944" spans="1:6" ht="30" x14ac:dyDescent="0.25">
      <c r="A944" s="461">
        <v>10541</v>
      </c>
      <c r="B944" s="460" t="s">
        <v>9203</v>
      </c>
      <c r="C944" s="461" t="s">
        <v>1107</v>
      </c>
      <c r="D944" s="461">
        <v>26.27</v>
      </c>
      <c r="E944" s="461" t="s">
        <v>161</v>
      </c>
      <c r="F944" s="461" t="s">
        <v>8326</v>
      </c>
    </row>
    <row r="945" spans="1:6" ht="30" x14ac:dyDescent="0.25">
      <c r="A945" s="461">
        <v>10542</v>
      </c>
      <c r="B945" s="460" t="s">
        <v>9204</v>
      </c>
      <c r="C945" s="461" t="s">
        <v>1107</v>
      </c>
      <c r="D945" s="461">
        <v>34.35</v>
      </c>
      <c r="E945" s="461" t="s">
        <v>161</v>
      </c>
      <c r="F945" s="461" t="s">
        <v>8326</v>
      </c>
    </row>
    <row r="946" spans="1:6" ht="30" x14ac:dyDescent="0.25">
      <c r="A946" s="461">
        <v>10543</v>
      </c>
      <c r="B946" s="460" t="s">
        <v>9205</v>
      </c>
      <c r="C946" s="461" t="s">
        <v>1107</v>
      </c>
      <c r="D946" s="461">
        <v>55.73</v>
      </c>
      <c r="E946" s="461" t="s">
        <v>161</v>
      </c>
      <c r="F946" s="461" t="s">
        <v>8326</v>
      </c>
    </row>
    <row r="947" spans="1:6" ht="30" x14ac:dyDescent="0.25">
      <c r="A947" s="461">
        <v>10544</v>
      </c>
      <c r="B947" s="460" t="s">
        <v>9206</v>
      </c>
      <c r="C947" s="461" t="s">
        <v>1107</v>
      </c>
      <c r="D947" s="461">
        <v>72.09</v>
      </c>
      <c r="E947" s="461" t="s">
        <v>161</v>
      </c>
      <c r="F947" s="461" t="s">
        <v>8326</v>
      </c>
    </row>
    <row r="948" spans="1:6" ht="30" x14ac:dyDescent="0.25">
      <c r="A948" s="461">
        <v>10545</v>
      </c>
      <c r="B948" s="460" t="s">
        <v>9207</v>
      </c>
      <c r="C948" s="461" t="s">
        <v>1107</v>
      </c>
      <c r="D948" s="461">
        <v>134.72</v>
      </c>
      <c r="E948" s="461" t="s">
        <v>161</v>
      </c>
      <c r="F948" s="461" t="s">
        <v>8326</v>
      </c>
    </row>
    <row r="949" spans="1:6" ht="15" x14ac:dyDescent="0.25">
      <c r="A949" s="461">
        <v>38365</v>
      </c>
      <c r="B949" s="460" t="s">
        <v>9208</v>
      </c>
      <c r="C949" s="461" t="s">
        <v>1106</v>
      </c>
      <c r="D949" s="461">
        <v>1.86</v>
      </c>
      <c r="E949" s="461" t="s">
        <v>161</v>
      </c>
      <c r="F949" s="461" t="s">
        <v>8326</v>
      </c>
    </row>
    <row r="950" spans="1:6" ht="45" x14ac:dyDescent="0.25">
      <c r="A950" s="461">
        <v>44056</v>
      </c>
      <c r="B950" s="460" t="s">
        <v>9209</v>
      </c>
      <c r="C950" s="461" t="s">
        <v>1104</v>
      </c>
      <c r="D950" s="511">
        <v>465515.69</v>
      </c>
      <c r="E950" s="461" t="s">
        <v>1497</v>
      </c>
      <c r="F950" s="461" t="s">
        <v>8328</v>
      </c>
    </row>
    <row r="951" spans="1:6" ht="45" x14ac:dyDescent="0.25">
      <c r="A951" s="461">
        <v>44057</v>
      </c>
      <c r="B951" s="460" t="s">
        <v>9210</v>
      </c>
      <c r="C951" s="461" t="s">
        <v>1104</v>
      </c>
      <c r="D951" s="511">
        <v>496848.5</v>
      </c>
      <c r="E951" s="461" t="s">
        <v>1497</v>
      </c>
      <c r="F951" s="461" t="s">
        <v>8328</v>
      </c>
    </row>
    <row r="952" spans="1:6" ht="45" x14ac:dyDescent="0.25">
      <c r="A952" s="461">
        <v>37754</v>
      </c>
      <c r="B952" s="460" t="s">
        <v>9211</v>
      </c>
      <c r="C952" s="461" t="s">
        <v>1104</v>
      </c>
      <c r="D952" s="511">
        <v>513678.69</v>
      </c>
      <c r="E952" s="461" t="s">
        <v>1497</v>
      </c>
      <c r="F952" s="461" t="s">
        <v>8328</v>
      </c>
    </row>
    <row r="953" spans="1:6" ht="45" x14ac:dyDescent="0.25">
      <c r="A953" s="461">
        <v>37757</v>
      </c>
      <c r="B953" s="460" t="s">
        <v>9212</v>
      </c>
      <c r="C953" s="461" t="s">
        <v>1104</v>
      </c>
      <c r="D953" s="511">
        <v>572942.43000000005</v>
      </c>
      <c r="E953" s="461" t="s">
        <v>1497</v>
      </c>
      <c r="F953" s="461" t="s">
        <v>8328</v>
      </c>
    </row>
    <row r="954" spans="1:6" ht="45" x14ac:dyDescent="0.25">
      <c r="A954" s="461">
        <v>44058</v>
      </c>
      <c r="B954" s="460" t="s">
        <v>9213</v>
      </c>
      <c r="C954" s="461" t="s">
        <v>1104</v>
      </c>
      <c r="D954" s="511">
        <v>541609.63</v>
      </c>
      <c r="E954" s="461" t="s">
        <v>1497</v>
      </c>
      <c r="F954" s="461" t="s">
        <v>8328</v>
      </c>
    </row>
    <row r="955" spans="1:6" ht="45" x14ac:dyDescent="0.25">
      <c r="A955" s="461">
        <v>37752</v>
      </c>
      <c r="B955" s="460" t="s">
        <v>9214</v>
      </c>
      <c r="C955" s="461" t="s">
        <v>1104</v>
      </c>
      <c r="D955" s="511">
        <v>563990.17000000004</v>
      </c>
      <c r="E955" s="461" t="s">
        <v>1497</v>
      </c>
      <c r="F955" s="461" t="s">
        <v>8328</v>
      </c>
    </row>
    <row r="956" spans="1:6" ht="45" x14ac:dyDescent="0.25">
      <c r="A956" s="461">
        <v>44059</v>
      </c>
      <c r="B956" s="460" t="s">
        <v>9215</v>
      </c>
      <c r="C956" s="461" t="s">
        <v>1104</v>
      </c>
      <c r="D956" s="511">
        <v>445820.81</v>
      </c>
      <c r="E956" s="461" t="s">
        <v>1497</v>
      </c>
      <c r="F956" s="461" t="s">
        <v>8328</v>
      </c>
    </row>
    <row r="957" spans="1:6" ht="45" x14ac:dyDescent="0.25">
      <c r="A957" s="461">
        <v>37750</v>
      </c>
      <c r="B957" s="460" t="s">
        <v>9216</v>
      </c>
      <c r="C957" s="461" t="s">
        <v>1104</v>
      </c>
      <c r="D957" s="511">
        <v>446716.03</v>
      </c>
      <c r="E957" s="461" t="s">
        <v>1497</v>
      </c>
      <c r="F957" s="461" t="s">
        <v>8328</v>
      </c>
    </row>
    <row r="958" spans="1:6" ht="45" x14ac:dyDescent="0.25">
      <c r="A958" s="461">
        <v>37758</v>
      </c>
      <c r="B958" s="460" t="s">
        <v>9217</v>
      </c>
      <c r="C958" s="461" t="s">
        <v>1104</v>
      </c>
      <c r="D958" s="511">
        <v>710806.66</v>
      </c>
      <c r="E958" s="461" t="s">
        <v>1497</v>
      </c>
      <c r="F958" s="461" t="s">
        <v>8328</v>
      </c>
    </row>
    <row r="959" spans="1:6" ht="45" x14ac:dyDescent="0.25">
      <c r="A959" s="461">
        <v>44060</v>
      </c>
      <c r="B959" s="460" t="s">
        <v>9218</v>
      </c>
      <c r="C959" s="461" t="s">
        <v>1104</v>
      </c>
      <c r="D959" s="511">
        <v>687530.9</v>
      </c>
      <c r="E959" s="461" t="s">
        <v>1497</v>
      </c>
      <c r="F959" s="461" t="s">
        <v>8328</v>
      </c>
    </row>
    <row r="960" spans="1:6" ht="45" x14ac:dyDescent="0.25">
      <c r="A960" s="461">
        <v>37749</v>
      </c>
      <c r="B960" s="460" t="s">
        <v>9219</v>
      </c>
      <c r="C960" s="461" t="s">
        <v>1104</v>
      </c>
      <c r="D960" s="511">
        <v>734082.47</v>
      </c>
      <c r="E960" s="461" t="s">
        <v>1497</v>
      </c>
      <c r="F960" s="461" t="s">
        <v>8328</v>
      </c>
    </row>
    <row r="961" spans="1:6" ht="45" x14ac:dyDescent="0.25">
      <c r="A961" s="461">
        <v>44061</v>
      </c>
      <c r="B961" s="460" t="s">
        <v>9220</v>
      </c>
      <c r="C961" s="461" t="s">
        <v>1104</v>
      </c>
      <c r="D961" s="511">
        <v>674102.58</v>
      </c>
      <c r="E961" s="461" t="s">
        <v>1497</v>
      </c>
      <c r="F961" s="461" t="s">
        <v>8328</v>
      </c>
    </row>
    <row r="962" spans="1:6" ht="15" x14ac:dyDescent="0.25">
      <c r="A962" s="461">
        <v>1159</v>
      </c>
      <c r="B962" s="460" t="s">
        <v>9221</v>
      </c>
      <c r="C962" s="461" t="s">
        <v>1104</v>
      </c>
      <c r="D962" s="511">
        <v>270218.33</v>
      </c>
      <c r="E962" s="461" t="s">
        <v>1497</v>
      </c>
      <c r="F962" s="461" t="s">
        <v>8333</v>
      </c>
    </row>
    <row r="963" spans="1:6" ht="15" x14ac:dyDescent="0.25">
      <c r="A963" s="461">
        <v>12114</v>
      </c>
      <c r="B963" s="460" t="s">
        <v>9222</v>
      </c>
      <c r="C963" s="461" t="s">
        <v>1104</v>
      </c>
      <c r="D963" s="461">
        <v>175.48</v>
      </c>
      <c r="E963" s="461" t="s">
        <v>161</v>
      </c>
      <c r="F963" s="461" t="s">
        <v>8326</v>
      </c>
    </row>
    <row r="964" spans="1:6" ht="15" x14ac:dyDescent="0.25">
      <c r="A964" s="461">
        <v>38106</v>
      </c>
      <c r="B964" s="460" t="s">
        <v>9223</v>
      </c>
      <c r="C964" s="461" t="s">
        <v>1104</v>
      </c>
      <c r="D964" s="461">
        <v>23.85</v>
      </c>
      <c r="E964" s="461" t="s">
        <v>161</v>
      </c>
      <c r="F964" s="461" t="s">
        <v>8326</v>
      </c>
    </row>
    <row r="965" spans="1:6" ht="30" x14ac:dyDescent="0.25">
      <c r="A965" s="461">
        <v>38085</v>
      </c>
      <c r="B965" s="460" t="s">
        <v>9224</v>
      </c>
      <c r="C965" s="461" t="s">
        <v>1104</v>
      </c>
      <c r="D965" s="461">
        <v>28.17</v>
      </c>
      <c r="E965" s="461" t="s">
        <v>161</v>
      </c>
      <c r="F965" s="461" t="s">
        <v>8326</v>
      </c>
    </row>
    <row r="966" spans="1:6" ht="15" x14ac:dyDescent="0.25">
      <c r="A966" s="461">
        <v>38599</v>
      </c>
      <c r="B966" s="460" t="s">
        <v>9225</v>
      </c>
      <c r="C966" s="461" t="s">
        <v>1104</v>
      </c>
      <c r="D966" s="461">
        <v>6.21</v>
      </c>
      <c r="E966" s="461" t="s">
        <v>161</v>
      </c>
      <c r="F966" s="461" t="s">
        <v>8326</v>
      </c>
    </row>
    <row r="967" spans="1:6" ht="15" x14ac:dyDescent="0.25">
      <c r="A967" s="461">
        <v>38596</v>
      </c>
      <c r="B967" s="460" t="s">
        <v>9226</v>
      </c>
      <c r="C967" s="461" t="s">
        <v>1104</v>
      </c>
      <c r="D967" s="461">
        <v>5.16</v>
      </c>
      <c r="E967" s="461" t="s">
        <v>161</v>
      </c>
      <c r="F967" s="461" t="s">
        <v>8326</v>
      </c>
    </row>
    <row r="968" spans="1:6" ht="15" x14ac:dyDescent="0.25">
      <c r="A968" s="461">
        <v>38600</v>
      </c>
      <c r="B968" s="460" t="s">
        <v>9227</v>
      </c>
      <c r="C968" s="461" t="s">
        <v>1104</v>
      </c>
      <c r="D968" s="461">
        <v>6.59</v>
      </c>
      <c r="E968" s="461" t="s">
        <v>161</v>
      </c>
      <c r="F968" s="461" t="s">
        <v>8326</v>
      </c>
    </row>
    <row r="969" spans="1:6" ht="15" x14ac:dyDescent="0.25">
      <c r="A969" s="461">
        <v>38597</v>
      </c>
      <c r="B969" s="460" t="s">
        <v>9228</v>
      </c>
      <c r="C969" s="461" t="s">
        <v>1104</v>
      </c>
      <c r="D969" s="461">
        <v>5.19</v>
      </c>
      <c r="E969" s="461" t="s">
        <v>161</v>
      </c>
      <c r="F969" s="461" t="s">
        <v>8326</v>
      </c>
    </row>
    <row r="970" spans="1:6" ht="15" x14ac:dyDescent="0.25">
      <c r="A970" s="461">
        <v>659</v>
      </c>
      <c r="B970" s="460" t="s">
        <v>9229</v>
      </c>
      <c r="C970" s="461" t="s">
        <v>1104</v>
      </c>
      <c r="D970" s="461">
        <v>2.98</v>
      </c>
      <c r="E970" s="461" t="s">
        <v>161</v>
      </c>
      <c r="F970" s="461" t="s">
        <v>8326</v>
      </c>
    </row>
    <row r="971" spans="1:6" ht="15" x14ac:dyDescent="0.25">
      <c r="A971" s="461">
        <v>660</v>
      </c>
      <c r="B971" s="460" t="s">
        <v>9230</v>
      </c>
      <c r="C971" s="461" t="s">
        <v>1104</v>
      </c>
      <c r="D971" s="461">
        <v>3.58</v>
      </c>
      <c r="E971" s="461" t="s">
        <v>161</v>
      </c>
      <c r="F971" s="461" t="s">
        <v>8326</v>
      </c>
    </row>
    <row r="972" spans="1:6" ht="15" x14ac:dyDescent="0.25">
      <c r="A972" s="461">
        <v>658</v>
      </c>
      <c r="B972" s="460" t="s">
        <v>9231</v>
      </c>
      <c r="C972" s="461" t="s">
        <v>1104</v>
      </c>
      <c r="D972" s="461">
        <v>2.02</v>
      </c>
      <c r="E972" s="461" t="s">
        <v>161</v>
      </c>
      <c r="F972" s="461" t="s">
        <v>8326</v>
      </c>
    </row>
    <row r="973" spans="1:6" ht="15" x14ac:dyDescent="0.25">
      <c r="A973" s="461">
        <v>38548</v>
      </c>
      <c r="B973" s="460" t="s">
        <v>9232</v>
      </c>
      <c r="C973" s="461" t="s">
        <v>1104</v>
      </c>
      <c r="D973" s="461">
        <v>1.9</v>
      </c>
      <c r="E973" s="461" t="s">
        <v>161</v>
      </c>
      <c r="F973" s="461" t="s">
        <v>8326</v>
      </c>
    </row>
    <row r="974" spans="1:6" ht="15" x14ac:dyDescent="0.25">
      <c r="A974" s="461">
        <v>34649</v>
      </c>
      <c r="B974" s="460" t="s">
        <v>9233</v>
      </c>
      <c r="C974" s="461" t="s">
        <v>1104</v>
      </c>
      <c r="D974" s="461">
        <v>2.57</v>
      </c>
      <c r="E974" s="461" t="s">
        <v>161</v>
      </c>
      <c r="F974" s="461" t="s">
        <v>8326</v>
      </c>
    </row>
    <row r="975" spans="1:6" ht="15" x14ac:dyDescent="0.25">
      <c r="A975" s="461">
        <v>34655</v>
      </c>
      <c r="B975" s="460" t="s">
        <v>9234</v>
      </c>
      <c r="C975" s="461" t="s">
        <v>1104</v>
      </c>
      <c r="D975" s="461">
        <v>3.41</v>
      </c>
      <c r="E975" s="461" t="s">
        <v>161</v>
      </c>
      <c r="F975" s="461" t="s">
        <v>8326</v>
      </c>
    </row>
    <row r="976" spans="1:6" ht="30" x14ac:dyDescent="0.25">
      <c r="A976" s="461">
        <v>40607</v>
      </c>
      <c r="B976" s="460" t="s">
        <v>9235</v>
      </c>
      <c r="C976" s="461" t="s">
        <v>1104</v>
      </c>
      <c r="D976" s="461">
        <v>5.72</v>
      </c>
      <c r="E976" s="461" t="s">
        <v>161</v>
      </c>
      <c r="F976" s="461" t="s">
        <v>8326</v>
      </c>
    </row>
    <row r="977" spans="1:6" ht="15" x14ac:dyDescent="0.25">
      <c r="A977" s="461">
        <v>567</v>
      </c>
      <c r="B977" s="460" t="s">
        <v>9236</v>
      </c>
      <c r="C977" s="461" t="s">
        <v>1107</v>
      </c>
      <c r="D977" s="461">
        <v>12.21</v>
      </c>
      <c r="E977" s="461" t="s">
        <v>161</v>
      </c>
      <c r="F977" s="461" t="s">
        <v>8326</v>
      </c>
    </row>
    <row r="978" spans="1:6" ht="30" x14ac:dyDescent="0.25">
      <c r="A978" s="461">
        <v>574</v>
      </c>
      <c r="B978" s="460" t="s">
        <v>9237</v>
      </c>
      <c r="C978" s="461" t="s">
        <v>1107</v>
      </c>
      <c r="D978" s="461">
        <v>32.11</v>
      </c>
      <c r="E978" s="461" t="s">
        <v>161</v>
      </c>
      <c r="F978" s="461" t="s">
        <v>8326</v>
      </c>
    </row>
    <row r="979" spans="1:6" ht="30" x14ac:dyDescent="0.25">
      <c r="A979" s="461">
        <v>568</v>
      </c>
      <c r="B979" s="460" t="s">
        <v>9238</v>
      </c>
      <c r="C979" s="461" t="s">
        <v>1107</v>
      </c>
      <c r="D979" s="461">
        <v>67.650000000000006</v>
      </c>
      <c r="E979" s="461" t="s">
        <v>161</v>
      </c>
      <c r="F979" s="461" t="s">
        <v>8326</v>
      </c>
    </row>
    <row r="980" spans="1:6" ht="15" x14ac:dyDescent="0.25">
      <c r="A980" s="461">
        <v>4777</v>
      </c>
      <c r="B980" s="460" t="s">
        <v>9239</v>
      </c>
      <c r="C980" s="461" t="s">
        <v>1108</v>
      </c>
      <c r="D980" s="461">
        <v>8.02</v>
      </c>
      <c r="E980" s="461" t="s">
        <v>161</v>
      </c>
      <c r="F980" s="461" t="s">
        <v>8328</v>
      </c>
    </row>
    <row r="981" spans="1:6" ht="30" x14ac:dyDescent="0.25">
      <c r="A981" s="461">
        <v>592</v>
      </c>
      <c r="B981" s="460" t="s">
        <v>9240</v>
      </c>
      <c r="C981" s="461" t="s">
        <v>1108</v>
      </c>
      <c r="D981" s="461">
        <v>36.19</v>
      </c>
      <c r="E981" s="461" t="s">
        <v>161</v>
      </c>
      <c r="F981" s="461" t="s">
        <v>8328</v>
      </c>
    </row>
    <row r="982" spans="1:6" ht="30" x14ac:dyDescent="0.25">
      <c r="A982" s="461">
        <v>586</v>
      </c>
      <c r="B982" s="460" t="s">
        <v>9241</v>
      </c>
      <c r="C982" s="461" t="s">
        <v>1107</v>
      </c>
      <c r="D982" s="461">
        <v>21.27</v>
      </c>
      <c r="E982" s="461" t="s">
        <v>161</v>
      </c>
      <c r="F982" s="461" t="s">
        <v>8328</v>
      </c>
    </row>
    <row r="983" spans="1:6" ht="30" x14ac:dyDescent="0.25">
      <c r="A983" s="461">
        <v>588</v>
      </c>
      <c r="B983" s="460" t="s">
        <v>9242</v>
      </c>
      <c r="C983" s="461" t="s">
        <v>1107</v>
      </c>
      <c r="D983" s="461">
        <v>33.65</v>
      </c>
      <c r="E983" s="461" t="s">
        <v>161</v>
      </c>
      <c r="F983" s="461" t="s">
        <v>8328</v>
      </c>
    </row>
    <row r="984" spans="1:6" ht="30" x14ac:dyDescent="0.25">
      <c r="A984" s="461">
        <v>591</v>
      </c>
      <c r="B984" s="460" t="s">
        <v>9243</v>
      </c>
      <c r="C984" s="461" t="s">
        <v>1108</v>
      </c>
      <c r="D984" s="461">
        <v>33.770000000000003</v>
      </c>
      <c r="E984" s="461" t="s">
        <v>161</v>
      </c>
      <c r="F984" s="461" t="s">
        <v>8328</v>
      </c>
    </row>
    <row r="985" spans="1:6" ht="30" x14ac:dyDescent="0.25">
      <c r="A985" s="461">
        <v>584</v>
      </c>
      <c r="B985" s="460" t="s">
        <v>13125</v>
      </c>
      <c r="C985" s="461" t="s">
        <v>1107</v>
      </c>
      <c r="D985" s="461">
        <v>35.94</v>
      </c>
      <c r="E985" s="461" t="s">
        <v>161</v>
      </c>
      <c r="F985" s="461" t="s">
        <v>8328</v>
      </c>
    </row>
    <row r="986" spans="1:6" ht="30" x14ac:dyDescent="0.25">
      <c r="A986" s="461">
        <v>589</v>
      </c>
      <c r="B986" s="460" t="s">
        <v>9244</v>
      </c>
      <c r="C986" s="461" t="s">
        <v>1107</v>
      </c>
      <c r="D986" s="461">
        <v>56.89</v>
      </c>
      <c r="E986" s="461" t="s">
        <v>161</v>
      </c>
      <c r="F986" s="461" t="s">
        <v>8328</v>
      </c>
    </row>
    <row r="987" spans="1:6" ht="15" x14ac:dyDescent="0.25">
      <c r="A987" s="461">
        <v>1165</v>
      </c>
      <c r="B987" s="460" t="s">
        <v>9245</v>
      </c>
      <c r="C987" s="461" t="s">
        <v>1104</v>
      </c>
      <c r="D987" s="461">
        <v>21.42</v>
      </c>
      <c r="E987" s="461" t="s">
        <v>161</v>
      </c>
      <c r="F987" s="461" t="s">
        <v>8328</v>
      </c>
    </row>
    <row r="988" spans="1:6" ht="15" x14ac:dyDescent="0.25">
      <c r="A988" s="461">
        <v>1164</v>
      </c>
      <c r="B988" s="460" t="s">
        <v>9246</v>
      </c>
      <c r="C988" s="461" t="s">
        <v>1104</v>
      </c>
      <c r="D988" s="461">
        <v>17.350000000000001</v>
      </c>
      <c r="E988" s="461" t="s">
        <v>161</v>
      </c>
      <c r="F988" s="461" t="s">
        <v>8328</v>
      </c>
    </row>
    <row r="989" spans="1:6" ht="15" x14ac:dyDescent="0.25">
      <c r="A989" s="461">
        <v>1162</v>
      </c>
      <c r="B989" s="460" t="s">
        <v>9247</v>
      </c>
      <c r="C989" s="461" t="s">
        <v>1104</v>
      </c>
      <c r="D989" s="461">
        <v>6.03</v>
      </c>
      <c r="E989" s="461" t="s">
        <v>161</v>
      </c>
      <c r="F989" s="461" t="s">
        <v>8328</v>
      </c>
    </row>
    <row r="990" spans="1:6" ht="15" x14ac:dyDescent="0.25">
      <c r="A990" s="461">
        <v>12395</v>
      </c>
      <c r="B990" s="460" t="s">
        <v>9248</v>
      </c>
      <c r="C990" s="461" t="s">
        <v>1104</v>
      </c>
      <c r="D990" s="461">
        <v>5.86</v>
      </c>
      <c r="E990" s="461" t="s">
        <v>161</v>
      </c>
      <c r="F990" s="461" t="s">
        <v>8328</v>
      </c>
    </row>
    <row r="991" spans="1:6" ht="15" x14ac:dyDescent="0.25">
      <c r="A991" s="461">
        <v>1170</v>
      </c>
      <c r="B991" s="460" t="s">
        <v>9249</v>
      </c>
      <c r="C991" s="461" t="s">
        <v>1104</v>
      </c>
      <c r="D991" s="461">
        <v>11.37</v>
      </c>
      <c r="E991" s="461" t="s">
        <v>161</v>
      </c>
      <c r="F991" s="461" t="s">
        <v>8328</v>
      </c>
    </row>
    <row r="992" spans="1:6" ht="15" x14ac:dyDescent="0.25">
      <c r="A992" s="461">
        <v>1169</v>
      </c>
      <c r="B992" s="460" t="s">
        <v>9250</v>
      </c>
      <c r="C992" s="461" t="s">
        <v>1104</v>
      </c>
      <c r="D992" s="461">
        <v>55.8</v>
      </c>
      <c r="E992" s="461" t="s">
        <v>161</v>
      </c>
      <c r="F992" s="461" t="s">
        <v>8328</v>
      </c>
    </row>
    <row r="993" spans="1:6" ht="15" x14ac:dyDescent="0.25">
      <c r="A993" s="461">
        <v>1166</v>
      </c>
      <c r="B993" s="460" t="s">
        <v>9251</v>
      </c>
      <c r="C993" s="461" t="s">
        <v>1104</v>
      </c>
      <c r="D993" s="461">
        <v>30.94</v>
      </c>
      <c r="E993" s="461" t="s">
        <v>161</v>
      </c>
      <c r="F993" s="461" t="s">
        <v>8328</v>
      </c>
    </row>
    <row r="994" spans="1:6" ht="15" x14ac:dyDescent="0.25">
      <c r="A994" s="461">
        <v>1163</v>
      </c>
      <c r="B994" s="460" t="s">
        <v>9252</v>
      </c>
      <c r="C994" s="461" t="s">
        <v>1104</v>
      </c>
      <c r="D994" s="461">
        <v>7.8</v>
      </c>
      <c r="E994" s="461" t="s">
        <v>161</v>
      </c>
      <c r="F994" s="461" t="s">
        <v>8328</v>
      </c>
    </row>
    <row r="995" spans="1:6" ht="15" x14ac:dyDescent="0.25">
      <c r="A995" s="461">
        <v>12396</v>
      </c>
      <c r="B995" s="460" t="s">
        <v>9253</v>
      </c>
      <c r="C995" s="461" t="s">
        <v>1104</v>
      </c>
      <c r="D995" s="461">
        <v>5.86</v>
      </c>
      <c r="E995" s="461" t="s">
        <v>161</v>
      </c>
      <c r="F995" s="461" t="s">
        <v>8328</v>
      </c>
    </row>
    <row r="996" spans="1:6" ht="15" x14ac:dyDescent="0.25">
      <c r="A996" s="461">
        <v>1168</v>
      </c>
      <c r="B996" s="460" t="s">
        <v>9254</v>
      </c>
      <c r="C996" s="461" t="s">
        <v>1104</v>
      </c>
      <c r="D996" s="461">
        <v>79.55</v>
      </c>
      <c r="E996" s="461" t="s">
        <v>161</v>
      </c>
      <c r="F996" s="461" t="s">
        <v>8328</v>
      </c>
    </row>
    <row r="997" spans="1:6" ht="15" x14ac:dyDescent="0.25">
      <c r="A997" s="461">
        <v>1167</v>
      </c>
      <c r="B997" s="460" t="s">
        <v>9255</v>
      </c>
      <c r="C997" s="461" t="s">
        <v>1104</v>
      </c>
      <c r="D997" s="461">
        <v>133.06</v>
      </c>
      <c r="E997" s="461" t="s">
        <v>161</v>
      </c>
      <c r="F997" s="461" t="s">
        <v>8328</v>
      </c>
    </row>
    <row r="998" spans="1:6" ht="15" x14ac:dyDescent="0.25">
      <c r="A998" s="461">
        <v>36331</v>
      </c>
      <c r="B998" s="460" t="s">
        <v>9256</v>
      </c>
      <c r="C998" s="461" t="s">
        <v>1104</v>
      </c>
      <c r="D998" s="461">
        <v>2.63</v>
      </c>
      <c r="E998" s="461" t="s">
        <v>161</v>
      </c>
      <c r="F998" s="461" t="s">
        <v>8326</v>
      </c>
    </row>
    <row r="999" spans="1:6" ht="15" x14ac:dyDescent="0.25">
      <c r="A999" s="461">
        <v>36346</v>
      </c>
      <c r="B999" s="460" t="s">
        <v>9257</v>
      </c>
      <c r="C999" s="461" t="s">
        <v>1104</v>
      </c>
      <c r="D999" s="461">
        <v>3.94</v>
      </c>
      <c r="E999" s="461" t="s">
        <v>161</v>
      </c>
      <c r="F999" s="461" t="s">
        <v>8326</v>
      </c>
    </row>
    <row r="1000" spans="1:6" ht="15" x14ac:dyDescent="0.25">
      <c r="A1000" s="461">
        <v>1197</v>
      </c>
      <c r="B1000" s="460" t="s">
        <v>9258</v>
      </c>
      <c r="C1000" s="461" t="s">
        <v>1104</v>
      </c>
      <c r="D1000" s="461">
        <v>1.72</v>
      </c>
      <c r="E1000" s="461" t="s">
        <v>161</v>
      </c>
      <c r="F1000" s="461" t="s">
        <v>8326</v>
      </c>
    </row>
    <row r="1001" spans="1:6" ht="15" x14ac:dyDescent="0.25">
      <c r="A1001" s="461">
        <v>1202</v>
      </c>
      <c r="B1001" s="460" t="s">
        <v>13126</v>
      </c>
      <c r="C1001" s="461" t="s">
        <v>1104</v>
      </c>
      <c r="D1001" s="461">
        <v>4.88</v>
      </c>
      <c r="E1001" s="461" t="s">
        <v>161</v>
      </c>
      <c r="F1001" s="461" t="s">
        <v>8326</v>
      </c>
    </row>
    <row r="1002" spans="1:6" ht="15" x14ac:dyDescent="0.25">
      <c r="A1002" s="461">
        <v>1198</v>
      </c>
      <c r="B1002" s="460" t="s">
        <v>13127</v>
      </c>
      <c r="C1002" s="461" t="s">
        <v>1104</v>
      </c>
      <c r="D1002" s="461">
        <v>2.25</v>
      </c>
      <c r="E1002" s="461" t="s">
        <v>161</v>
      </c>
      <c r="F1002" s="461" t="s">
        <v>8326</v>
      </c>
    </row>
    <row r="1003" spans="1:6" ht="15" x14ac:dyDescent="0.25">
      <c r="A1003" s="461">
        <v>20088</v>
      </c>
      <c r="B1003" s="460" t="s">
        <v>9259</v>
      </c>
      <c r="C1003" s="461" t="s">
        <v>1104</v>
      </c>
      <c r="D1003" s="461">
        <v>10.76</v>
      </c>
      <c r="E1003" s="461" t="s">
        <v>161</v>
      </c>
      <c r="F1003" s="461" t="s">
        <v>8326</v>
      </c>
    </row>
    <row r="1004" spans="1:6" ht="15" x14ac:dyDescent="0.25">
      <c r="A1004" s="461">
        <v>20089</v>
      </c>
      <c r="B1004" s="460" t="s">
        <v>9260</v>
      </c>
      <c r="C1004" s="461" t="s">
        <v>1104</v>
      </c>
      <c r="D1004" s="461">
        <v>52.78</v>
      </c>
      <c r="E1004" s="461" t="s">
        <v>161</v>
      </c>
      <c r="F1004" s="461" t="s">
        <v>8326</v>
      </c>
    </row>
    <row r="1005" spans="1:6" ht="15" x14ac:dyDescent="0.25">
      <c r="A1005" s="461">
        <v>20087</v>
      </c>
      <c r="B1005" s="460" t="s">
        <v>9261</v>
      </c>
      <c r="C1005" s="461" t="s">
        <v>1104</v>
      </c>
      <c r="D1005" s="461">
        <v>8.91</v>
      </c>
      <c r="E1005" s="461" t="s">
        <v>161</v>
      </c>
      <c r="F1005" s="461" t="s">
        <v>8326</v>
      </c>
    </row>
    <row r="1006" spans="1:6" ht="15" x14ac:dyDescent="0.25">
      <c r="A1006" s="461">
        <v>1200</v>
      </c>
      <c r="B1006" s="460" t="s">
        <v>9262</v>
      </c>
      <c r="C1006" s="461" t="s">
        <v>1104</v>
      </c>
      <c r="D1006" s="461">
        <v>8.09</v>
      </c>
      <c r="E1006" s="461" t="s">
        <v>161</v>
      </c>
      <c r="F1006" s="461" t="s">
        <v>8326</v>
      </c>
    </row>
    <row r="1007" spans="1:6" ht="15" x14ac:dyDescent="0.25">
      <c r="A1007" s="461">
        <v>12909</v>
      </c>
      <c r="B1007" s="460" t="s">
        <v>9263</v>
      </c>
      <c r="C1007" s="461" t="s">
        <v>1104</v>
      </c>
      <c r="D1007" s="461">
        <v>3.75</v>
      </c>
      <c r="E1007" s="461" t="s">
        <v>161</v>
      </c>
      <c r="F1007" s="461" t="s">
        <v>8326</v>
      </c>
    </row>
    <row r="1008" spans="1:6" ht="15" x14ac:dyDescent="0.25">
      <c r="A1008" s="461">
        <v>12910</v>
      </c>
      <c r="B1008" s="460" t="s">
        <v>9264</v>
      </c>
      <c r="C1008" s="461" t="s">
        <v>1104</v>
      </c>
      <c r="D1008" s="461">
        <v>6.74</v>
      </c>
      <c r="E1008" s="461" t="s">
        <v>161</v>
      </c>
      <c r="F1008" s="461" t="s">
        <v>8326</v>
      </c>
    </row>
    <row r="1009" spans="1:6" ht="15" x14ac:dyDescent="0.25">
      <c r="A1009" s="461">
        <v>1191</v>
      </c>
      <c r="B1009" s="460" t="s">
        <v>9265</v>
      </c>
      <c r="C1009" s="461" t="s">
        <v>1104</v>
      </c>
      <c r="D1009" s="461">
        <v>1.23</v>
      </c>
      <c r="E1009" s="461" t="s">
        <v>161</v>
      </c>
      <c r="F1009" s="461" t="s">
        <v>8326</v>
      </c>
    </row>
    <row r="1010" spans="1:6" ht="15" x14ac:dyDescent="0.25">
      <c r="A1010" s="461">
        <v>1185</v>
      </c>
      <c r="B1010" s="460" t="s">
        <v>9266</v>
      </c>
      <c r="C1010" s="461" t="s">
        <v>1104</v>
      </c>
      <c r="D1010" s="461">
        <v>1.23</v>
      </c>
      <c r="E1010" s="461" t="s">
        <v>161</v>
      </c>
      <c r="F1010" s="461" t="s">
        <v>8326</v>
      </c>
    </row>
    <row r="1011" spans="1:6" ht="15" x14ac:dyDescent="0.25">
      <c r="A1011" s="461">
        <v>1189</v>
      </c>
      <c r="B1011" s="460" t="s">
        <v>9267</v>
      </c>
      <c r="C1011" s="461" t="s">
        <v>1104</v>
      </c>
      <c r="D1011" s="461">
        <v>2.0099999999999998</v>
      </c>
      <c r="E1011" s="461" t="s">
        <v>161</v>
      </c>
      <c r="F1011" s="461" t="s">
        <v>8326</v>
      </c>
    </row>
    <row r="1012" spans="1:6" ht="15" x14ac:dyDescent="0.25">
      <c r="A1012" s="461">
        <v>1193</v>
      </c>
      <c r="B1012" s="460" t="s">
        <v>9268</v>
      </c>
      <c r="C1012" s="461" t="s">
        <v>1104</v>
      </c>
      <c r="D1012" s="461">
        <v>3.86</v>
      </c>
      <c r="E1012" s="461" t="s">
        <v>161</v>
      </c>
      <c r="F1012" s="461" t="s">
        <v>8326</v>
      </c>
    </row>
    <row r="1013" spans="1:6" ht="15" x14ac:dyDescent="0.25">
      <c r="A1013" s="461">
        <v>1194</v>
      </c>
      <c r="B1013" s="460" t="s">
        <v>9269</v>
      </c>
      <c r="C1013" s="461" t="s">
        <v>1104</v>
      </c>
      <c r="D1013" s="461">
        <v>6.97</v>
      </c>
      <c r="E1013" s="461" t="s">
        <v>161</v>
      </c>
      <c r="F1013" s="461" t="s">
        <v>8326</v>
      </c>
    </row>
    <row r="1014" spans="1:6" ht="15" x14ac:dyDescent="0.25">
      <c r="A1014" s="461">
        <v>1195</v>
      </c>
      <c r="B1014" s="460" t="s">
        <v>9270</v>
      </c>
      <c r="C1014" s="461" t="s">
        <v>1104</v>
      </c>
      <c r="D1014" s="461">
        <v>11.73</v>
      </c>
      <c r="E1014" s="461" t="s">
        <v>161</v>
      </c>
      <c r="F1014" s="461" t="s">
        <v>8326</v>
      </c>
    </row>
    <row r="1015" spans="1:6" ht="15" x14ac:dyDescent="0.25">
      <c r="A1015" s="461">
        <v>1204</v>
      </c>
      <c r="B1015" s="460" t="s">
        <v>9271</v>
      </c>
      <c r="C1015" s="461" t="s">
        <v>1104</v>
      </c>
      <c r="D1015" s="461">
        <v>20.52</v>
      </c>
      <c r="E1015" s="461" t="s">
        <v>161</v>
      </c>
      <c r="F1015" s="461" t="s">
        <v>8326</v>
      </c>
    </row>
    <row r="1016" spans="1:6" ht="15" x14ac:dyDescent="0.25">
      <c r="A1016" s="461">
        <v>1207</v>
      </c>
      <c r="B1016" s="460" t="s">
        <v>13128</v>
      </c>
      <c r="C1016" s="461" t="s">
        <v>1104</v>
      </c>
      <c r="D1016" s="461">
        <v>26.36</v>
      </c>
      <c r="E1016" s="461" t="s">
        <v>161</v>
      </c>
      <c r="F1016" s="461" t="s">
        <v>8328</v>
      </c>
    </row>
    <row r="1017" spans="1:6" ht="15" x14ac:dyDescent="0.25">
      <c r="A1017" s="461">
        <v>1206</v>
      </c>
      <c r="B1017" s="460" t="s">
        <v>13129</v>
      </c>
      <c r="C1017" s="461" t="s">
        <v>1104</v>
      </c>
      <c r="D1017" s="461">
        <v>6.61</v>
      </c>
      <c r="E1017" s="461" t="s">
        <v>161</v>
      </c>
      <c r="F1017" s="461" t="s">
        <v>8328</v>
      </c>
    </row>
    <row r="1018" spans="1:6" ht="15" x14ac:dyDescent="0.25">
      <c r="A1018" s="461">
        <v>1183</v>
      </c>
      <c r="B1018" s="460" t="s">
        <v>13130</v>
      </c>
      <c r="C1018" s="461" t="s">
        <v>1104</v>
      </c>
      <c r="D1018" s="461">
        <v>17.21</v>
      </c>
      <c r="E1018" s="461" t="s">
        <v>161</v>
      </c>
      <c r="F1018" s="461" t="s">
        <v>8328</v>
      </c>
    </row>
    <row r="1019" spans="1:6" ht="15" x14ac:dyDescent="0.25">
      <c r="A1019" s="461">
        <v>42685</v>
      </c>
      <c r="B1019" s="460" t="s">
        <v>9272</v>
      </c>
      <c r="C1019" s="461" t="s">
        <v>1104</v>
      </c>
      <c r="D1019" s="461">
        <v>54.69</v>
      </c>
      <c r="E1019" s="461" t="s">
        <v>161</v>
      </c>
      <c r="F1019" s="461" t="s">
        <v>8326</v>
      </c>
    </row>
    <row r="1020" spans="1:6" ht="15" x14ac:dyDescent="0.25">
      <c r="A1020" s="461">
        <v>42686</v>
      </c>
      <c r="B1020" s="460" t="s">
        <v>9273</v>
      </c>
      <c r="C1020" s="461" t="s">
        <v>1104</v>
      </c>
      <c r="D1020" s="461">
        <v>60.24</v>
      </c>
      <c r="E1020" s="461" t="s">
        <v>161</v>
      </c>
      <c r="F1020" s="461" t="s">
        <v>8326</v>
      </c>
    </row>
    <row r="1021" spans="1:6" ht="30" x14ac:dyDescent="0.25">
      <c r="A1021" s="461">
        <v>12894</v>
      </c>
      <c r="B1021" s="460" t="s">
        <v>9274</v>
      </c>
      <c r="C1021" s="461" t="s">
        <v>1104</v>
      </c>
      <c r="D1021" s="461">
        <v>20.149999999999999</v>
      </c>
      <c r="E1021" s="461" t="s">
        <v>161</v>
      </c>
      <c r="F1021" s="461" t="s">
        <v>8326</v>
      </c>
    </row>
    <row r="1022" spans="1:6" ht="30" x14ac:dyDescent="0.25">
      <c r="A1022" s="461">
        <v>12895</v>
      </c>
      <c r="B1022" s="460" t="s">
        <v>9275</v>
      </c>
      <c r="C1022" s="461" t="s">
        <v>1104</v>
      </c>
      <c r="D1022" s="461">
        <v>15.5</v>
      </c>
      <c r="E1022" s="461" t="s">
        <v>161</v>
      </c>
      <c r="F1022" s="461" t="s">
        <v>8333</v>
      </c>
    </row>
    <row r="1023" spans="1:6" ht="30" x14ac:dyDescent="0.25">
      <c r="A1023" s="461">
        <v>1631</v>
      </c>
      <c r="B1023" s="460" t="s">
        <v>9276</v>
      </c>
      <c r="C1023" s="461" t="s">
        <v>1104</v>
      </c>
      <c r="D1023" s="461">
        <v>186.28</v>
      </c>
      <c r="E1023" s="461" t="s">
        <v>161</v>
      </c>
      <c r="F1023" s="461" t="s">
        <v>8326</v>
      </c>
    </row>
    <row r="1024" spans="1:6" ht="30" x14ac:dyDescent="0.25">
      <c r="A1024" s="461">
        <v>1633</v>
      </c>
      <c r="B1024" s="460" t="s">
        <v>9277</v>
      </c>
      <c r="C1024" s="461" t="s">
        <v>1104</v>
      </c>
      <c r="D1024" s="461">
        <v>316.5</v>
      </c>
      <c r="E1024" s="461" t="s">
        <v>161</v>
      </c>
      <c r="F1024" s="461" t="s">
        <v>8326</v>
      </c>
    </row>
    <row r="1025" spans="1:6" ht="15" x14ac:dyDescent="0.25">
      <c r="A1025" s="461">
        <v>10818</v>
      </c>
      <c r="B1025" s="460" t="s">
        <v>9278</v>
      </c>
      <c r="C1025" s="461" t="s">
        <v>1108</v>
      </c>
      <c r="D1025" s="461">
        <v>60.78</v>
      </c>
      <c r="E1025" s="461" t="s">
        <v>161</v>
      </c>
      <c r="F1025" s="461" t="s">
        <v>8326</v>
      </c>
    </row>
    <row r="1026" spans="1:6" ht="15" x14ac:dyDescent="0.25">
      <c r="A1026" s="461">
        <v>41410</v>
      </c>
      <c r="B1026" s="460" t="s">
        <v>9279</v>
      </c>
      <c r="C1026" s="461" t="s">
        <v>1104</v>
      </c>
      <c r="D1026" s="461">
        <v>60.46</v>
      </c>
      <c r="E1026" s="461" t="s">
        <v>161</v>
      </c>
      <c r="F1026" s="461" t="s">
        <v>8326</v>
      </c>
    </row>
    <row r="1027" spans="1:6" ht="15" x14ac:dyDescent="0.25">
      <c r="A1027" s="461">
        <v>41411</v>
      </c>
      <c r="B1027" s="460" t="s">
        <v>9280</v>
      </c>
      <c r="C1027" s="461" t="s">
        <v>1104</v>
      </c>
      <c r="D1027" s="461">
        <v>54.81</v>
      </c>
      <c r="E1027" s="461" t="s">
        <v>161</v>
      </c>
      <c r="F1027" s="461" t="s">
        <v>8326</v>
      </c>
    </row>
    <row r="1028" spans="1:6" ht="15" x14ac:dyDescent="0.25">
      <c r="A1028" s="461">
        <v>41412</v>
      </c>
      <c r="B1028" s="460" t="s">
        <v>9281</v>
      </c>
      <c r="C1028" s="461" t="s">
        <v>1104</v>
      </c>
      <c r="D1028" s="461">
        <v>106.01</v>
      </c>
      <c r="E1028" s="461" t="s">
        <v>161</v>
      </c>
      <c r="F1028" s="461" t="s">
        <v>8326</v>
      </c>
    </row>
    <row r="1029" spans="1:6" ht="15" x14ac:dyDescent="0.25">
      <c r="A1029" s="461">
        <v>41413</v>
      </c>
      <c r="B1029" s="460" t="s">
        <v>9282</v>
      </c>
      <c r="C1029" s="461" t="s">
        <v>1104</v>
      </c>
      <c r="D1029" s="461">
        <v>95.39</v>
      </c>
      <c r="E1029" s="461" t="s">
        <v>161</v>
      </c>
      <c r="F1029" s="461" t="s">
        <v>8326</v>
      </c>
    </row>
    <row r="1030" spans="1:6" ht="45" x14ac:dyDescent="0.25">
      <c r="A1030" s="461">
        <v>39359</v>
      </c>
      <c r="B1030" s="460" t="s">
        <v>9283</v>
      </c>
      <c r="C1030" s="461" t="s">
        <v>1104</v>
      </c>
      <c r="D1030" s="461">
        <v>34.32</v>
      </c>
      <c r="E1030" s="461" t="s">
        <v>161</v>
      </c>
      <c r="F1030" s="461" t="s">
        <v>8328</v>
      </c>
    </row>
    <row r="1031" spans="1:6" ht="45" x14ac:dyDescent="0.25">
      <c r="A1031" s="461">
        <v>39360</v>
      </c>
      <c r="B1031" s="460" t="s">
        <v>9284</v>
      </c>
      <c r="C1031" s="461" t="s">
        <v>1104</v>
      </c>
      <c r="D1031" s="461">
        <v>34.32</v>
      </c>
      <c r="E1031" s="461" t="s">
        <v>161</v>
      </c>
      <c r="F1031" s="461" t="s">
        <v>8328</v>
      </c>
    </row>
    <row r="1032" spans="1:6" ht="30" x14ac:dyDescent="0.25">
      <c r="A1032" s="461">
        <v>10710</v>
      </c>
      <c r="B1032" s="460" t="s">
        <v>9285</v>
      </c>
      <c r="C1032" s="461" t="s">
        <v>1106</v>
      </c>
      <c r="D1032" s="461">
        <v>165.02</v>
      </c>
      <c r="E1032" s="461" t="s">
        <v>161</v>
      </c>
      <c r="F1032" s="461" t="s">
        <v>8328</v>
      </c>
    </row>
    <row r="1033" spans="1:6" ht="30" x14ac:dyDescent="0.25">
      <c r="A1033" s="461">
        <v>10709</v>
      </c>
      <c r="B1033" s="460" t="s">
        <v>9286</v>
      </c>
      <c r="C1033" s="461" t="s">
        <v>1106</v>
      </c>
      <c r="D1033" s="461">
        <v>202.73</v>
      </c>
      <c r="E1033" s="461" t="s">
        <v>161</v>
      </c>
      <c r="F1033" s="461" t="s">
        <v>8328</v>
      </c>
    </row>
    <row r="1034" spans="1:6" ht="30" x14ac:dyDescent="0.25">
      <c r="A1034" s="461">
        <v>39636</v>
      </c>
      <c r="B1034" s="460" t="s">
        <v>9287</v>
      </c>
      <c r="C1034" s="461" t="s">
        <v>1106</v>
      </c>
      <c r="D1034" s="461">
        <v>207.02</v>
      </c>
      <c r="E1034" s="461" t="s">
        <v>161</v>
      </c>
      <c r="F1034" s="461" t="s">
        <v>8328</v>
      </c>
    </row>
    <row r="1035" spans="1:6" ht="30" x14ac:dyDescent="0.25">
      <c r="A1035" s="461">
        <v>10708</v>
      </c>
      <c r="B1035" s="460" t="s">
        <v>9288</v>
      </c>
      <c r="C1035" s="461" t="s">
        <v>1106</v>
      </c>
      <c r="D1035" s="461">
        <v>63.88</v>
      </c>
      <c r="E1035" s="461" t="s">
        <v>161</v>
      </c>
      <c r="F1035" s="461" t="s">
        <v>8328</v>
      </c>
    </row>
    <row r="1036" spans="1:6" ht="30" x14ac:dyDescent="0.25">
      <c r="A1036" s="461">
        <v>39635</v>
      </c>
      <c r="B1036" s="460" t="s">
        <v>9289</v>
      </c>
      <c r="C1036" s="461" t="s">
        <v>1106</v>
      </c>
      <c r="D1036" s="461">
        <v>108.76</v>
      </c>
      <c r="E1036" s="461" t="s">
        <v>161</v>
      </c>
      <c r="F1036" s="461" t="s">
        <v>8328</v>
      </c>
    </row>
    <row r="1037" spans="1:6" ht="15" x14ac:dyDescent="0.25">
      <c r="A1037" s="461">
        <v>6117</v>
      </c>
      <c r="B1037" s="460" t="s">
        <v>9290</v>
      </c>
      <c r="C1037" s="461" t="s">
        <v>1103</v>
      </c>
      <c r="D1037" s="461">
        <v>15.27</v>
      </c>
      <c r="E1037" s="461" t="s">
        <v>4455</v>
      </c>
      <c r="F1037" s="461" t="s">
        <v>8326</v>
      </c>
    </row>
    <row r="1038" spans="1:6" ht="15" x14ac:dyDescent="0.25">
      <c r="A1038" s="461">
        <v>40913</v>
      </c>
      <c r="B1038" s="460" t="s">
        <v>9291</v>
      </c>
      <c r="C1038" s="461" t="s">
        <v>1110</v>
      </c>
      <c r="D1038" s="511">
        <v>2722.88</v>
      </c>
      <c r="E1038" s="461" t="s">
        <v>4455</v>
      </c>
      <c r="F1038" s="461" t="s">
        <v>8326</v>
      </c>
    </row>
    <row r="1039" spans="1:6" ht="15" x14ac:dyDescent="0.25">
      <c r="A1039" s="461">
        <v>1214</v>
      </c>
      <c r="B1039" s="460" t="s">
        <v>9292</v>
      </c>
      <c r="C1039" s="461" t="s">
        <v>1103</v>
      </c>
      <c r="D1039" s="461">
        <v>20.55</v>
      </c>
      <c r="E1039" s="461" t="s">
        <v>4455</v>
      </c>
      <c r="F1039" s="461" t="s">
        <v>8326</v>
      </c>
    </row>
    <row r="1040" spans="1:6" ht="15" x14ac:dyDescent="0.25">
      <c r="A1040" s="461">
        <v>40915</v>
      </c>
      <c r="B1040" s="460" t="s">
        <v>9293</v>
      </c>
      <c r="C1040" s="461" t="s">
        <v>1110</v>
      </c>
      <c r="D1040" s="511">
        <v>3659.97</v>
      </c>
      <c r="E1040" s="461" t="s">
        <v>4455</v>
      </c>
      <c r="F1040" s="461" t="s">
        <v>8326</v>
      </c>
    </row>
    <row r="1041" spans="1:6" ht="15" x14ac:dyDescent="0.25">
      <c r="A1041" s="461">
        <v>1213</v>
      </c>
      <c r="B1041" s="460" t="s">
        <v>13131</v>
      </c>
      <c r="C1041" s="461" t="s">
        <v>1103</v>
      </c>
      <c r="D1041" s="461">
        <v>21.83</v>
      </c>
      <c r="E1041" s="461" t="s">
        <v>4455</v>
      </c>
      <c r="F1041" s="461" t="s">
        <v>8333</v>
      </c>
    </row>
    <row r="1042" spans="1:6" ht="15" x14ac:dyDescent="0.25">
      <c r="A1042" s="461">
        <v>40914</v>
      </c>
      <c r="B1042" s="460" t="s">
        <v>13132</v>
      </c>
      <c r="C1042" s="461" t="s">
        <v>1110</v>
      </c>
      <c r="D1042" s="511">
        <v>3886.77</v>
      </c>
      <c r="E1042" s="461" t="s">
        <v>4455</v>
      </c>
      <c r="F1042" s="461" t="s">
        <v>8326</v>
      </c>
    </row>
    <row r="1043" spans="1:6" ht="30" x14ac:dyDescent="0.25">
      <c r="A1043" s="461">
        <v>5091</v>
      </c>
      <c r="B1043" s="460" t="s">
        <v>9294</v>
      </c>
      <c r="C1043" s="461" t="s">
        <v>1104</v>
      </c>
      <c r="D1043" s="461">
        <v>18.059999999999999</v>
      </c>
      <c r="E1043" s="461" t="s">
        <v>161</v>
      </c>
      <c r="F1043" s="461" t="s">
        <v>8326</v>
      </c>
    </row>
    <row r="1044" spans="1:6" ht="30" x14ac:dyDescent="0.25">
      <c r="A1044" s="461">
        <v>14615</v>
      </c>
      <c r="B1044" s="460" t="s">
        <v>9295</v>
      </c>
      <c r="C1044" s="461" t="s">
        <v>1104</v>
      </c>
      <c r="D1044" s="511">
        <v>3492.91</v>
      </c>
      <c r="E1044" s="461" t="s">
        <v>161</v>
      </c>
      <c r="F1044" s="461" t="s">
        <v>8328</v>
      </c>
    </row>
    <row r="1045" spans="1:6" ht="15" x14ac:dyDescent="0.25">
      <c r="A1045" s="461">
        <v>2711</v>
      </c>
      <c r="B1045" s="460" t="s">
        <v>9296</v>
      </c>
      <c r="C1045" s="461" t="s">
        <v>1104</v>
      </c>
      <c r="D1045" s="461">
        <v>247.28</v>
      </c>
      <c r="E1045" s="461" t="s">
        <v>161</v>
      </c>
      <c r="F1045" s="461" t="s">
        <v>8333</v>
      </c>
    </row>
    <row r="1046" spans="1:6" ht="45" x14ac:dyDescent="0.25">
      <c r="A1046" s="461">
        <v>37727</v>
      </c>
      <c r="B1046" s="460" t="s">
        <v>9297</v>
      </c>
      <c r="C1046" s="461" t="s">
        <v>1104</v>
      </c>
      <c r="D1046" s="511">
        <v>17335</v>
      </c>
      <c r="E1046" s="461" t="s">
        <v>1497</v>
      </c>
      <c r="F1046" s="461" t="s">
        <v>8328</v>
      </c>
    </row>
    <row r="1047" spans="1:6" ht="45" x14ac:dyDescent="0.25">
      <c r="A1047" s="461">
        <v>37728</v>
      </c>
      <c r="B1047" s="460" t="s">
        <v>9298</v>
      </c>
      <c r="C1047" s="461" t="s">
        <v>1104</v>
      </c>
      <c r="D1047" s="511">
        <v>23517.41</v>
      </c>
      <c r="E1047" s="461" t="s">
        <v>1497</v>
      </c>
      <c r="F1047" s="461" t="s">
        <v>8328</v>
      </c>
    </row>
    <row r="1048" spans="1:6" ht="45" x14ac:dyDescent="0.25">
      <c r="A1048" s="461">
        <v>37729</v>
      </c>
      <c r="B1048" s="460" t="s">
        <v>9299</v>
      </c>
      <c r="C1048" s="461" t="s">
        <v>1104</v>
      </c>
      <c r="D1048" s="511">
        <v>25456.99</v>
      </c>
      <c r="E1048" s="461" t="s">
        <v>1497</v>
      </c>
      <c r="F1048" s="461" t="s">
        <v>8328</v>
      </c>
    </row>
    <row r="1049" spans="1:6" ht="45" x14ac:dyDescent="0.25">
      <c r="A1049" s="461">
        <v>37730</v>
      </c>
      <c r="B1049" s="460" t="s">
        <v>9300</v>
      </c>
      <c r="C1049" s="461" t="s">
        <v>1104</v>
      </c>
      <c r="D1049" s="511">
        <v>27396.57</v>
      </c>
      <c r="E1049" s="461" t="s">
        <v>1497</v>
      </c>
      <c r="F1049" s="461" t="s">
        <v>8328</v>
      </c>
    </row>
    <row r="1050" spans="1:6" ht="45" x14ac:dyDescent="0.25">
      <c r="A1050" s="461">
        <v>37731</v>
      </c>
      <c r="B1050" s="460" t="s">
        <v>9301</v>
      </c>
      <c r="C1050" s="461" t="s">
        <v>1104</v>
      </c>
      <c r="D1050" s="511">
        <v>29336.15</v>
      </c>
      <c r="E1050" s="461" t="s">
        <v>1497</v>
      </c>
      <c r="F1050" s="461" t="s">
        <v>8328</v>
      </c>
    </row>
    <row r="1051" spans="1:6" ht="45" x14ac:dyDescent="0.25">
      <c r="A1051" s="461">
        <v>37732</v>
      </c>
      <c r="B1051" s="460" t="s">
        <v>9302</v>
      </c>
      <c r="C1051" s="461" t="s">
        <v>1104</v>
      </c>
      <c r="D1051" s="511">
        <v>33457.760000000002</v>
      </c>
      <c r="E1051" s="461" t="s">
        <v>1497</v>
      </c>
      <c r="F1051" s="461" t="s">
        <v>8328</v>
      </c>
    </row>
    <row r="1052" spans="1:6" ht="60" x14ac:dyDescent="0.25">
      <c r="A1052" s="461">
        <v>36496</v>
      </c>
      <c r="B1052" s="460" t="s">
        <v>9303</v>
      </c>
      <c r="C1052" s="461" t="s">
        <v>1104</v>
      </c>
      <c r="D1052" s="461">
        <v>8868.43</v>
      </c>
      <c r="E1052" s="461" t="s">
        <v>1497</v>
      </c>
      <c r="F1052" s="461" t="s">
        <v>8328</v>
      </c>
    </row>
    <row r="1053" spans="1:6" ht="45" x14ac:dyDescent="0.25">
      <c r="A1053" s="461">
        <v>10630</v>
      </c>
      <c r="B1053" s="460" t="s">
        <v>9304</v>
      </c>
      <c r="C1053" s="461" t="s">
        <v>1104</v>
      </c>
      <c r="D1053" s="511">
        <v>856298.24</v>
      </c>
      <c r="E1053" s="461" t="s">
        <v>1497</v>
      </c>
      <c r="F1053" s="461" t="s">
        <v>8328</v>
      </c>
    </row>
    <row r="1054" spans="1:6" ht="45" x14ac:dyDescent="0.25">
      <c r="A1054" s="461">
        <v>37762</v>
      </c>
      <c r="B1054" s="460" t="s">
        <v>9305</v>
      </c>
      <c r="C1054" s="461" t="s">
        <v>1104</v>
      </c>
      <c r="D1054" s="461">
        <v>734394.82</v>
      </c>
      <c r="E1054" s="461" t="s">
        <v>1497</v>
      </c>
      <c r="F1054" s="461" t="s">
        <v>8328</v>
      </c>
    </row>
    <row r="1055" spans="1:6" ht="45" x14ac:dyDescent="0.25">
      <c r="A1055" s="461">
        <v>37763</v>
      </c>
      <c r="B1055" s="460" t="s">
        <v>9306</v>
      </c>
      <c r="C1055" s="461" t="s">
        <v>1104</v>
      </c>
      <c r="D1055" s="461">
        <v>743314.47</v>
      </c>
      <c r="E1055" s="461" t="s">
        <v>1497</v>
      </c>
      <c r="F1055" s="461" t="s">
        <v>8328</v>
      </c>
    </row>
    <row r="1056" spans="1:6" ht="45" x14ac:dyDescent="0.25">
      <c r="A1056" s="461">
        <v>41992</v>
      </c>
      <c r="B1056" s="460" t="s">
        <v>9307</v>
      </c>
      <c r="C1056" s="461" t="s">
        <v>1104</v>
      </c>
      <c r="D1056" s="461">
        <v>845000</v>
      </c>
      <c r="E1056" s="461" t="s">
        <v>1497</v>
      </c>
      <c r="F1056" s="461" t="s">
        <v>8328</v>
      </c>
    </row>
    <row r="1057" spans="1:6" ht="45" x14ac:dyDescent="0.25">
      <c r="A1057" s="461">
        <v>13215</v>
      </c>
      <c r="B1057" s="460" t="s">
        <v>9308</v>
      </c>
      <c r="C1057" s="461" t="s">
        <v>1104</v>
      </c>
      <c r="D1057" s="511">
        <v>1036180.4</v>
      </c>
      <c r="E1057" s="461" t="s">
        <v>1497</v>
      </c>
      <c r="F1057" s="461" t="s">
        <v>8328</v>
      </c>
    </row>
    <row r="1058" spans="1:6" ht="15" x14ac:dyDescent="0.25">
      <c r="A1058" s="461">
        <v>4235</v>
      </c>
      <c r="B1058" s="460" t="s">
        <v>9309</v>
      </c>
      <c r="C1058" s="461" t="s">
        <v>1103</v>
      </c>
      <c r="D1058" s="511">
        <v>17.71</v>
      </c>
      <c r="E1058" s="461" t="s">
        <v>4455</v>
      </c>
      <c r="F1058" s="461" t="s">
        <v>8326</v>
      </c>
    </row>
    <row r="1059" spans="1:6" ht="15" x14ac:dyDescent="0.25">
      <c r="A1059" s="461">
        <v>40976</v>
      </c>
      <c r="B1059" s="460" t="s">
        <v>9310</v>
      </c>
      <c r="C1059" s="461" t="s">
        <v>1110</v>
      </c>
      <c r="D1059" s="511">
        <v>3157.21</v>
      </c>
      <c r="E1059" s="461" t="s">
        <v>4455</v>
      </c>
      <c r="F1059" s="461" t="s">
        <v>8326</v>
      </c>
    </row>
    <row r="1060" spans="1:6" ht="45" x14ac:dyDescent="0.25">
      <c r="A1060" s="461">
        <v>43091</v>
      </c>
      <c r="B1060" s="460" t="s">
        <v>9311</v>
      </c>
      <c r="C1060" s="461" t="s">
        <v>1104</v>
      </c>
      <c r="D1060" s="511">
        <v>8925.1299999999992</v>
      </c>
      <c r="E1060" s="461" t="s">
        <v>161</v>
      </c>
      <c r="F1060" s="461" t="s">
        <v>8326</v>
      </c>
    </row>
    <row r="1061" spans="1:6" ht="45" x14ac:dyDescent="0.25">
      <c r="A1061" s="461">
        <v>43092</v>
      </c>
      <c r="B1061" s="460" t="s">
        <v>9312</v>
      </c>
      <c r="C1061" s="461" t="s">
        <v>1104</v>
      </c>
      <c r="D1061" s="511">
        <v>11900.18</v>
      </c>
      <c r="E1061" s="461" t="s">
        <v>161</v>
      </c>
      <c r="F1061" s="461" t="s">
        <v>8326</v>
      </c>
    </row>
    <row r="1062" spans="1:6" ht="45" x14ac:dyDescent="0.25">
      <c r="A1062" s="461">
        <v>43089</v>
      </c>
      <c r="B1062" s="460" t="s">
        <v>9313</v>
      </c>
      <c r="C1062" s="461" t="s">
        <v>1104</v>
      </c>
      <c r="D1062" s="511">
        <v>2073.9499999999998</v>
      </c>
      <c r="E1062" s="461" t="s">
        <v>161</v>
      </c>
      <c r="F1062" s="461" t="s">
        <v>8326</v>
      </c>
    </row>
    <row r="1063" spans="1:6" ht="45" x14ac:dyDescent="0.25">
      <c r="A1063" s="461">
        <v>43090</v>
      </c>
      <c r="B1063" s="460" t="s">
        <v>9314</v>
      </c>
      <c r="C1063" s="461" t="s">
        <v>1104</v>
      </c>
      <c r="D1063" s="461">
        <v>4576.99</v>
      </c>
      <c r="E1063" s="461" t="s">
        <v>161</v>
      </c>
      <c r="F1063" s="461" t="s">
        <v>8326</v>
      </c>
    </row>
    <row r="1064" spans="1:6" ht="15" x14ac:dyDescent="0.25">
      <c r="A1064" s="461">
        <v>41967</v>
      </c>
      <c r="B1064" s="460" t="s">
        <v>9315</v>
      </c>
      <c r="C1064" s="461" t="s">
        <v>1109</v>
      </c>
      <c r="D1064" s="511">
        <v>19.32</v>
      </c>
      <c r="E1064" s="461" t="s">
        <v>161</v>
      </c>
      <c r="F1064" s="461" t="s">
        <v>8326</v>
      </c>
    </row>
    <row r="1065" spans="1:6" ht="30" x14ac:dyDescent="0.25">
      <c r="A1065" s="461">
        <v>12760</v>
      </c>
      <c r="B1065" s="460" t="s">
        <v>9316</v>
      </c>
      <c r="C1065" s="461" t="s">
        <v>1106</v>
      </c>
      <c r="D1065" s="511">
        <v>1393.97</v>
      </c>
      <c r="E1065" s="461" t="s">
        <v>161</v>
      </c>
      <c r="F1065" s="461" t="s">
        <v>8326</v>
      </c>
    </row>
    <row r="1066" spans="1:6" ht="30" x14ac:dyDescent="0.25">
      <c r="A1066" s="461">
        <v>12759</v>
      </c>
      <c r="B1066" s="460" t="s">
        <v>9317</v>
      </c>
      <c r="C1066" s="461" t="s">
        <v>1106</v>
      </c>
      <c r="D1066" s="511">
        <v>929.3</v>
      </c>
      <c r="E1066" s="461" t="s">
        <v>161</v>
      </c>
      <c r="F1066" s="461" t="s">
        <v>8326</v>
      </c>
    </row>
    <row r="1067" spans="1:6" ht="30" x14ac:dyDescent="0.25">
      <c r="A1067" s="461">
        <v>43105</v>
      </c>
      <c r="B1067" s="460" t="s">
        <v>9318</v>
      </c>
      <c r="C1067" s="461" t="s">
        <v>1108</v>
      </c>
      <c r="D1067" s="511">
        <v>29.98</v>
      </c>
      <c r="E1067" s="461" t="s">
        <v>161</v>
      </c>
      <c r="F1067" s="461" t="s">
        <v>8326</v>
      </c>
    </row>
    <row r="1068" spans="1:6" ht="30" x14ac:dyDescent="0.25">
      <c r="A1068" s="461">
        <v>40424</v>
      </c>
      <c r="B1068" s="460" t="s">
        <v>9319</v>
      </c>
      <c r="C1068" s="461" t="s">
        <v>1108</v>
      </c>
      <c r="D1068" s="511">
        <v>7.62</v>
      </c>
      <c r="E1068" s="461" t="s">
        <v>161</v>
      </c>
      <c r="F1068" s="461" t="s">
        <v>8326</v>
      </c>
    </row>
    <row r="1069" spans="1:6" ht="15" x14ac:dyDescent="0.25">
      <c r="A1069" s="461">
        <v>1325</v>
      </c>
      <c r="B1069" s="460" t="s">
        <v>9320</v>
      </c>
      <c r="C1069" s="461" t="s">
        <v>1108</v>
      </c>
      <c r="D1069" s="461">
        <v>8.34</v>
      </c>
      <c r="E1069" s="461" t="s">
        <v>161</v>
      </c>
      <c r="F1069" s="461" t="s">
        <v>8326</v>
      </c>
    </row>
    <row r="1070" spans="1:6" ht="15" x14ac:dyDescent="0.25">
      <c r="A1070" s="461">
        <v>1327</v>
      </c>
      <c r="B1070" s="460" t="s">
        <v>9321</v>
      </c>
      <c r="C1070" s="461" t="s">
        <v>1108</v>
      </c>
      <c r="D1070" s="511">
        <v>8.8800000000000008</v>
      </c>
      <c r="E1070" s="461" t="s">
        <v>161</v>
      </c>
      <c r="F1070" s="461" t="s">
        <v>8326</v>
      </c>
    </row>
    <row r="1071" spans="1:6" ht="15" x14ac:dyDescent="0.25">
      <c r="A1071" s="461">
        <v>1328</v>
      </c>
      <c r="B1071" s="460" t="s">
        <v>9322</v>
      </c>
      <c r="C1071" s="461" t="s">
        <v>1108</v>
      </c>
      <c r="D1071" s="461">
        <v>8.36</v>
      </c>
      <c r="E1071" s="461" t="s">
        <v>161</v>
      </c>
      <c r="F1071" s="461" t="s">
        <v>8326</v>
      </c>
    </row>
    <row r="1072" spans="1:6" ht="15" x14ac:dyDescent="0.25">
      <c r="A1072" s="461">
        <v>1321</v>
      </c>
      <c r="B1072" s="460" t="s">
        <v>9323</v>
      </c>
      <c r="C1072" s="461" t="s">
        <v>1108</v>
      </c>
      <c r="D1072" s="461">
        <v>7.74</v>
      </c>
      <c r="E1072" s="461" t="s">
        <v>161</v>
      </c>
      <c r="F1072" s="461" t="s">
        <v>8326</v>
      </c>
    </row>
    <row r="1073" spans="1:6" ht="15" x14ac:dyDescent="0.25">
      <c r="A1073" s="461">
        <v>1318</v>
      </c>
      <c r="B1073" s="460" t="s">
        <v>9324</v>
      </c>
      <c r="C1073" s="461" t="s">
        <v>1108</v>
      </c>
      <c r="D1073" s="461">
        <v>7.75</v>
      </c>
      <c r="E1073" s="461" t="s">
        <v>161</v>
      </c>
      <c r="F1073" s="461" t="s">
        <v>8326</v>
      </c>
    </row>
    <row r="1074" spans="1:6" ht="15" x14ac:dyDescent="0.25">
      <c r="A1074" s="461">
        <v>1322</v>
      </c>
      <c r="B1074" s="460" t="s">
        <v>9325</v>
      </c>
      <c r="C1074" s="461" t="s">
        <v>1108</v>
      </c>
      <c r="D1074" s="461">
        <v>8.19</v>
      </c>
      <c r="E1074" s="461" t="s">
        <v>161</v>
      </c>
      <c r="F1074" s="461" t="s">
        <v>8326</v>
      </c>
    </row>
    <row r="1075" spans="1:6" ht="15" x14ac:dyDescent="0.25">
      <c r="A1075" s="461">
        <v>1323</v>
      </c>
      <c r="B1075" s="460" t="s">
        <v>9326</v>
      </c>
      <c r="C1075" s="461" t="s">
        <v>1108</v>
      </c>
      <c r="D1075" s="461">
        <v>8.19</v>
      </c>
      <c r="E1075" s="461" t="s">
        <v>161</v>
      </c>
      <c r="F1075" s="461" t="s">
        <v>8326</v>
      </c>
    </row>
    <row r="1076" spans="1:6" ht="15" x14ac:dyDescent="0.25">
      <c r="A1076" s="461">
        <v>1319</v>
      </c>
      <c r="B1076" s="460" t="s">
        <v>9327</v>
      </c>
      <c r="C1076" s="461" t="s">
        <v>1108</v>
      </c>
      <c r="D1076" s="461">
        <v>6.9</v>
      </c>
      <c r="E1076" s="461" t="s">
        <v>161</v>
      </c>
      <c r="F1076" s="461" t="s">
        <v>8326</v>
      </c>
    </row>
    <row r="1077" spans="1:6" ht="15" x14ac:dyDescent="0.25">
      <c r="A1077" s="461">
        <v>11026</v>
      </c>
      <c r="B1077" s="460" t="s">
        <v>9328</v>
      </c>
      <c r="C1077" s="461" t="s">
        <v>1108</v>
      </c>
      <c r="D1077" s="461">
        <v>9.49</v>
      </c>
      <c r="E1077" s="461" t="s">
        <v>161</v>
      </c>
      <c r="F1077" s="461" t="s">
        <v>8326</v>
      </c>
    </row>
    <row r="1078" spans="1:6" ht="15" x14ac:dyDescent="0.25">
      <c r="A1078" s="461">
        <v>11027</v>
      </c>
      <c r="B1078" s="460" t="s">
        <v>9329</v>
      </c>
      <c r="C1078" s="461" t="s">
        <v>1108</v>
      </c>
      <c r="D1078" s="461">
        <v>9.8800000000000008</v>
      </c>
      <c r="E1078" s="461" t="s">
        <v>161</v>
      </c>
      <c r="F1078" s="461" t="s">
        <v>8326</v>
      </c>
    </row>
    <row r="1079" spans="1:6" ht="15" x14ac:dyDescent="0.25">
      <c r="A1079" s="461">
        <v>11046</v>
      </c>
      <c r="B1079" s="460" t="s">
        <v>9330</v>
      </c>
      <c r="C1079" s="461" t="s">
        <v>1108</v>
      </c>
      <c r="D1079" s="461">
        <v>9.4600000000000009</v>
      </c>
      <c r="E1079" s="461" t="s">
        <v>161</v>
      </c>
      <c r="F1079" s="461" t="s">
        <v>8326</v>
      </c>
    </row>
    <row r="1080" spans="1:6" ht="15" x14ac:dyDescent="0.25">
      <c r="A1080" s="461">
        <v>11047</v>
      </c>
      <c r="B1080" s="460" t="s">
        <v>9331</v>
      </c>
      <c r="C1080" s="461" t="s">
        <v>1108</v>
      </c>
      <c r="D1080" s="461">
        <v>10.31</v>
      </c>
      <c r="E1080" s="461" t="s">
        <v>161</v>
      </c>
      <c r="F1080" s="461" t="s">
        <v>8326</v>
      </c>
    </row>
    <row r="1081" spans="1:6" ht="15" x14ac:dyDescent="0.25">
      <c r="A1081" s="461">
        <v>43668</v>
      </c>
      <c r="B1081" s="460" t="s">
        <v>9332</v>
      </c>
      <c r="C1081" s="461" t="s">
        <v>1108</v>
      </c>
      <c r="D1081" s="461">
        <v>9.1</v>
      </c>
      <c r="E1081" s="461" t="s">
        <v>161</v>
      </c>
      <c r="F1081" s="461" t="s">
        <v>8326</v>
      </c>
    </row>
    <row r="1082" spans="1:6" ht="15" x14ac:dyDescent="0.25">
      <c r="A1082" s="461">
        <v>11049</v>
      </c>
      <c r="B1082" s="460" t="s">
        <v>9333</v>
      </c>
      <c r="C1082" s="461" t="s">
        <v>1108</v>
      </c>
      <c r="D1082" s="461">
        <v>9.86</v>
      </c>
      <c r="E1082" s="461" t="s">
        <v>161</v>
      </c>
      <c r="F1082" s="461" t="s">
        <v>8333</v>
      </c>
    </row>
    <row r="1083" spans="1:6" ht="15" x14ac:dyDescent="0.25">
      <c r="A1083" s="461">
        <v>43106</v>
      </c>
      <c r="B1083" s="460" t="s">
        <v>9334</v>
      </c>
      <c r="C1083" s="461" t="s">
        <v>1108</v>
      </c>
      <c r="D1083" s="461">
        <v>9.92</v>
      </c>
      <c r="E1083" s="461" t="s">
        <v>161</v>
      </c>
      <c r="F1083" s="461" t="s">
        <v>8326</v>
      </c>
    </row>
    <row r="1084" spans="1:6" ht="15" x14ac:dyDescent="0.25">
      <c r="A1084" s="461">
        <v>11051</v>
      </c>
      <c r="B1084" s="460" t="s">
        <v>9335</v>
      </c>
      <c r="C1084" s="461" t="s">
        <v>1108</v>
      </c>
      <c r="D1084" s="461">
        <v>10.35</v>
      </c>
      <c r="E1084" s="461" t="s">
        <v>161</v>
      </c>
      <c r="F1084" s="461" t="s">
        <v>8326</v>
      </c>
    </row>
    <row r="1085" spans="1:6" ht="15" x14ac:dyDescent="0.25">
      <c r="A1085" s="461">
        <v>11061</v>
      </c>
      <c r="B1085" s="460" t="s">
        <v>9336</v>
      </c>
      <c r="C1085" s="461" t="s">
        <v>1108</v>
      </c>
      <c r="D1085" s="461">
        <v>12.42</v>
      </c>
      <c r="E1085" s="461" t="s">
        <v>161</v>
      </c>
      <c r="F1085" s="461" t="s">
        <v>8326</v>
      </c>
    </row>
    <row r="1086" spans="1:6" ht="15" x14ac:dyDescent="0.25">
      <c r="A1086" s="461">
        <v>1333</v>
      </c>
      <c r="B1086" s="460" t="s">
        <v>13133</v>
      </c>
      <c r="C1086" s="461" t="s">
        <v>1108</v>
      </c>
      <c r="D1086" s="461">
        <v>7.52</v>
      </c>
      <c r="E1086" s="461" t="s">
        <v>161</v>
      </c>
      <c r="F1086" s="461" t="s">
        <v>8326</v>
      </c>
    </row>
    <row r="1087" spans="1:6" ht="15" x14ac:dyDescent="0.25">
      <c r="A1087" s="461">
        <v>1330</v>
      </c>
      <c r="B1087" s="460" t="s">
        <v>13134</v>
      </c>
      <c r="C1087" s="461" t="s">
        <v>1108</v>
      </c>
      <c r="D1087" s="461">
        <v>7.45</v>
      </c>
      <c r="E1087" s="461" t="s">
        <v>161</v>
      </c>
      <c r="F1087" s="461" t="s">
        <v>8326</v>
      </c>
    </row>
    <row r="1088" spans="1:6" ht="15" x14ac:dyDescent="0.25">
      <c r="A1088" s="461">
        <v>43667</v>
      </c>
      <c r="B1088" s="460" t="s">
        <v>13135</v>
      </c>
      <c r="C1088" s="461" t="s">
        <v>1108</v>
      </c>
      <c r="D1088" s="461">
        <v>9.02</v>
      </c>
      <c r="E1088" s="461" t="s">
        <v>161</v>
      </c>
      <c r="F1088" s="461" t="s">
        <v>8326</v>
      </c>
    </row>
    <row r="1089" spans="1:6" ht="15" x14ac:dyDescent="0.25">
      <c r="A1089" s="461">
        <v>10957</v>
      </c>
      <c r="B1089" s="460" t="s">
        <v>13136</v>
      </c>
      <c r="C1089" s="461" t="s">
        <v>1108</v>
      </c>
      <c r="D1089" s="461">
        <v>8.59</v>
      </c>
      <c r="E1089" s="461" t="s">
        <v>161</v>
      </c>
      <c r="F1089" s="461" t="s">
        <v>8326</v>
      </c>
    </row>
    <row r="1090" spans="1:6" ht="15" x14ac:dyDescent="0.25">
      <c r="A1090" s="461">
        <v>1332</v>
      </c>
      <c r="B1090" s="460" t="s">
        <v>13137</v>
      </c>
      <c r="C1090" s="461" t="s">
        <v>1108</v>
      </c>
      <c r="D1090" s="461">
        <v>7.64</v>
      </c>
      <c r="E1090" s="461" t="s">
        <v>161</v>
      </c>
      <c r="F1090" s="461" t="s">
        <v>8326</v>
      </c>
    </row>
    <row r="1091" spans="1:6" ht="15" x14ac:dyDescent="0.25">
      <c r="A1091" s="461">
        <v>1334</v>
      </c>
      <c r="B1091" s="460" t="s">
        <v>13138</v>
      </c>
      <c r="C1091" s="461" t="s">
        <v>1108</v>
      </c>
      <c r="D1091" s="461">
        <v>8.4700000000000006</v>
      </c>
      <c r="E1091" s="461" t="s">
        <v>161</v>
      </c>
      <c r="F1091" s="461" t="s">
        <v>8326</v>
      </c>
    </row>
    <row r="1092" spans="1:6" ht="15" x14ac:dyDescent="0.25">
      <c r="A1092" s="461">
        <v>1335</v>
      </c>
      <c r="B1092" s="460" t="s">
        <v>13139</v>
      </c>
      <c r="C1092" s="461" t="s">
        <v>1108</v>
      </c>
      <c r="D1092" s="461">
        <v>8.75</v>
      </c>
      <c r="E1092" s="461" t="s">
        <v>161</v>
      </c>
      <c r="F1092" s="461" t="s">
        <v>8326</v>
      </c>
    </row>
    <row r="1093" spans="1:6" ht="15" x14ac:dyDescent="0.25">
      <c r="A1093" s="461">
        <v>40425</v>
      </c>
      <c r="B1093" s="460" t="s">
        <v>9337</v>
      </c>
      <c r="C1093" s="461" t="s">
        <v>1108</v>
      </c>
      <c r="D1093" s="461">
        <v>7.49</v>
      </c>
      <c r="E1093" s="461" t="s">
        <v>161</v>
      </c>
      <c r="F1093" s="461" t="s">
        <v>8326</v>
      </c>
    </row>
    <row r="1094" spans="1:6" ht="15" x14ac:dyDescent="0.25">
      <c r="A1094" s="461">
        <v>1337</v>
      </c>
      <c r="B1094" s="460" t="s">
        <v>13140</v>
      </c>
      <c r="C1094" s="461" t="s">
        <v>1108</v>
      </c>
      <c r="D1094" s="461">
        <v>8.59</v>
      </c>
      <c r="E1094" s="461" t="s">
        <v>161</v>
      </c>
      <c r="F1094" s="461" t="s">
        <v>8326</v>
      </c>
    </row>
    <row r="1095" spans="1:6" ht="30" x14ac:dyDescent="0.25">
      <c r="A1095" s="461">
        <v>1338</v>
      </c>
      <c r="B1095" s="460" t="s">
        <v>9338</v>
      </c>
      <c r="C1095" s="461" t="s">
        <v>1106</v>
      </c>
      <c r="D1095" s="461">
        <v>77.7</v>
      </c>
      <c r="E1095" s="461" t="s">
        <v>161</v>
      </c>
      <c r="F1095" s="461" t="s">
        <v>8328</v>
      </c>
    </row>
    <row r="1096" spans="1:6" ht="30" x14ac:dyDescent="0.25">
      <c r="A1096" s="461">
        <v>1340</v>
      </c>
      <c r="B1096" s="460" t="s">
        <v>9339</v>
      </c>
      <c r="C1096" s="461" t="s">
        <v>1106</v>
      </c>
      <c r="D1096" s="461">
        <v>89.83</v>
      </c>
      <c r="E1096" s="461" t="s">
        <v>161</v>
      </c>
      <c r="F1096" s="461" t="s">
        <v>8328</v>
      </c>
    </row>
    <row r="1097" spans="1:6" ht="30" x14ac:dyDescent="0.25">
      <c r="A1097" s="461">
        <v>1341</v>
      </c>
      <c r="B1097" s="460" t="s">
        <v>9340</v>
      </c>
      <c r="C1097" s="461" t="s">
        <v>1106</v>
      </c>
      <c r="D1097" s="461">
        <v>86.52</v>
      </c>
      <c r="E1097" s="461" t="s">
        <v>161</v>
      </c>
      <c r="F1097" s="461" t="s">
        <v>8328</v>
      </c>
    </row>
    <row r="1098" spans="1:6" ht="15" x14ac:dyDescent="0.25">
      <c r="A1098" s="461">
        <v>34659</v>
      </c>
      <c r="B1098" s="460" t="s">
        <v>9341</v>
      </c>
      <c r="C1098" s="461" t="s">
        <v>1106</v>
      </c>
      <c r="D1098" s="461">
        <v>39.03</v>
      </c>
      <c r="E1098" s="461" t="s">
        <v>161</v>
      </c>
      <c r="F1098" s="461" t="s">
        <v>8326</v>
      </c>
    </row>
    <row r="1099" spans="1:6" ht="15" x14ac:dyDescent="0.25">
      <c r="A1099" s="461">
        <v>34514</v>
      </c>
      <c r="B1099" s="460" t="s">
        <v>9342</v>
      </c>
      <c r="C1099" s="461" t="s">
        <v>1106</v>
      </c>
      <c r="D1099" s="461">
        <v>43.23</v>
      </c>
      <c r="E1099" s="461" t="s">
        <v>161</v>
      </c>
      <c r="F1099" s="461" t="s">
        <v>8333</v>
      </c>
    </row>
    <row r="1100" spans="1:6" ht="15" x14ac:dyDescent="0.25">
      <c r="A1100" s="461">
        <v>34660</v>
      </c>
      <c r="B1100" s="460" t="s">
        <v>9343</v>
      </c>
      <c r="C1100" s="461" t="s">
        <v>1106</v>
      </c>
      <c r="D1100" s="461">
        <v>54.86</v>
      </c>
      <c r="E1100" s="461" t="s">
        <v>161</v>
      </c>
      <c r="F1100" s="461" t="s">
        <v>8326</v>
      </c>
    </row>
    <row r="1101" spans="1:6" ht="15" x14ac:dyDescent="0.25">
      <c r="A1101" s="461">
        <v>34661</v>
      </c>
      <c r="B1101" s="460" t="s">
        <v>9344</v>
      </c>
      <c r="C1101" s="461" t="s">
        <v>1106</v>
      </c>
      <c r="D1101" s="461">
        <v>78.8</v>
      </c>
      <c r="E1101" s="461" t="s">
        <v>161</v>
      </c>
      <c r="F1101" s="461" t="s">
        <v>8326</v>
      </c>
    </row>
    <row r="1102" spans="1:6" ht="15" x14ac:dyDescent="0.25">
      <c r="A1102" s="461">
        <v>34667</v>
      </c>
      <c r="B1102" s="460" t="s">
        <v>9345</v>
      </c>
      <c r="C1102" s="461" t="s">
        <v>1106</v>
      </c>
      <c r="D1102" s="461">
        <v>28.53</v>
      </c>
      <c r="E1102" s="461" t="s">
        <v>161</v>
      </c>
      <c r="F1102" s="461" t="s">
        <v>8326</v>
      </c>
    </row>
    <row r="1103" spans="1:6" ht="15" x14ac:dyDescent="0.25">
      <c r="A1103" s="461">
        <v>34668</v>
      </c>
      <c r="B1103" s="460" t="s">
        <v>9346</v>
      </c>
      <c r="C1103" s="461" t="s">
        <v>1106</v>
      </c>
      <c r="D1103" s="461">
        <v>37.29</v>
      </c>
      <c r="E1103" s="461" t="s">
        <v>161</v>
      </c>
      <c r="F1103" s="461" t="s">
        <v>8326</v>
      </c>
    </row>
    <row r="1104" spans="1:6" ht="15" x14ac:dyDescent="0.25">
      <c r="A1104" s="461">
        <v>34741</v>
      </c>
      <c r="B1104" s="460" t="s">
        <v>9347</v>
      </c>
      <c r="C1104" s="461" t="s">
        <v>1106</v>
      </c>
      <c r="D1104" s="461">
        <v>41.03</v>
      </c>
      <c r="E1104" s="461" t="s">
        <v>161</v>
      </c>
      <c r="F1104" s="461" t="s">
        <v>8326</v>
      </c>
    </row>
    <row r="1105" spans="1:6" ht="15" x14ac:dyDescent="0.25">
      <c r="A1105" s="461">
        <v>34664</v>
      </c>
      <c r="B1105" s="460" t="s">
        <v>9348</v>
      </c>
      <c r="C1105" s="461" t="s">
        <v>1106</v>
      </c>
      <c r="D1105" s="461">
        <v>44.77</v>
      </c>
      <c r="E1105" s="461" t="s">
        <v>161</v>
      </c>
      <c r="F1105" s="461" t="s">
        <v>8326</v>
      </c>
    </row>
    <row r="1106" spans="1:6" ht="15" x14ac:dyDescent="0.25">
      <c r="A1106" s="461">
        <v>34665</v>
      </c>
      <c r="B1106" s="460" t="s">
        <v>9349</v>
      </c>
      <c r="C1106" s="461" t="s">
        <v>1106</v>
      </c>
      <c r="D1106" s="461">
        <v>55.58</v>
      </c>
      <c r="E1106" s="461" t="s">
        <v>161</v>
      </c>
      <c r="F1106" s="461" t="s">
        <v>8326</v>
      </c>
    </row>
    <row r="1107" spans="1:6" ht="15" x14ac:dyDescent="0.25">
      <c r="A1107" s="461">
        <v>34666</v>
      </c>
      <c r="B1107" s="460" t="s">
        <v>9350</v>
      </c>
      <c r="C1107" s="461" t="s">
        <v>1106</v>
      </c>
      <c r="D1107" s="461">
        <v>83.95</v>
      </c>
      <c r="E1107" s="461" t="s">
        <v>161</v>
      </c>
      <c r="F1107" s="461" t="s">
        <v>8326</v>
      </c>
    </row>
    <row r="1108" spans="1:6" ht="15" x14ac:dyDescent="0.25">
      <c r="A1108" s="461">
        <v>34669</v>
      </c>
      <c r="B1108" s="460" t="s">
        <v>9351</v>
      </c>
      <c r="C1108" s="461" t="s">
        <v>1106</v>
      </c>
      <c r="D1108" s="461">
        <v>30.78</v>
      </c>
      <c r="E1108" s="461" t="s">
        <v>161</v>
      </c>
      <c r="F1108" s="461" t="s">
        <v>8326</v>
      </c>
    </row>
    <row r="1109" spans="1:6" ht="15" x14ac:dyDescent="0.25">
      <c r="A1109" s="461">
        <v>34670</v>
      </c>
      <c r="B1109" s="460" t="s">
        <v>9352</v>
      </c>
      <c r="C1109" s="461" t="s">
        <v>1106</v>
      </c>
      <c r="D1109" s="461">
        <v>37.65</v>
      </c>
      <c r="E1109" s="461" t="s">
        <v>161</v>
      </c>
      <c r="F1109" s="461" t="s">
        <v>8326</v>
      </c>
    </row>
    <row r="1110" spans="1:6" ht="15" x14ac:dyDescent="0.25">
      <c r="A1110" s="461">
        <v>34671</v>
      </c>
      <c r="B1110" s="460" t="s">
        <v>9353</v>
      </c>
      <c r="C1110" s="461" t="s">
        <v>1106</v>
      </c>
      <c r="D1110" s="461">
        <v>31.42</v>
      </c>
      <c r="E1110" s="461" t="s">
        <v>161</v>
      </c>
      <c r="F1110" s="461" t="s">
        <v>8326</v>
      </c>
    </row>
    <row r="1111" spans="1:6" ht="15" x14ac:dyDescent="0.25">
      <c r="A1111" s="461">
        <v>34672</v>
      </c>
      <c r="B1111" s="460" t="s">
        <v>9354</v>
      </c>
      <c r="C1111" s="461" t="s">
        <v>1106</v>
      </c>
      <c r="D1111" s="461">
        <v>33.14</v>
      </c>
      <c r="E1111" s="461" t="s">
        <v>161</v>
      </c>
      <c r="F1111" s="461" t="s">
        <v>8326</v>
      </c>
    </row>
    <row r="1112" spans="1:6" ht="15" x14ac:dyDescent="0.25">
      <c r="A1112" s="461">
        <v>34673</v>
      </c>
      <c r="B1112" s="460" t="s">
        <v>9355</v>
      </c>
      <c r="C1112" s="461" t="s">
        <v>1106</v>
      </c>
      <c r="D1112" s="461">
        <v>40.43</v>
      </c>
      <c r="E1112" s="461" t="s">
        <v>161</v>
      </c>
      <c r="F1112" s="461" t="s">
        <v>8326</v>
      </c>
    </row>
    <row r="1113" spans="1:6" ht="15" x14ac:dyDescent="0.25">
      <c r="A1113" s="461">
        <v>34674</v>
      </c>
      <c r="B1113" s="460" t="s">
        <v>9356</v>
      </c>
      <c r="C1113" s="461" t="s">
        <v>1106</v>
      </c>
      <c r="D1113" s="461">
        <v>53.76</v>
      </c>
      <c r="E1113" s="461" t="s">
        <v>161</v>
      </c>
      <c r="F1113" s="461" t="s">
        <v>8326</v>
      </c>
    </row>
    <row r="1114" spans="1:6" ht="15" x14ac:dyDescent="0.25">
      <c r="A1114" s="461">
        <v>34675</v>
      </c>
      <c r="B1114" s="460" t="s">
        <v>9357</v>
      </c>
      <c r="C1114" s="461" t="s">
        <v>1106</v>
      </c>
      <c r="D1114" s="461">
        <v>65.540000000000006</v>
      </c>
      <c r="E1114" s="461" t="s">
        <v>161</v>
      </c>
      <c r="F1114" s="461" t="s">
        <v>8326</v>
      </c>
    </row>
    <row r="1115" spans="1:6" ht="15" x14ac:dyDescent="0.25">
      <c r="A1115" s="461">
        <v>34676</v>
      </c>
      <c r="B1115" s="460" t="s">
        <v>9358</v>
      </c>
      <c r="C1115" s="461" t="s">
        <v>1106</v>
      </c>
      <c r="D1115" s="461">
        <v>18.87</v>
      </c>
      <c r="E1115" s="461" t="s">
        <v>161</v>
      </c>
      <c r="F1115" s="461" t="s">
        <v>8326</v>
      </c>
    </row>
    <row r="1116" spans="1:6" ht="15" x14ac:dyDescent="0.25">
      <c r="A1116" s="461">
        <v>34677</v>
      </c>
      <c r="B1116" s="460" t="s">
        <v>9359</v>
      </c>
      <c r="C1116" s="461" t="s">
        <v>1106</v>
      </c>
      <c r="D1116" s="461">
        <v>25.37</v>
      </c>
      <c r="E1116" s="461" t="s">
        <v>161</v>
      </c>
      <c r="F1116" s="461" t="s">
        <v>8326</v>
      </c>
    </row>
    <row r="1117" spans="1:6" ht="30" x14ac:dyDescent="0.25">
      <c r="A1117" s="461">
        <v>43126</v>
      </c>
      <c r="B1117" s="460" t="s">
        <v>9360</v>
      </c>
      <c r="C1117" s="461" t="s">
        <v>1106</v>
      </c>
      <c r="D1117" s="461">
        <v>93.88</v>
      </c>
      <c r="E1117" s="461" t="s">
        <v>161</v>
      </c>
      <c r="F1117" s="461" t="s">
        <v>8328</v>
      </c>
    </row>
    <row r="1118" spans="1:6" ht="30" x14ac:dyDescent="0.25">
      <c r="A1118" s="461">
        <v>43124</v>
      </c>
      <c r="B1118" s="460" t="s">
        <v>9361</v>
      </c>
      <c r="C1118" s="461" t="s">
        <v>1106</v>
      </c>
      <c r="D1118" s="461">
        <v>109.61</v>
      </c>
      <c r="E1118" s="461" t="s">
        <v>161</v>
      </c>
      <c r="F1118" s="461" t="s">
        <v>8328</v>
      </c>
    </row>
    <row r="1119" spans="1:6" ht="30" x14ac:dyDescent="0.25">
      <c r="A1119" s="461">
        <v>43125</v>
      </c>
      <c r="B1119" s="460" t="s">
        <v>9362</v>
      </c>
      <c r="C1119" s="461" t="s">
        <v>1106</v>
      </c>
      <c r="D1119" s="461">
        <v>142.16</v>
      </c>
      <c r="E1119" s="461" t="s">
        <v>161</v>
      </c>
      <c r="F1119" s="461" t="s">
        <v>8328</v>
      </c>
    </row>
    <row r="1120" spans="1:6" ht="30" x14ac:dyDescent="0.25">
      <c r="A1120" s="461">
        <v>40623</v>
      </c>
      <c r="B1120" s="460" t="s">
        <v>9363</v>
      </c>
      <c r="C1120" s="461" t="s">
        <v>1111</v>
      </c>
      <c r="D1120" s="461">
        <v>83.63</v>
      </c>
      <c r="E1120" s="461" t="s">
        <v>161</v>
      </c>
      <c r="F1120" s="461" t="s">
        <v>8326</v>
      </c>
    </row>
    <row r="1121" spans="1:6" ht="30" x14ac:dyDescent="0.25">
      <c r="A1121" s="461">
        <v>43701</v>
      </c>
      <c r="B1121" s="460" t="s">
        <v>9364</v>
      </c>
      <c r="C1121" s="461" t="s">
        <v>1108</v>
      </c>
      <c r="D1121" s="461">
        <v>37.700000000000003</v>
      </c>
      <c r="E1121" s="461" t="s">
        <v>161</v>
      </c>
      <c r="F1121" s="461" t="s">
        <v>8328</v>
      </c>
    </row>
    <row r="1122" spans="1:6" ht="30" x14ac:dyDescent="0.25">
      <c r="A1122" s="461">
        <v>1345</v>
      </c>
      <c r="B1122" s="460" t="s">
        <v>13141</v>
      </c>
      <c r="C1122" s="461" t="s">
        <v>1106</v>
      </c>
      <c r="D1122" s="461">
        <v>73.3</v>
      </c>
      <c r="E1122" s="461" t="s">
        <v>161</v>
      </c>
      <c r="F1122" s="461" t="s">
        <v>8326</v>
      </c>
    </row>
    <row r="1123" spans="1:6" ht="30" x14ac:dyDescent="0.25">
      <c r="A1123" s="461">
        <v>1346</v>
      </c>
      <c r="B1123" s="460" t="s">
        <v>13142</v>
      </c>
      <c r="C1123" s="461" t="s">
        <v>1106</v>
      </c>
      <c r="D1123" s="461">
        <v>42.63</v>
      </c>
      <c r="E1123" s="461" t="s">
        <v>161</v>
      </c>
      <c r="F1123" s="461" t="s">
        <v>8326</v>
      </c>
    </row>
    <row r="1124" spans="1:6" ht="30" x14ac:dyDescent="0.25">
      <c r="A1124" s="461">
        <v>1347</v>
      </c>
      <c r="B1124" s="460" t="s">
        <v>13143</v>
      </c>
      <c r="C1124" s="461" t="s">
        <v>1106</v>
      </c>
      <c r="D1124" s="461">
        <v>52.83</v>
      </c>
      <c r="E1124" s="461" t="s">
        <v>161</v>
      </c>
      <c r="F1124" s="461" t="s">
        <v>8326</v>
      </c>
    </row>
    <row r="1125" spans="1:6" ht="30" x14ac:dyDescent="0.25">
      <c r="A1125" s="461">
        <v>43678</v>
      </c>
      <c r="B1125" s="460" t="s">
        <v>9365</v>
      </c>
      <c r="C1125" s="461" t="s">
        <v>1106</v>
      </c>
      <c r="D1125" s="461">
        <v>61.28</v>
      </c>
      <c r="E1125" s="461" t="s">
        <v>161</v>
      </c>
      <c r="F1125" s="461" t="s">
        <v>8326</v>
      </c>
    </row>
    <row r="1126" spans="1:6" ht="30" x14ac:dyDescent="0.25">
      <c r="A1126" s="461">
        <v>43680</v>
      </c>
      <c r="B1126" s="460" t="s">
        <v>9366</v>
      </c>
      <c r="C1126" s="461" t="s">
        <v>1106</v>
      </c>
      <c r="D1126" s="461">
        <v>88.28</v>
      </c>
      <c r="E1126" s="461" t="s">
        <v>161</v>
      </c>
      <c r="F1126" s="461" t="s">
        <v>8326</v>
      </c>
    </row>
    <row r="1127" spans="1:6" ht="30" x14ac:dyDescent="0.25">
      <c r="A1127" s="461">
        <v>43679</v>
      </c>
      <c r="B1127" s="460" t="s">
        <v>9367</v>
      </c>
      <c r="C1127" s="461" t="s">
        <v>1106</v>
      </c>
      <c r="D1127" s="461">
        <v>30.98</v>
      </c>
      <c r="E1127" s="461" t="s">
        <v>161</v>
      </c>
      <c r="F1127" s="461" t="s">
        <v>8326</v>
      </c>
    </row>
    <row r="1128" spans="1:6" ht="30" x14ac:dyDescent="0.25">
      <c r="A1128" s="461">
        <v>1355</v>
      </c>
      <c r="B1128" s="460" t="s">
        <v>13144</v>
      </c>
      <c r="C1128" s="461" t="s">
        <v>1106</v>
      </c>
      <c r="D1128" s="461">
        <v>35.25</v>
      </c>
      <c r="E1128" s="461" t="s">
        <v>161</v>
      </c>
      <c r="F1128" s="461" t="s">
        <v>8326</v>
      </c>
    </row>
    <row r="1129" spans="1:6" ht="30" x14ac:dyDescent="0.25">
      <c r="A1129" s="461">
        <v>1358</v>
      </c>
      <c r="B1129" s="460" t="s">
        <v>13145</v>
      </c>
      <c r="C1129" s="461" t="s">
        <v>1106</v>
      </c>
      <c r="D1129" s="461">
        <v>43.28</v>
      </c>
      <c r="E1129" s="461" t="s">
        <v>161</v>
      </c>
      <c r="F1129" s="461" t="s">
        <v>8326</v>
      </c>
    </row>
    <row r="1130" spans="1:6" ht="30" x14ac:dyDescent="0.25">
      <c r="A1130" s="461">
        <v>43677</v>
      </c>
      <c r="B1130" s="460" t="s">
        <v>9368</v>
      </c>
      <c r="C1130" s="461" t="s">
        <v>1106</v>
      </c>
      <c r="D1130" s="461">
        <v>53.7</v>
      </c>
      <c r="E1130" s="461" t="s">
        <v>161</v>
      </c>
      <c r="F1130" s="461" t="s">
        <v>8326</v>
      </c>
    </row>
    <row r="1131" spans="1:6" ht="30" x14ac:dyDescent="0.25">
      <c r="A1131" s="461">
        <v>43682</v>
      </c>
      <c r="B1131" s="460" t="s">
        <v>9369</v>
      </c>
      <c r="C1131" s="461" t="s">
        <v>1106</v>
      </c>
      <c r="D1131" s="461">
        <v>16.46</v>
      </c>
      <c r="E1131" s="461" t="s">
        <v>161</v>
      </c>
      <c r="F1131" s="461" t="s">
        <v>8326</v>
      </c>
    </row>
    <row r="1132" spans="1:6" ht="30" x14ac:dyDescent="0.25">
      <c r="A1132" s="461">
        <v>43681</v>
      </c>
      <c r="B1132" s="460" t="s">
        <v>13146</v>
      </c>
      <c r="C1132" s="461" t="s">
        <v>1106</v>
      </c>
      <c r="D1132" s="461">
        <v>27.27</v>
      </c>
      <c r="E1132" s="461" t="s">
        <v>161</v>
      </c>
      <c r="F1132" s="461" t="s">
        <v>8333</v>
      </c>
    </row>
    <row r="1133" spans="1:6" ht="30" x14ac:dyDescent="0.25">
      <c r="A1133" s="461">
        <v>20971</v>
      </c>
      <c r="B1133" s="460" t="s">
        <v>9370</v>
      </c>
      <c r="C1133" s="461" t="s">
        <v>1104</v>
      </c>
      <c r="D1133" s="461">
        <v>19.04</v>
      </c>
      <c r="E1133" s="461" t="s">
        <v>161</v>
      </c>
      <c r="F1133" s="461" t="s">
        <v>8326</v>
      </c>
    </row>
    <row r="1134" spans="1:6" ht="30" x14ac:dyDescent="0.25">
      <c r="A1134" s="461">
        <v>39746</v>
      </c>
      <c r="B1134" s="460" t="s">
        <v>9371</v>
      </c>
      <c r="C1134" s="461" t="s">
        <v>1104</v>
      </c>
      <c r="D1134" s="461">
        <v>90.28</v>
      </c>
      <c r="E1134" s="461" t="s">
        <v>161</v>
      </c>
      <c r="F1134" s="461" t="s">
        <v>8328</v>
      </c>
    </row>
    <row r="1135" spans="1:6" ht="15" x14ac:dyDescent="0.25">
      <c r="A1135" s="461">
        <v>13279</v>
      </c>
      <c r="B1135" s="460" t="s">
        <v>13147</v>
      </c>
      <c r="C1135" s="461" t="s">
        <v>1108</v>
      </c>
      <c r="D1135" s="461">
        <v>22.86</v>
      </c>
      <c r="E1135" s="461" t="s">
        <v>161</v>
      </c>
      <c r="F1135" s="461" t="s">
        <v>8328</v>
      </c>
    </row>
    <row r="1136" spans="1:6" ht="15" x14ac:dyDescent="0.25">
      <c r="A1136" s="461">
        <v>11977</v>
      </c>
      <c r="B1136" s="460" t="s">
        <v>9372</v>
      </c>
      <c r="C1136" s="461" t="s">
        <v>1104</v>
      </c>
      <c r="D1136" s="461">
        <v>11.84</v>
      </c>
      <c r="E1136" s="461" t="s">
        <v>161</v>
      </c>
      <c r="F1136" s="461" t="s">
        <v>8328</v>
      </c>
    </row>
    <row r="1137" spans="1:6" ht="15" x14ac:dyDescent="0.25">
      <c r="A1137" s="461">
        <v>11976</v>
      </c>
      <c r="B1137" s="460" t="s">
        <v>9373</v>
      </c>
      <c r="C1137" s="461" t="s">
        <v>1104</v>
      </c>
      <c r="D1137" s="461">
        <v>1.33</v>
      </c>
      <c r="E1137" s="461" t="s">
        <v>161</v>
      </c>
      <c r="F1137" s="461" t="s">
        <v>8328</v>
      </c>
    </row>
    <row r="1138" spans="1:6" ht="15" x14ac:dyDescent="0.25">
      <c r="A1138" s="461">
        <v>11975</v>
      </c>
      <c r="B1138" s="460" t="s">
        <v>9374</v>
      </c>
      <c r="C1138" s="461" t="s">
        <v>1104</v>
      </c>
      <c r="D1138" s="461">
        <v>25.95</v>
      </c>
      <c r="E1138" s="461" t="s">
        <v>161</v>
      </c>
      <c r="F1138" s="461" t="s">
        <v>8328</v>
      </c>
    </row>
    <row r="1139" spans="1:6" ht="30" x14ac:dyDescent="0.25">
      <c r="A1139" s="461">
        <v>1368</v>
      </c>
      <c r="B1139" s="460" t="s">
        <v>9375</v>
      </c>
      <c r="C1139" s="461" t="s">
        <v>1104</v>
      </c>
      <c r="D1139" s="461">
        <v>83.9</v>
      </c>
      <c r="E1139" s="461" t="s">
        <v>161</v>
      </c>
      <c r="F1139" s="461" t="s">
        <v>8333</v>
      </c>
    </row>
    <row r="1140" spans="1:6" ht="30" x14ac:dyDescent="0.25">
      <c r="A1140" s="461">
        <v>1367</v>
      </c>
      <c r="B1140" s="460" t="s">
        <v>9376</v>
      </c>
      <c r="C1140" s="461" t="s">
        <v>1104</v>
      </c>
      <c r="D1140" s="461">
        <v>271.39</v>
      </c>
      <c r="E1140" s="461" t="s">
        <v>161</v>
      </c>
      <c r="F1140" s="461" t="s">
        <v>8326</v>
      </c>
    </row>
    <row r="1141" spans="1:6" ht="15" x14ac:dyDescent="0.25">
      <c r="A1141" s="461">
        <v>1380</v>
      </c>
      <c r="B1141" s="460" t="s">
        <v>9377</v>
      </c>
      <c r="C1141" s="461" t="s">
        <v>1108</v>
      </c>
      <c r="D1141" s="461">
        <v>4.28</v>
      </c>
      <c r="E1141" s="461" t="s">
        <v>161</v>
      </c>
      <c r="F1141" s="461" t="s">
        <v>8326</v>
      </c>
    </row>
    <row r="1142" spans="1:6" ht="15" x14ac:dyDescent="0.25">
      <c r="A1142" s="461">
        <v>1375</v>
      </c>
      <c r="B1142" s="460" t="s">
        <v>9378</v>
      </c>
      <c r="C1142" s="461" t="s">
        <v>1108</v>
      </c>
      <c r="D1142" s="461">
        <v>18.87</v>
      </c>
      <c r="E1142" s="461" t="s">
        <v>161</v>
      </c>
      <c r="F1142" s="461" t="s">
        <v>8326</v>
      </c>
    </row>
    <row r="1143" spans="1:6" ht="15" x14ac:dyDescent="0.25">
      <c r="A1143" s="461">
        <v>1379</v>
      </c>
      <c r="B1143" s="460" t="s">
        <v>9379</v>
      </c>
      <c r="C1143" s="461" t="s">
        <v>1108</v>
      </c>
      <c r="D1143" s="461">
        <v>0.64</v>
      </c>
      <c r="E1143" s="461" t="s">
        <v>161</v>
      </c>
      <c r="F1143" s="461" t="s">
        <v>8333</v>
      </c>
    </row>
    <row r="1144" spans="1:6" ht="15" x14ac:dyDescent="0.25">
      <c r="A1144" s="461">
        <v>13284</v>
      </c>
      <c r="B1144" s="460" t="s">
        <v>9380</v>
      </c>
      <c r="C1144" s="461" t="s">
        <v>1108</v>
      </c>
      <c r="D1144" s="461">
        <v>0.56999999999999995</v>
      </c>
      <c r="E1144" s="461" t="s">
        <v>161</v>
      </c>
      <c r="F1144" s="461" t="s">
        <v>8326</v>
      </c>
    </row>
    <row r="1145" spans="1:6" ht="15" x14ac:dyDescent="0.25">
      <c r="A1145" s="461">
        <v>44528</v>
      </c>
      <c r="B1145" s="460" t="s">
        <v>13148</v>
      </c>
      <c r="C1145" s="461" t="s">
        <v>1108</v>
      </c>
      <c r="D1145" s="461">
        <v>3.41</v>
      </c>
      <c r="E1145" s="461" t="s">
        <v>161</v>
      </c>
      <c r="F1145" s="461" t="s">
        <v>8326</v>
      </c>
    </row>
    <row r="1146" spans="1:6" ht="15" x14ac:dyDescent="0.25">
      <c r="A1146" s="461">
        <v>34753</v>
      </c>
      <c r="B1146" s="460" t="s">
        <v>9381</v>
      </c>
      <c r="C1146" s="461" t="s">
        <v>1108</v>
      </c>
      <c r="D1146" s="461">
        <v>0.62</v>
      </c>
      <c r="E1146" s="461" t="s">
        <v>161</v>
      </c>
      <c r="F1146" s="461" t="s">
        <v>8326</v>
      </c>
    </row>
    <row r="1147" spans="1:6" ht="30" x14ac:dyDescent="0.25">
      <c r="A1147" s="461">
        <v>420</v>
      </c>
      <c r="B1147" s="460" t="s">
        <v>9382</v>
      </c>
      <c r="C1147" s="461" t="s">
        <v>1104</v>
      </c>
      <c r="D1147" s="461">
        <v>38.659999999999997</v>
      </c>
      <c r="E1147" s="461" t="s">
        <v>161</v>
      </c>
      <c r="F1147" s="461" t="s">
        <v>8326</v>
      </c>
    </row>
    <row r="1148" spans="1:6" ht="30" x14ac:dyDescent="0.25">
      <c r="A1148" s="461">
        <v>12327</v>
      </c>
      <c r="B1148" s="460" t="s">
        <v>9383</v>
      </c>
      <c r="C1148" s="461" t="s">
        <v>1104</v>
      </c>
      <c r="D1148" s="461">
        <v>46.06</v>
      </c>
      <c r="E1148" s="461" t="s">
        <v>161</v>
      </c>
      <c r="F1148" s="461" t="s">
        <v>8326</v>
      </c>
    </row>
    <row r="1149" spans="1:6" ht="30" x14ac:dyDescent="0.25">
      <c r="A1149" s="461">
        <v>36148</v>
      </c>
      <c r="B1149" s="460" t="s">
        <v>9384</v>
      </c>
      <c r="C1149" s="461" t="s">
        <v>1104</v>
      </c>
      <c r="D1149" s="461">
        <v>74.400000000000006</v>
      </c>
      <c r="E1149" s="461" t="s">
        <v>161</v>
      </c>
      <c r="F1149" s="461" t="s">
        <v>8326</v>
      </c>
    </row>
    <row r="1150" spans="1:6" ht="15" x14ac:dyDescent="0.25">
      <c r="A1150" s="461">
        <v>12329</v>
      </c>
      <c r="B1150" s="460" t="s">
        <v>9385</v>
      </c>
      <c r="C1150" s="461" t="s">
        <v>1108</v>
      </c>
      <c r="D1150" s="461">
        <v>136.38</v>
      </c>
      <c r="E1150" s="461" t="s">
        <v>161</v>
      </c>
      <c r="F1150" s="461" t="s">
        <v>8326</v>
      </c>
    </row>
    <row r="1151" spans="1:6" ht="30" x14ac:dyDescent="0.25">
      <c r="A1151" s="461">
        <v>1339</v>
      </c>
      <c r="B1151" s="460" t="s">
        <v>9386</v>
      </c>
      <c r="C1151" s="461" t="s">
        <v>1108</v>
      </c>
      <c r="D1151" s="461">
        <v>77.900000000000006</v>
      </c>
      <c r="E1151" s="461" t="s">
        <v>161</v>
      </c>
      <c r="F1151" s="461" t="s">
        <v>8328</v>
      </c>
    </row>
    <row r="1152" spans="1:6" ht="15" x14ac:dyDescent="0.25">
      <c r="A1152" s="461">
        <v>44396</v>
      </c>
      <c r="B1152" s="460" t="s">
        <v>9387</v>
      </c>
      <c r="C1152" s="461" t="s">
        <v>1108</v>
      </c>
      <c r="D1152" s="461">
        <v>44.62</v>
      </c>
      <c r="E1152" s="461" t="s">
        <v>161</v>
      </c>
      <c r="F1152" s="461" t="s">
        <v>8326</v>
      </c>
    </row>
    <row r="1153" spans="1:6" ht="15" x14ac:dyDescent="0.25">
      <c r="A1153" s="461">
        <v>44327</v>
      </c>
      <c r="B1153" s="460" t="s">
        <v>9388</v>
      </c>
      <c r="C1153" s="461" t="s">
        <v>1109</v>
      </c>
      <c r="D1153" s="461">
        <v>151.77000000000001</v>
      </c>
      <c r="E1153" s="461" t="s">
        <v>161</v>
      </c>
      <c r="F1153" s="461" t="s">
        <v>8326</v>
      </c>
    </row>
    <row r="1154" spans="1:6" ht="30" x14ac:dyDescent="0.25">
      <c r="A1154" s="461">
        <v>37418</v>
      </c>
      <c r="B1154" s="460" t="s">
        <v>9389</v>
      </c>
      <c r="C1154" s="461" t="s">
        <v>1104</v>
      </c>
      <c r="D1154" s="461">
        <v>16.59</v>
      </c>
      <c r="E1154" s="461" t="s">
        <v>161</v>
      </c>
      <c r="F1154" s="461" t="s">
        <v>8328</v>
      </c>
    </row>
    <row r="1155" spans="1:6" ht="30" x14ac:dyDescent="0.25">
      <c r="A1155" s="461">
        <v>37419</v>
      </c>
      <c r="B1155" s="460" t="s">
        <v>9390</v>
      </c>
      <c r="C1155" s="461" t="s">
        <v>1104</v>
      </c>
      <c r="D1155" s="461">
        <v>17.04</v>
      </c>
      <c r="E1155" s="461" t="s">
        <v>161</v>
      </c>
      <c r="F1155" s="461" t="s">
        <v>8328</v>
      </c>
    </row>
    <row r="1156" spans="1:6" ht="30" x14ac:dyDescent="0.25">
      <c r="A1156" s="461">
        <v>1427</v>
      </c>
      <c r="B1156" s="460" t="s">
        <v>9391</v>
      </c>
      <c r="C1156" s="461" t="s">
        <v>1104</v>
      </c>
      <c r="D1156" s="461">
        <v>15.5</v>
      </c>
      <c r="E1156" s="461" t="s">
        <v>161</v>
      </c>
      <c r="F1156" s="461" t="s">
        <v>8328</v>
      </c>
    </row>
    <row r="1157" spans="1:6" ht="30" x14ac:dyDescent="0.25">
      <c r="A1157" s="461">
        <v>1402</v>
      </c>
      <c r="B1157" s="460" t="s">
        <v>9392</v>
      </c>
      <c r="C1157" s="461" t="s">
        <v>1104</v>
      </c>
      <c r="D1157" s="461">
        <v>5.36</v>
      </c>
      <c r="E1157" s="461" t="s">
        <v>161</v>
      </c>
      <c r="F1157" s="461" t="s">
        <v>8328</v>
      </c>
    </row>
    <row r="1158" spans="1:6" ht="30" x14ac:dyDescent="0.25">
      <c r="A1158" s="461">
        <v>1420</v>
      </c>
      <c r="B1158" s="460" t="s">
        <v>9393</v>
      </c>
      <c r="C1158" s="461" t="s">
        <v>1104</v>
      </c>
      <c r="D1158" s="461">
        <v>6.9</v>
      </c>
      <c r="E1158" s="461" t="s">
        <v>161</v>
      </c>
      <c r="F1158" s="461" t="s">
        <v>8328</v>
      </c>
    </row>
    <row r="1159" spans="1:6" ht="30" x14ac:dyDescent="0.25">
      <c r="A1159" s="461">
        <v>1419</v>
      </c>
      <c r="B1159" s="460" t="s">
        <v>9394</v>
      </c>
      <c r="C1159" s="461" t="s">
        <v>1104</v>
      </c>
      <c r="D1159" s="461">
        <v>8.33</v>
      </c>
      <c r="E1159" s="461" t="s">
        <v>161</v>
      </c>
      <c r="F1159" s="461" t="s">
        <v>8328</v>
      </c>
    </row>
    <row r="1160" spans="1:6" ht="30" x14ac:dyDescent="0.25">
      <c r="A1160" s="461">
        <v>1414</v>
      </c>
      <c r="B1160" s="460" t="s">
        <v>9395</v>
      </c>
      <c r="C1160" s="461" t="s">
        <v>1104</v>
      </c>
      <c r="D1160" s="461">
        <v>8.15</v>
      </c>
      <c r="E1160" s="461" t="s">
        <v>161</v>
      </c>
      <c r="F1160" s="461" t="s">
        <v>8328</v>
      </c>
    </row>
    <row r="1161" spans="1:6" ht="30" x14ac:dyDescent="0.25">
      <c r="A1161" s="461">
        <v>1413</v>
      </c>
      <c r="B1161" s="460" t="s">
        <v>9396</v>
      </c>
      <c r="C1161" s="461" t="s">
        <v>1104</v>
      </c>
      <c r="D1161" s="461">
        <v>12.04</v>
      </c>
      <c r="E1161" s="461" t="s">
        <v>161</v>
      </c>
      <c r="F1161" s="461" t="s">
        <v>8328</v>
      </c>
    </row>
    <row r="1162" spans="1:6" ht="30" x14ac:dyDescent="0.25">
      <c r="A1162" s="461">
        <v>1412</v>
      </c>
      <c r="B1162" s="460" t="s">
        <v>9397</v>
      </c>
      <c r="C1162" s="461" t="s">
        <v>1104</v>
      </c>
      <c r="D1162" s="461">
        <v>10.199999999999999</v>
      </c>
      <c r="E1162" s="461" t="s">
        <v>161</v>
      </c>
      <c r="F1162" s="461" t="s">
        <v>8328</v>
      </c>
    </row>
    <row r="1163" spans="1:6" ht="30" x14ac:dyDescent="0.25">
      <c r="A1163" s="461">
        <v>1406</v>
      </c>
      <c r="B1163" s="460" t="s">
        <v>9398</v>
      </c>
      <c r="C1163" s="461" t="s">
        <v>1104</v>
      </c>
      <c r="D1163" s="461">
        <v>12.31</v>
      </c>
      <c r="E1163" s="461" t="s">
        <v>161</v>
      </c>
      <c r="F1163" s="461" t="s">
        <v>8328</v>
      </c>
    </row>
    <row r="1164" spans="1:6" ht="45" x14ac:dyDescent="0.25">
      <c r="A1164" s="461">
        <v>11281</v>
      </c>
      <c r="B1164" s="460" t="s">
        <v>9399</v>
      </c>
      <c r="C1164" s="461" t="s">
        <v>1104</v>
      </c>
      <c r="D1164" s="461">
        <v>12132.95</v>
      </c>
      <c r="E1164" s="461" t="s">
        <v>1497</v>
      </c>
      <c r="F1164" s="461" t="s">
        <v>8328</v>
      </c>
    </row>
    <row r="1165" spans="1:6" ht="60" x14ac:dyDescent="0.25">
      <c r="A1165" s="461">
        <v>1442</v>
      </c>
      <c r="B1165" s="460" t="s">
        <v>9400</v>
      </c>
      <c r="C1165" s="461" t="s">
        <v>1104</v>
      </c>
      <c r="D1165" s="461">
        <v>10185.52</v>
      </c>
      <c r="E1165" s="461" t="s">
        <v>1497</v>
      </c>
      <c r="F1165" s="461" t="s">
        <v>8328</v>
      </c>
    </row>
    <row r="1166" spans="1:6" ht="60" x14ac:dyDescent="0.25">
      <c r="A1166" s="461">
        <v>13457</v>
      </c>
      <c r="B1166" s="460" t="s">
        <v>9401</v>
      </c>
      <c r="C1166" s="461" t="s">
        <v>1104</v>
      </c>
      <c r="D1166" s="461">
        <v>8791.99</v>
      </c>
      <c r="E1166" s="461" t="s">
        <v>1497</v>
      </c>
      <c r="F1166" s="461" t="s">
        <v>8328</v>
      </c>
    </row>
    <row r="1167" spans="1:6" ht="60" x14ac:dyDescent="0.25">
      <c r="A1167" s="461">
        <v>40699</v>
      </c>
      <c r="B1167" s="460" t="s">
        <v>9402</v>
      </c>
      <c r="C1167" s="461" t="s">
        <v>1104</v>
      </c>
      <c r="D1167" s="461">
        <v>6796.54</v>
      </c>
      <c r="E1167" s="461" t="s">
        <v>1497</v>
      </c>
      <c r="F1167" s="461" t="s">
        <v>8328</v>
      </c>
    </row>
    <row r="1168" spans="1:6" ht="60" x14ac:dyDescent="0.25">
      <c r="A1168" s="461">
        <v>40701</v>
      </c>
      <c r="B1168" s="460" t="s">
        <v>9403</v>
      </c>
      <c r="C1168" s="461" t="s">
        <v>1104</v>
      </c>
      <c r="D1168" s="461">
        <v>120172.2</v>
      </c>
      <c r="E1168" s="461" t="s">
        <v>1497</v>
      </c>
      <c r="F1168" s="461" t="s">
        <v>8328</v>
      </c>
    </row>
    <row r="1169" spans="1:11" ht="60" x14ac:dyDescent="0.25">
      <c r="A1169" s="461">
        <v>40700</v>
      </c>
      <c r="B1169" s="460" t="s">
        <v>9404</v>
      </c>
      <c r="C1169" s="461" t="s">
        <v>1104</v>
      </c>
      <c r="D1169" s="511">
        <v>15821.46</v>
      </c>
      <c r="E1169" s="461" t="s">
        <v>1497</v>
      </c>
      <c r="F1169" s="461" t="s">
        <v>8328</v>
      </c>
    </row>
    <row r="1170" spans="1:11" ht="30" x14ac:dyDescent="0.25">
      <c r="A1170" s="461">
        <v>13458</v>
      </c>
      <c r="B1170" s="460" t="s">
        <v>9405</v>
      </c>
      <c r="C1170" s="461" t="s">
        <v>1104</v>
      </c>
      <c r="D1170" s="511">
        <v>15034.3</v>
      </c>
      <c r="E1170" s="461" t="s">
        <v>1497</v>
      </c>
      <c r="F1170" s="461" t="s">
        <v>8328</v>
      </c>
    </row>
    <row r="1171" spans="1:11" ht="30" x14ac:dyDescent="0.25">
      <c r="A1171" s="461">
        <v>11134</v>
      </c>
      <c r="B1171" s="460" t="s">
        <v>9406</v>
      </c>
      <c r="C1171" s="461" t="s">
        <v>1106</v>
      </c>
      <c r="D1171" s="511">
        <v>60.74</v>
      </c>
      <c r="E1171" s="461" t="s">
        <v>161</v>
      </c>
      <c r="F1171" s="461" t="s">
        <v>8326</v>
      </c>
    </row>
    <row r="1172" spans="1:11" ht="30" x14ac:dyDescent="0.25">
      <c r="A1172" s="461">
        <v>11135</v>
      </c>
      <c r="B1172" s="460" t="s">
        <v>9407</v>
      </c>
      <c r="C1172" s="461" t="s">
        <v>1106</v>
      </c>
      <c r="D1172" s="511">
        <v>65.58</v>
      </c>
      <c r="E1172" s="461" t="s">
        <v>161</v>
      </c>
      <c r="F1172" s="461" t="s">
        <v>8326</v>
      </c>
    </row>
    <row r="1173" spans="1:11" ht="30" x14ac:dyDescent="0.25">
      <c r="A1173" s="461">
        <v>11136</v>
      </c>
      <c r="B1173" s="460" t="s">
        <v>9408</v>
      </c>
      <c r="C1173" s="461" t="s">
        <v>1106</v>
      </c>
      <c r="D1173" s="511">
        <v>75.09</v>
      </c>
      <c r="E1173" s="461" t="s">
        <v>161</v>
      </c>
      <c r="F1173" s="461" t="s">
        <v>8326</v>
      </c>
    </row>
    <row r="1174" spans="1:11" ht="30" x14ac:dyDescent="0.25">
      <c r="A1174" s="461">
        <v>34743</v>
      </c>
      <c r="B1174" s="460" t="s">
        <v>9409</v>
      </c>
      <c r="C1174" s="461" t="s">
        <v>1106</v>
      </c>
      <c r="D1174" s="511">
        <v>90.6</v>
      </c>
      <c r="E1174" s="461" t="s">
        <v>161</v>
      </c>
      <c r="F1174" s="461" t="s">
        <v>8326</v>
      </c>
    </row>
    <row r="1175" spans="1:11" ht="30" x14ac:dyDescent="0.25">
      <c r="A1175" s="461">
        <v>11137</v>
      </c>
      <c r="B1175" s="460" t="s">
        <v>9410</v>
      </c>
      <c r="C1175" s="461" t="s">
        <v>1106</v>
      </c>
      <c r="D1175" s="511">
        <v>102.9</v>
      </c>
      <c r="E1175" s="461" t="s">
        <v>161</v>
      </c>
      <c r="F1175" s="461" t="s">
        <v>8326</v>
      </c>
    </row>
    <row r="1176" spans="1:11" ht="30" x14ac:dyDescent="0.25">
      <c r="A1176" s="461">
        <v>34745</v>
      </c>
      <c r="B1176" s="460" t="s">
        <v>9411</v>
      </c>
      <c r="C1176" s="461" t="s">
        <v>1106</v>
      </c>
      <c r="D1176" s="461">
        <v>122.37</v>
      </c>
      <c r="E1176" s="461" t="s">
        <v>161</v>
      </c>
      <c r="F1176" s="461" t="s">
        <v>8326</v>
      </c>
    </row>
    <row r="1177" spans="1:11" ht="30" x14ac:dyDescent="0.25">
      <c r="A1177" s="461">
        <v>34746</v>
      </c>
      <c r="B1177" s="460" t="s">
        <v>9412</v>
      </c>
      <c r="C1177" s="461" t="s">
        <v>1106</v>
      </c>
      <c r="D1177" s="461">
        <v>33.369999999999997</v>
      </c>
      <c r="E1177" s="461" t="s">
        <v>161</v>
      </c>
      <c r="F1177" s="461" t="s">
        <v>8326</v>
      </c>
    </row>
    <row r="1178" spans="1:11" ht="30" x14ac:dyDescent="0.25">
      <c r="A1178" s="461">
        <v>1360</v>
      </c>
      <c r="B1178" s="460" t="s">
        <v>9413</v>
      </c>
      <c r="C1178" s="461" t="s">
        <v>1106</v>
      </c>
      <c r="D1178" s="461">
        <v>38.93</v>
      </c>
      <c r="E1178" s="461" t="s">
        <v>161</v>
      </c>
      <c r="F1178" s="461" t="s">
        <v>8326</v>
      </c>
    </row>
    <row r="1179" spans="1:11" ht="30" x14ac:dyDescent="0.25">
      <c r="A1179" s="461">
        <v>36524</v>
      </c>
      <c r="B1179" s="460" t="s">
        <v>9414</v>
      </c>
      <c r="C1179" s="461" t="s">
        <v>1104</v>
      </c>
      <c r="D1179" s="461">
        <v>185577.13</v>
      </c>
      <c r="E1179" s="461" t="s">
        <v>1497</v>
      </c>
      <c r="F1179" s="461" t="s">
        <v>8328</v>
      </c>
    </row>
    <row r="1180" spans="1:11" ht="30" x14ac:dyDescent="0.25">
      <c r="A1180" s="461">
        <v>36526</v>
      </c>
      <c r="B1180" s="460" t="s">
        <v>9415</v>
      </c>
      <c r="C1180" s="461" t="s">
        <v>1104</v>
      </c>
      <c r="D1180" s="461">
        <v>149545.60999999999</v>
      </c>
      <c r="E1180" s="461" t="s">
        <v>1497</v>
      </c>
      <c r="F1180" s="461" t="s">
        <v>8328</v>
      </c>
      <c r="K1180" s="140"/>
    </row>
    <row r="1181" spans="1:11" ht="30" x14ac:dyDescent="0.25">
      <c r="A1181" s="461">
        <v>36523</v>
      </c>
      <c r="B1181" s="460" t="s">
        <v>9416</v>
      </c>
      <c r="C1181" s="461" t="s">
        <v>1104</v>
      </c>
      <c r="D1181" s="461">
        <v>320156.96999999997</v>
      </c>
      <c r="E1181" s="461" t="s">
        <v>1497</v>
      </c>
      <c r="F1181" s="461" t="s">
        <v>8328</v>
      </c>
    </row>
    <row r="1182" spans="1:11" ht="30" x14ac:dyDescent="0.25">
      <c r="A1182" s="461">
        <v>36527</v>
      </c>
      <c r="B1182" s="460" t="s">
        <v>9417</v>
      </c>
      <c r="C1182" s="461" t="s">
        <v>1104</v>
      </c>
      <c r="D1182" s="461">
        <v>347756.42</v>
      </c>
      <c r="E1182" s="461" t="s">
        <v>1497</v>
      </c>
      <c r="F1182" s="461" t="s">
        <v>8328</v>
      </c>
    </row>
    <row r="1183" spans="1:11" ht="30" x14ac:dyDescent="0.25">
      <c r="A1183" s="461">
        <v>38642</v>
      </c>
      <c r="B1183" s="460" t="s">
        <v>9418</v>
      </c>
      <c r="C1183" s="461" t="s">
        <v>1104</v>
      </c>
      <c r="D1183" s="461">
        <v>80966.61</v>
      </c>
      <c r="E1183" s="461" t="s">
        <v>1497</v>
      </c>
      <c r="F1183" s="461" t="s">
        <v>8328</v>
      </c>
    </row>
    <row r="1184" spans="1:11" ht="30" x14ac:dyDescent="0.25">
      <c r="A1184" s="461">
        <v>36522</v>
      </c>
      <c r="B1184" s="460" t="s">
        <v>9419</v>
      </c>
      <c r="C1184" s="461" t="s">
        <v>1104</v>
      </c>
      <c r="D1184" s="511">
        <v>94163.21</v>
      </c>
      <c r="E1184" s="461" t="s">
        <v>1497</v>
      </c>
      <c r="F1184" s="461" t="s">
        <v>8328</v>
      </c>
    </row>
    <row r="1185" spans="1:14" ht="30" x14ac:dyDescent="0.25">
      <c r="A1185" s="461">
        <v>36525</v>
      </c>
      <c r="B1185" s="460" t="s">
        <v>9420</v>
      </c>
      <c r="C1185" s="461" t="s">
        <v>1104</v>
      </c>
      <c r="D1185" s="511">
        <v>126106.52</v>
      </c>
      <c r="E1185" s="461" t="s">
        <v>1497</v>
      </c>
      <c r="F1185" s="461" t="s">
        <v>8328</v>
      </c>
    </row>
    <row r="1186" spans="1:14" ht="30" x14ac:dyDescent="0.25">
      <c r="A1186" s="461">
        <v>13803</v>
      </c>
      <c r="B1186" s="460" t="s">
        <v>9421</v>
      </c>
      <c r="C1186" s="461" t="s">
        <v>1104</v>
      </c>
      <c r="D1186" s="511">
        <v>125745.69</v>
      </c>
      <c r="E1186" s="461" t="s">
        <v>1497</v>
      </c>
      <c r="F1186" s="461" t="s">
        <v>8328</v>
      </c>
    </row>
    <row r="1187" spans="1:14" ht="30" x14ac:dyDescent="0.25">
      <c r="A1187" s="461">
        <v>34348</v>
      </c>
      <c r="B1187" s="460" t="s">
        <v>9422</v>
      </c>
      <c r="C1187" s="461" t="s">
        <v>1107</v>
      </c>
      <c r="D1187" s="511">
        <v>16.760000000000002</v>
      </c>
      <c r="E1187" s="461" t="s">
        <v>161</v>
      </c>
      <c r="F1187" s="461" t="s">
        <v>8326</v>
      </c>
    </row>
    <row r="1188" spans="1:14" ht="30" x14ac:dyDescent="0.25">
      <c r="A1188" s="461">
        <v>34347</v>
      </c>
      <c r="B1188" s="460" t="s">
        <v>9423</v>
      </c>
      <c r="C1188" s="461" t="s">
        <v>1107</v>
      </c>
      <c r="D1188" s="511">
        <v>11.98</v>
      </c>
      <c r="E1188" s="461" t="s">
        <v>161</v>
      </c>
      <c r="F1188" s="461" t="s">
        <v>8326</v>
      </c>
    </row>
    <row r="1189" spans="1:14" ht="45" x14ac:dyDescent="0.25">
      <c r="A1189" s="461">
        <v>11146</v>
      </c>
      <c r="B1189" s="460" t="s">
        <v>9424</v>
      </c>
      <c r="C1189" s="461" t="s">
        <v>1105</v>
      </c>
      <c r="D1189" s="511">
        <v>514.79999999999995</v>
      </c>
      <c r="E1189" s="461" t="s">
        <v>161</v>
      </c>
      <c r="F1189" s="461" t="s">
        <v>8326</v>
      </c>
    </row>
    <row r="1190" spans="1:14" ht="45" x14ac:dyDescent="0.25">
      <c r="A1190" s="461">
        <v>11147</v>
      </c>
      <c r="B1190" s="460" t="s">
        <v>9425</v>
      </c>
      <c r="C1190" s="461" t="s">
        <v>1105</v>
      </c>
      <c r="D1190" s="511">
        <v>534.95000000000005</v>
      </c>
      <c r="E1190" s="461" t="s">
        <v>161</v>
      </c>
      <c r="F1190" s="461" t="s">
        <v>8326</v>
      </c>
    </row>
    <row r="1191" spans="1:14" ht="45" x14ac:dyDescent="0.25">
      <c r="A1191" s="461">
        <v>34872</v>
      </c>
      <c r="B1191" s="460" t="s">
        <v>9426</v>
      </c>
      <c r="C1191" s="461" t="s">
        <v>1105</v>
      </c>
      <c r="D1191" s="511">
        <v>540.95000000000005</v>
      </c>
      <c r="E1191" s="461" t="s">
        <v>161</v>
      </c>
      <c r="F1191" s="461" t="s">
        <v>8326</v>
      </c>
    </row>
    <row r="1192" spans="1:14" ht="45" x14ac:dyDescent="0.25">
      <c r="A1192" s="461">
        <v>34491</v>
      </c>
      <c r="B1192" s="460" t="s">
        <v>9427</v>
      </c>
      <c r="C1192" s="461" t="s">
        <v>1105</v>
      </c>
      <c r="D1192" s="461">
        <v>556.63</v>
      </c>
      <c r="E1192" s="461" t="s">
        <v>161</v>
      </c>
      <c r="F1192" s="461" t="s">
        <v>8326</v>
      </c>
    </row>
    <row r="1193" spans="1:14" ht="30" x14ac:dyDescent="0.25">
      <c r="A1193" s="461">
        <v>34770</v>
      </c>
      <c r="B1193" s="460" t="s">
        <v>9428</v>
      </c>
      <c r="C1193" s="461" t="s">
        <v>1114</v>
      </c>
      <c r="D1193" s="461">
        <v>637.57000000000005</v>
      </c>
      <c r="E1193" s="461" t="s">
        <v>161</v>
      </c>
      <c r="F1193" s="461" t="s">
        <v>8326</v>
      </c>
    </row>
    <row r="1194" spans="1:14" ht="30" x14ac:dyDescent="0.25">
      <c r="A1194" s="461">
        <v>1518</v>
      </c>
      <c r="B1194" s="460" t="s">
        <v>9429</v>
      </c>
      <c r="C1194" s="461" t="s">
        <v>1114</v>
      </c>
      <c r="D1194" s="461">
        <v>650</v>
      </c>
      <c r="E1194" s="461" t="s">
        <v>161</v>
      </c>
      <c r="F1194" s="461" t="s">
        <v>8333</v>
      </c>
    </row>
    <row r="1195" spans="1:14" ht="30" x14ac:dyDescent="0.25">
      <c r="A1195" s="461">
        <v>41965</v>
      </c>
      <c r="B1195" s="460" t="s">
        <v>9430</v>
      </c>
      <c r="C1195" s="461" t="s">
        <v>1114</v>
      </c>
      <c r="D1195" s="461">
        <v>569.94000000000005</v>
      </c>
      <c r="E1195" s="461" t="s">
        <v>161</v>
      </c>
      <c r="F1195" s="461" t="s">
        <v>8326</v>
      </c>
    </row>
    <row r="1196" spans="1:14" ht="45" x14ac:dyDescent="0.25">
      <c r="A1196" s="461">
        <v>1524</v>
      </c>
      <c r="B1196" s="460" t="s">
        <v>9431</v>
      </c>
      <c r="C1196" s="461" t="s">
        <v>1105</v>
      </c>
      <c r="D1196" s="461">
        <v>493.91</v>
      </c>
      <c r="E1196" s="461" t="s">
        <v>161</v>
      </c>
      <c r="F1196" s="461" t="s">
        <v>8326</v>
      </c>
    </row>
    <row r="1197" spans="1:14" ht="30" x14ac:dyDescent="0.25">
      <c r="A1197" s="461">
        <v>34492</v>
      </c>
      <c r="B1197" s="460" t="s">
        <v>9432</v>
      </c>
      <c r="C1197" s="461" t="s">
        <v>1105</v>
      </c>
      <c r="D1197" s="461">
        <v>457.5</v>
      </c>
      <c r="E1197" s="461" t="s">
        <v>161</v>
      </c>
      <c r="F1197" s="461" t="s">
        <v>8333</v>
      </c>
      <c r="N1197" s="140"/>
    </row>
    <row r="1198" spans="1:14" ht="30" x14ac:dyDescent="0.25">
      <c r="A1198" s="461">
        <v>38404</v>
      </c>
      <c r="B1198" s="460" t="s">
        <v>9433</v>
      </c>
      <c r="C1198" s="461" t="s">
        <v>1105</v>
      </c>
      <c r="D1198" s="461">
        <v>473.88</v>
      </c>
      <c r="E1198" s="461" t="s">
        <v>161</v>
      </c>
      <c r="F1198" s="461" t="s">
        <v>8326</v>
      </c>
    </row>
    <row r="1199" spans="1:14" ht="45" x14ac:dyDescent="0.25">
      <c r="A1199" s="461">
        <v>39849</v>
      </c>
      <c r="B1199" s="460" t="s">
        <v>9434</v>
      </c>
      <c r="C1199" s="461" t="s">
        <v>1105</v>
      </c>
      <c r="D1199" s="461">
        <v>543.07000000000005</v>
      </c>
      <c r="E1199" s="461" t="s">
        <v>161</v>
      </c>
      <c r="F1199" s="461" t="s">
        <v>8326</v>
      </c>
    </row>
    <row r="1200" spans="1:14" ht="45" x14ac:dyDescent="0.25">
      <c r="A1200" s="461">
        <v>38464</v>
      </c>
      <c r="B1200" s="460" t="s">
        <v>9435</v>
      </c>
      <c r="C1200" s="461" t="s">
        <v>1105</v>
      </c>
      <c r="D1200" s="461">
        <v>550.95000000000005</v>
      </c>
      <c r="E1200" s="461" t="s">
        <v>161</v>
      </c>
      <c r="F1200" s="461" t="s">
        <v>8326</v>
      </c>
    </row>
    <row r="1201" spans="1:6" ht="45" x14ac:dyDescent="0.25">
      <c r="A1201" s="461">
        <v>1527</v>
      </c>
      <c r="B1201" s="460" t="s">
        <v>9436</v>
      </c>
      <c r="C1201" s="461" t="s">
        <v>1105</v>
      </c>
      <c r="D1201" s="461">
        <v>509.59</v>
      </c>
      <c r="E1201" s="461" t="s">
        <v>161</v>
      </c>
      <c r="F1201" s="461" t="s">
        <v>8326</v>
      </c>
    </row>
    <row r="1202" spans="1:6" ht="30" x14ac:dyDescent="0.25">
      <c r="A1202" s="461">
        <v>34493</v>
      </c>
      <c r="B1202" s="460" t="s">
        <v>9437</v>
      </c>
      <c r="C1202" s="461" t="s">
        <v>1105</v>
      </c>
      <c r="D1202" s="461">
        <v>470.39</v>
      </c>
      <c r="E1202" s="461" t="s">
        <v>161</v>
      </c>
      <c r="F1202" s="461" t="s">
        <v>8326</v>
      </c>
    </row>
    <row r="1203" spans="1:6" ht="30" x14ac:dyDescent="0.25">
      <c r="A1203" s="461">
        <v>38405</v>
      </c>
      <c r="B1203" s="460" t="s">
        <v>9438</v>
      </c>
      <c r="C1203" s="461" t="s">
        <v>1105</v>
      </c>
      <c r="D1203" s="461">
        <v>488.49</v>
      </c>
      <c r="E1203" s="461" t="s">
        <v>161</v>
      </c>
      <c r="F1203" s="461" t="s">
        <v>8326</v>
      </c>
    </row>
    <row r="1204" spans="1:6" ht="30" x14ac:dyDescent="0.25">
      <c r="A1204" s="461">
        <v>38408</v>
      </c>
      <c r="B1204" s="460" t="s">
        <v>9439</v>
      </c>
      <c r="C1204" s="461" t="s">
        <v>1105</v>
      </c>
      <c r="D1204" s="461">
        <v>540.71</v>
      </c>
      <c r="E1204" s="461" t="s">
        <v>161</v>
      </c>
      <c r="F1204" s="461" t="s">
        <v>8326</v>
      </c>
    </row>
    <row r="1205" spans="1:6" ht="45" x14ac:dyDescent="0.25">
      <c r="A1205" s="461">
        <v>1525</v>
      </c>
      <c r="B1205" s="460" t="s">
        <v>9440</v>
      </c>
      <c r="C1205" s="461" t="s">
        <v>1105</v>
      </c>
      <c r="D1205" s="461">
        <v>525.27</v>
      </c>
      <c r="E1205" s="461" t="s">
        <v>161</v>
      </c>
      <c r="F1205" s="461" t="s">
        <v>8326</v>
      </c>
    </row>
    <row r="1206" spans="1:6" ht="30" x14ac:dyDescent="0.25">
      <c r="A1206" s="461">
        <v>34494</v>
      </c>
      <c r="B1206" s="460" t="s">
        <v>9441</v>
      </c>
      <c r="C1206" s="461" t="s">
        <v>1105</v>
      </c>
      <c r="D1206" s="461">
        <v>486.07</v>
      </c>
      <c r="E1206" s="461" t="s">
        <v>161</v>
      </c>
      <c r="F1206" s="461" t="s">
        <v>8326</v>
      </c>
    </row>
    <row r="1207" spans="1:6" ht="30" x14ac:dyDescent="0.25">
      <c r="A1207" s="461">
        <v>38406</v>
      </c>
      <c r="B1207" s="460" t="s">
        <v>9442</v>
      </c>
      <c r="C1207" s="461" t="s">
        <v>1105</v>
      </c>
      <c r="D1207" s="461">
        <v>515.82000000000005</v>
      </c>
      <c r="E1207" s="461" t="s">
        <v>161</v>
      </c>
      <c r="F1207" s="461" t="s">
        <v>8326</v>
      </c>
    </row>
    <row r="1208" spans="1:6" ht="30" x14ac:dyDescent="0.25">
      <c r="A1208" s="461">
        <v>38409</v>
      </c>
      <c r="B1208" s="460" t="s">
        <v>9443</v>
      </c>
      <c r="C1208" s="461" t="s">
        <v>1105</v>
      </c>
      <c r="D1208" s="461">
        <v>544.4</v>
      </c>
      <c r="E1208" s="461" t="s">
        <v>161</v>
      </c>
      <c r="F1208" s="461" t="s">
        <v>8326</v>
      </c>
    </row>
    <row r="1209" spans="1:6" ht="30" x14ac:dyDescent="0.25">
      <c r="A1209" s="461">
        <v>43360</v>
      </c>
      <c r="B1209" s="460" t="s">
        <v>9444</v>
      </c>
      <c r="C1209" s="461" t="s">
        <v>1105</v>
      </c>
      <c r="D1209" s="461">
        <v>567.65</v>
      </c>
      <c r="E1209" s="461" t="s">
        <v>161</v>
      </c>
      <c r="F1209" s="461" t="s">
        <v>8326</v>
      </c>
    </row>
    <row r="1210" spans="1:6" ht="45" x14ac:dyDescent="0.25">
      <c r="A1210" s="461">
        <v>11145</v>
      </c>
      <c r="B1210" s="460" t="s">
        <v>9445</v>
      </c>
      <c r="C1210" s="461" t="s">
        <v>1105</v>
      </c>
      <c r="D1210" s="461">
        <v>540.95000000000005</v>
      </c>
      <c r="E1210" s="461" t="s">
        <v>161</v>
      </c>
      <c r="F1210" s="461" t="s">
        <v>8326</v>
      </c>
    </row>
    <row r="1211" spans="1:6" ht="30" x14ac:dyDescent="0.25">
      <c r="A1211" s="461">
        <v>34495</v>
      </c>
      <c r="B1211" s="460" t="s">
        <v>9446</v>
      </c>
      <c r="C1211" s="461" t="s">
        <v>1105</v>
      </c>
      <c r="D1211" s="461">
        <v>501.75</v>
      </c>
      <c r="E1211" s="461" t="s">
        <v>161</v>
      </c>
      <c r="F1211" s="461" t="s">
        <v>8326</v>
      </c>
    </row>
    <row r="1212" spans="1:6" ht="45" x14ac:dyDescent="0.25">
      <c r="A1212" s="461">
        <v>34479</v>
      </c>
      <c r="B1212" s="460" t="s">
        <v>9447</v>
      </c>
      <c r="C1212" s="461" t="s">
        <v>1105</v>
      </c>
      <c r="D1212" s="461">
        <v>556.63</v>
      </c>
      <c r="E1212" s="461" t="s">
        <v>161</v>
      </c>
      <c r="F1212" s="461" t="s">
        <v>8326</v>
      </c>
    </row>
    <row r="1213" spans="1:6" ht="30" x14ac:dyDescent="0.25">
      <c r="A1213" s="461">
        <v>34496</v>
      </c>
      <c r="B1213" s="460" t="s">
        <v>9448</v>
      </c>
      <c r="C1213" s="461" t="s">
        <v>1105</v>
      </c>
      <c r="D1213" s="461">
        <v>523.41</v>
      </c>
      <c r="E1213" s="461" t="s">
        <v>161</v>
      </c>
      <c r="F1213" s="461" t="s">
        <v>8326</v>
      </c>
    </row>
    <row r="1214" spans="1:6" ht="45" x14ac:dyDescent="0.25">
      <c r="A1214" s="461">
        <v>34481</v>
      </c>
      <c r="B1214" s="460" t="s">
        <v>9449</v>
      </c>
      <c r="C1214" s="461" t="s">
        <v>1105</v>
      </c>
      <c r="D1214" s="461">
        <v>581.61</v>
      </c>
      <c r="E1214" s="461" t="s">
        <v>161</v>
      </c>
      <c r="F1214" s="461" t="s">
        <v>8326</v>
      </c>
    </row>
    <row r="1215" spans="1:6" ht="45" x14ac:dyDescent="0.25">
      <c r="A1215" s="461">
        <v>34483</v>
      </c>
      <c r="B1215" s="460" t="s">
        <v>9450</v>
      </c>
      <c r="C1215" s="461" t="s">
        <v>1105</v>
      </c>
      <c r="D1215" s="461">
        <v>621.41</v>
      </c>
      <c r="E1215" s="461" t="s">
        <v>161</v>
      </c>
      <c r="F1215" s="461" t="s">
        <v>8326</v>
      </c>
    </row>
    <row r="1216" spans="1:6" ht="45" x14ac:dyDescent="0.25">
      <c r="A1216" s="461">
        <v>34485</v>
      </c>
      <c r="B1216" s="460" t="s">
        <v>9451</v>
      </c>
      <c r="C1216" s="461" t="s">
        <v>1105</v>
      </c>
      <c r="D1216" s="461">
        <v>664.53</v>
      </c>
      <c r="E1216" s="461" t="s">
        <v>161</v>
      </c>
      <c r="F1216" s="461" t="s">
        <v>8326</v>
      </c>
    </row>
    <row r="1217" spans="1:6" ht="30" x14ac:dyDescent="0.25">
      <c r="A1217" s="461">
        <v>14041</v>
      </c>
      <c r="B1217" s="460" t="s">
        <v>9452</v>
      </c>
      <c r="C1217" s="461" t="s">
        <v>1105</v>
      </c>
      <c r="D1217" s="461">
        <v>431.97</v>
      </c>
      <c r="E1217" s="461" t="s">
        <v>161</v>
      </c>
      <c r="F1217" s="461" t="s">
        <v>8326</v>
      </c>
    </row>
    <row r="1218" spans="1:6" ht="30" x14ac:dyDescent="0.25">
      <c r="A1218" s="461">
        <v>1523</v>
      </c>
      <c r="B1218" s="460" t="s">
        <v>9453</v>
      </c>
      <c r="C1218" s="461" t="s">
        <v>1105</v>
      </c>
      <c r="D1218" s="461">
        <v>439.03</v>
      </c>
      <c r="E1218" s="461" t="s">
        <v>161</v>
      </c>
      <c r="F1218" s="461" t="s">
        <v>8326</v>
      </c>
    </row>
    <row r="1219" spans="1:6" ht="30" x14ac:dyDescent="0.25">
      <c r="A1219" s="461">
        <v>14052</v>
      </c>
      <c r="B1219" s="460" t="s">
        <v>9454</v>
      </c>
      <c r="C1219" s="461" t="s">
        <v>1104</v>
      </c>
      <c r="D1219" s="461">
        <v>11.3</v>
      </c>
      <c r="E1219" s="461" t="s">
        <v>161</v>
      </c>
      <c r="F1219" s="461" t="s">
        <v>8326</v>
      </c>
    </row>
    <row r="1220" spans="1:6" ht="30" x14ac:dyDescent="0.25">
      <c r="A1220" s="461">
        <v>14054</v>
      </c>
      <c r="B1220" s="460" t="s">
        <v>9455</v>
      </c>
      <c r="C1220" s="461" t="s">
        <v>1104</v>
      </c>
      <c r="D1220" s="461">
        <v>14.69</v>
      </c>
      <c r="E1220" s="461" t="s">
        <v>161</v>
      </c>
      <c r="F1220" s="461" t="s">
        <v>8326</v>
      </c>
    </row>
    <row r="1221" spans="1:6" ht="30" x14ac:dyDescent="0.25">
      <c r="A1221" s="461">
        <v>14053</v>
      </c>
      <c r="B1221" s="460" t="s">
        <v>9456</v>
      </c>
      <c r="C1221" s="461" t="s">
        <v>1104</v>
      </c>
      <c r="D1221" s="461">
        <v>11.47</v>
      </c>
      <c r="E1221" s="461" t="s">
        <v>161</v>
      </c>
      <c r="F1221" s="461" t="s">
        <v>8326</v>
      </c>
    </row>
    <row r="1222" spans="1:6" ht="30" x14ac:dyDescent="0.25">
      <c r="A1222" s="461">
        <v>2558</v>
      </c>
      <c r="B1222" s="460" t="s">
        <v>9457</v>
      </c>
      <c r="C1222" s="461" t="s">
        <v>1104</v>
      </c>
      <c r="D1222" s="461">
        <v>8.64</v>
      </c>
      <c r="E1222" s="461" t="s">
        <v>161</v>
      </c>
      <c r="F1222" s="461" t="s">
        <v>8326</v>
      </c>
    </row>
    <row r="1223" spans="1:6" ht="30" x14ac:dyDescent="0.25">
      <c r="A1223" s="461">
        <v>2560</v>
      </c>
      <c r="B1223" s="460" t="s">
        <v>9458</v>
      </c>
      <c r="C1223" s="461" t="s">
        <v>1104</v>
      </c>
      <c r="D1223" s="461">
        <v>15.2</v>
      </c>
      <c r="E1223" s="461" t="s">
        <v>161</v>
      </c>
      <c r="F1223" s="461" t="s">
        <v>8326</v>
      </c>
    </row>
    <row r="1224" spans="1:6" ht="30" x14ac:dyDescent="0.25">
      <c r="A1224" s="461">
        <v>2559</v>
      </c>
      <c r="B1224" s="460" t="s">
        <v>9459</v>
      </c>
      <c r="C1224" s="461" t="s">
        <v>1104</v>
      </c>
      <c r="D1224" s="461">
        <v>12.16</v>
      </c>
      <c r="E1224" s="461" t="s">
        <v>161</v>
      </c>
      <c r="F1224" s="461" t="s">
        <v>8333</v>
      </c>
    </row>
    <row r="1225" spans="1:6" ht="30" x14ac:dyDescent="0.25">
      <c r="A1225" s="461">
        <v>2592</v>
      </c>
      <c r="B1225" s="460" t="s">
        <v>9460</v>
      </c>
      <c r="C1225" s="461" t="s">
        <v>1104</v>
      </c>
      <c r="D1225" s="461">
        <v>201.58</v>
      </c>
      <c r="E1225" s="461" t="s">
        <v>161</v>
      </c>
      <c r="F1225" s="461" t="s">
        <v>8326</v>
      </c>
    </row>
    <row r="1226" spans="1:6" ht="30" x14ac:dyDescent="0.25">
      <c r="A1226" s="461">
        <v>2589</v>
      </c>
      <c r="B1226" s="460" t="s">
        <v>9461</v>
      </c>
      <c r="C1226" s="461" t="s">
        <v>1104</v>
      </c>
      <c r="D1226" s="461">
        <v>26.96</v>
      </c>
      <c r="E1226" s="461" t="s">
        <v>161</v>
      </c>
      <c r="F1226" s="461" t="s">
        <v>8326</v>
      </c>
    </row>
    <row r="1227" spans="1:6" ht="30" x14ac:dyDescent="0.25">
      <c r="A1227" s="461">
        <v>2566</v>
      </c>
      <c r="B1227" s="460" t="s">
        <v>13149</v>
      </c>
      <c r="C1227" s="461" t="s">
        <v>1104</v>
      </c>
      <c r="D1227" s="461">
        <v>20.28</v>
      </c>
      <c r="E1227" s="461" t="s">
        <v>161</v>
      </c>
      <c r="F1227" s="461" t="s">
        <v>8326</v>
      </c>
    </row>
    <row r="1228" spans="1:6" ht="30" x14ac:dyDescent="0.25">
      <c r="A1228" s="461">
        <v>2591</v>
      </c>
      <c r="B1228" s="460" t="s">
        <v>9462</v>
      </c>
      <c r="C1228" s="461" t="s">
        <v>1104</v>
      </c>
      <c r="D1228" s="461">
        <v>9.83</v>
      </c>
      <c r="E1228" s="461" t="s">
        <v>161</v>
      </c>
      <c r="F1228" s="461" t="s">
        <v>8326</v>
      </c>
    </row>
    <row r="1229" spans="1:6" ht="30" x14ac:dyDescent="0.25">
      <c r="A1229" s="461">
        <v>2590</v>
      </c>
      <c r="B1229" s="460" t="s">
        <v>9463</v>
      </c>
      <c r="C1229" s="461" t="s">
        <v>1104</v>
      </c>
      <c r="D1229" s="461">
        <v>16.54</v>
      </c>
      <c r="E1229" s="461" t="s">
        <v>161</v>
      </c>
      <c r="F1229" s="461" t="s">
        <v>8326</v>
      </c>
    </row>
    <row r="1230" spans="1:6" ht="30" x14ac:dyDescent="0.25">
      <c r="A1230" s="461">
        <v>2567</v>
      </c>
      <c r="B1230" s="460" t="s">
        <v>9464</v>
      </c>
      <c r="C1230" s="461" t="s">
        <v>1104</v>
      </c>
      <c r="D1230" s="461">
        <v>39.549999999999997</v>
      </c>
      <c r="E1230" s="461" t="s">
        <v>161</v>
      </c>
      <c r="F1230" s="461" t="s">
        <v>8326</v>
      </c>
    </row>
    <row r="1231" spans="1:6" ht="30" x14ac:dyDescent="0.25">
      <c r="A1231" s="461">
        <v>2565</v>
      </c>
      <c r="B1231" s="460" t="s">
        <v>9465</v>
      </c>
      <c r="C1231" s="461" t="s">
        <v>1104</v>
      </c>
      <c r="D1231" s="461">
        <v>9.85</v>
      </c>
      <c r="E1231" s="461" t="s">
        <v>161</v>
      </c>
      <c r="F1231" s="461" t="s">
        <v>8326</v>
      </c>
    </row>
    <row r="1232" spans="1:6" ht="30" x14ac:dyDescent="0.25">
      <c r="A1232" s="461">
        <v>2568</v>
      </c>
      <c r="B1232" s="460" t="s">
        <v>9466</v>
      </c>
      <c r="C1232" s="461" t="s">
        <v>1104</v>
      </c>
      <c r="D1232" s="461">
        <v>109.83</v>
      </c>
      <c r="E1232" s="461" t="s">
        <v>161</v>
      </c>
      <c r="F1232" s="461" t="s">
        <v>8326</v>
      </c>
    </row>
    <row r="1233" spans="1:6" ht="30" x14ac:dyDescent="0.25">
      <c r="A1233" s="461">
        <v>2594</v>
      </c>
      <c r="B1233" s="460" t="s">
        <v>9467</v>
      </c>
      <c r="C1233" s="461" t="s">
        <v>1104</v>
      </c>
      <c r="D1233" s="461">
        <v>182.97</v>
      </c>
      <c r="E1233" s="461" t="s">
        <v>161</v>
      </c>
      <c r="F1233" s="461" t="s">
        <v>8326</v>
      </c>
    </row>
    <row r="1234" spans="1:6" ht="30" x14ac:dyDescent="0.25">
      <c r="A1234" s="461">
        <v>2587</v>
      </c>
      <c r="B1234" s="460" t="s">
        <v>9468</v>
      </c>
      <c r="C1234" s="461" t="s">
        <v>1104</v>
      </c>
      <c r="D1234" s="461">
        <v>31.18</v>
      </c>
      <c r="E1234" s="461" t="s">
        <v>161</v>
      </c>
      <c r="F1234" s="461" t="s">
        <v>8326</v>
      </c>
    </row>
    <row r="1235" spans="1:6" ht="30" x14ac:dyDescent="0.25">
      <c r="A1235" s="461">
        <v>2588</v>
      </c>
      <c r="B1235" s="460" t="s">
        <v>9469</v>
      </c>
      <c r="C1235" s="461" t="s">
        <v>1104</v>
      </c>
      <c r="D1235" s="461">
        <v>24.77</v>
      </c>
      <c r="E1235" s="461" t="s">
        <v>161</v>
      </c>
      <c r="F1235" s="461" t="s">
        <v>8326</v>
      </c>
    </row>
    <row r="1236" spans="1:6" ht="30" x14ac:dyDescent="0.25">
      <c r="A1236" s="461">
        <v>2569</v>
      </c>
      <c r="B1236" s="460" t="s">
        <v>9470</v>
      </c>
      <c r="C1236" s="461" t="s">
        <v>1104</v>
      </c>
      <c r="D1236" s="461">
        <v>9.5399999999999991</v>
      </c>
      <c r="E1236" s="461" t="s">
        <v>161</v>
      </c>
      <c r="F1236" s="461" t="s">
        <v>8326</v>
      </c>
    </row>
    <row r="1237" spans="1:6" ht="30" x14ac:dyDescent="0.25">
      <c r="A1237" s="461">
        <v>2570</v>
      </c>
      <c r="B1237" s="460" t="s">
        <v>9471</v>
      </c>
      <c r="C1237" s="461" t="s">
        <v>1104</v>
      </c>
      <c r="D1237" s="461">
        <v>16</v>
      </c>
      <c r="E1237" s="461" t="s">
        <v>161</v>
      </c>
      <c r="F1237" s="461" t="s">
        <v>8326</v>
      </c>
    </row>
    <row r="1238" spans="1:6" ht="30" x14ac:dyDescent="0.25">
      <c r="A1238" s="461">
        <v>2571</v>
      </c>
      <c r="B1238" s="460" t="s">
        <v>9472</v>
      </c>
      <c r="C1238" s="461" t="s">
        <v>1104</v>
      </c>
      <c r="D1238" s="461">
        <v>47.49</v>
      </c>
      <c r="E1238" s="461" t="s">
        <v>161</v>
      </c>
      <c r="F1238" s="461" t="s">
        <v>8326</v>
      </c>
    </row>
    <row r="1239" spans="1:6" ht="30" x14ac:dyDescent="0.25">
      <c r="A1239" s="461">
        <v>2593</v>
      </c>
      <c r="B1239" s="460" t="s">
        <v>9473</v>
      </c>
      <c r="C1239" s="461" t="s">
        <v>1104</v>
      </c>
      <c r="D1239" s="461">
        <v>10.17</v>
      </c>
      <c r="E1239" s="461" t="s">
        <v>161</v>
      </c>
      <c r="F1239" s="461" t="s">
        <v>8326</v>
      </c>
    </row>
    <row r="1240" spans="1:6" ht="30" x14ac:dyDescent="0.25">
      <c r="A1240" s="461">
        <v>2572</v>
      </c>
      <c r="B1240" s="460" t="s">
        <v>9474</v>
      </c>
      <c r="C1240" s="461" t="s">
        <v>1104</v>
      </c>
      <c r="D1240" s="461">
        <v>140.44999999999999</v>
      </c>
      <c r="E1240" s="461" t="s">
        <v>161</v>
      </c>
      <c r="F1240" s="461" t="s">
        <v>8326</v>
      </c>
    </row>
    <row r="1241" spans="1:6" ht="30" x14ac:dyDescent="0.25">
      <c r="A1241" s="461">
        <v>2595</v>
      </c>
      <c r="B1241" s="460" t="s">
        <v>9475</v>
      </c>
      <c r="C1241" s="461" t="s">
        <v>1104</v>
      </c>
      <c r="D1241" s="461">
        <v>219.13</v>
      </c>
      <c r="E1241" s="461" t="s">
        <v>161</v>
      </c>
      <c r="F1241" s="461" t="s">
        <v>8326</v>
      </c>
    </row>
    <row r="1242" spans="1:6" ht="30" x14ac:dyDescent="0.25">
      <c r="A1242" s="461">
        <v>2576</v>
      </c>
      <c r="B1242" s="460" t="s">
        <v>9476</v>
      </c>
      <c r="C1242" s="461" t="s">
        <v>1104</v>
      </c>
      <c r="D1242" s="461">
        <v>37.35</v>
      </c>
      <c r="E1242" s="461" t="s">
        <v>161</v>
      </c>
      <c r="F1242" s="461" t="s">
        <v>8326</v>
      </c>
    </row>
    <row r="1243" spans="1:6" ht="30" x14ac:dyDescent="0.25">
      <c r="A1243" s="461">
        <v>2575</v>
      </c>
      <c r="B1243" s="460" t="s">
        <v>9477</v>
      </c>
      <c r="C1243" s="461" t="s">
        <v>1104</v>
      </c>
      <c r="D1243" s="461">
        <v>28.08</v>
      </c>
      <c r="E1243" s="461" t="s">
        <v>161</v>
      </c>
      <c r="F1243" s="461" t="s">
        <v>8326</v>
      </c>
    </row>
    <row r="1244" spans="1:6" ht="30" x14ac:dyDescent="0.25">
      <c r="A1244" s="461">
        <v>2573</v>
      </c>
      <c r="B1244" s="460" t="s">
        <v>9478</v>
      </c>
      <c r="C1244" s="461" t="s">
        <v>1104</v>
      </c>
      <c r="D1244" s="461">
        <v>11.66</v>
      </c>
      <c r="E1244" s="461" t="s">
        <v>161</v>
      </c>
      <c r="F1244" s="461" t="s">
        <v>8326</v>
      </c>
    </row>
    <row r="1245" spans="1:6" ht="30" x14ac:dyDescent="0.25">
      <c r="A1245" s="461">
        <v>2586</v>
      </c>
      <c r="B1245" s="460" t="s">
        <v>9479</v>
      </c>
      <c r="C1245" s="461" t="s">
        <v>1104</v>
      </c>
      <c r="D1245" s="461">
        <v>18.899999999999999</v>
      </c>
      <c r="E1245" s="461" t="s">
        <v>161</v>
      </c>
      <c r="F1245" s="461" t="s">
        <v>8326</v>
      </c>
    </row>
    <row r="1246" spans="1:6" ht="30" x14ac:dyDescent="0.25">
      <c r="A1246" s="461">
        <v>2577</v>
      </c>
      <c r="B1246" s="460" t="s">
        <v>9480</v>
      </c>
      <c r="C1246" s="461" t="s">
        <v>1104</v>
      </c>
      <c r="D1246" s="461">
        <v>50.62</v>
      </c>
      <c r="E1246" s="461" t="s">
        <v>161</v>
      </c>
      <c r="F1246" s="461" t="s">
        <v>8326</v>
      </c>
    </row>
    <row r="1247" spans="1:6" ht="30" x14ac:dyDescent="0.25">
      <c r="A1247" s="461">
        <v>2574</v>
      </c>
      <c r="B1247" s="460" t="s">
        <v>9481</v>
      </c>
      <c r="C1247" s="461" t="s">
        <v>1104</v>
      </c>
      <c r="D1247" s="461">
        <v>11.74</v>
      </c>
      <c r="E1247" s="461" t="s">
        <v>161</v>
      </c>
      <c r="F1247" s="461" t="s">
        <v>8326</v>
      </c>
    </row>
    <row r="1248" spans="1:6" ht="30" x14ac:dyDescent="0.25">
      <c r="A1248" s="461">
        <v>2578</v>
      </c>
      <c r="B1248" s="460" t="s">
        <v>9482</v>
      </c>
      <c r="C1248" s="461" t="s">
        <v>1104</v>
      </c>
      <c r="D1248" s="461">
        <v>158.03</v>
      </c>
      <c r="E1248" s="461" t="s">
        <v>161</v>
      </c>
      <c r="F1248" s="461" t="s">
        <v>8326</v>
      </c>
    </row>
    <row r="1249" spans="1:6" ht="30" x14ac:dyDescent="0.25">
      <c r="A1249" s="461">
        <v>2585</v>
      </c>
      <c r="B1249" s="460" t="s">
        <v>9483</v>
      </c>
      <c r="C1249" s="461" t="s">
        <v>1104</v>
      </c>
      <c r="D1249" s="461">
        <v>216.86</v>
      </c>
      <c r="E1249" s="461" t="s">
        <v>161</v>
      </c>
      <c r="F1249" s="461" t="s">
        <v>8326</v>
      </c>
    </row>
    <row r="1250" spans="1:6" ht="30" x14ac:dyDescent="0.25">
      <c r="A1250" s="461">
        <v>12008</v>
      </c>
      <c r="B1250" s="460" t="s">
        <v>9484</v>
      </c>
      <c r="C1250" s="461" t="s">
        <v>1104</v>
      </c>
      <c r="D1250" s="461">
        <v>116.35</v>
      </c>
      <c r="E1250" s="461" t="s">
        <v>161</v>
      </c>
      <c r="F1250" s="461" t="s">
        <v>8326</v>
      </c>
    </row>
    <row r="1251" spans="1:6" ht="30" x14ac:dyDescent="0.25">
      <c r="A1251" s="461">
        <v>2582</v>
      </c>
      <c r="B1251" s="460" t="s">
        <v>9485</v>
      </c>
      <c r="C1251" s="461" t="s">
        <v>1104</v>
      </c>
      <c r="D1251" s="461">
        <v>34.65</v>
      </c>
      <c r="E1251" s="461" t="s">
        <v>161</v>
      </c>
      <c r="F1251" s="461" t="s">
        <v>8326</v>
      </c>
    </row>
    <row r="1252" spans="1:6" ht="30" x14ac:dyDescent="0.25">
      <c r="A1252" s="461">
        <v>2597</v>
      </c>
      <c r="B1252" s="460" t="s">
        <v>9486</v>
      </c>
      <c r="C1252" s="461" t="s">
        <v>1104</v>
      </c>
      <c r="D1252" s="461">
        <v>29.69</v>
      </c>
      <c r="E1252" s="461" t="s">
        <v>161</v>
      </c>
      <c r="F1252" s="461" t="s">
        <v>8326</v>
      </c>
    </row>
    <row r="1253" spans="1:6" ht="30" x14ac:dyDescent="0.25">
      <c r="A1253" s="461">
        <v>2579</v>
      </c>
      <c r="B1253" s="460" t="s">
        <v>9487</v>
      </c>
      <c r="C1253" s="461" t="s">
        <v>1104</v>
      </c>
      <c r="D1253" s="461">
        <v>14.14</v>
      </c>
      <c r="E1253" s="461" t="s">
        <v>161</v>
      </c>
      <c r="F1253" s="461" t="s">
        <v>8326</v>
      </c>
    </row>
    <row r="1254" spans="1:6" ht="30" x14ac:dyDescent="0.25">
      <c r="A1254" s="461">
        <v>2581</v>
      </c>
      <c r="B1254" s="460" t="s">
        <v>9488</v>
      </c>
      <c r="C1254" s="461" t="s">
        <v>1104</v>
      </c>
      <c r="D1254" s="461">
        <v>18.09</v>
      </c>
      <c r="E1254" s="461" t="s">
        <v>161</v>
      </c>
      <c r="F1254" s="461" t="s">
        <v>8326</v>
      </c>
    </row>
    <row r="1255" spans="1:6" ht="30" x14ac:dyDescent="0.25">
      <c r="A1255" s="461">
        <v>2596</v>
      </c>
      <c r="B1255" s="460" t="s">
        <v>9489</v>
      </c>
      <c r="C1255" s="461" t="s">
        <v>1104</v>
      </c>
      <c r="D1255" s="461">
        <v>53.5</v>
      </c>
      <c r="E1255" s="461" t="s">
        <v>161</v>
      </c>
      <c r="F1255" s="461" t="s">
        <v>8326</v>
      </c>
    </row>
    <row r="1256" spans="1:6" ht="30" x14ac:dyDescent="0.25">
      <c r="A1256" s="461">
        <v>2580</v>
      </c>
      <c r="B1256" s="460" t="s">
        <v>9490</v>
      </c>
      <c r="C1256" s="461" t="s">
        <v>1104</v>
      </c>
      <c r="D1256" s="461">
        <v>15.49</v>
      </c>
      <c r="E1256" s="461" t="s">
        <v>161</v>
      </c>
      <c r="F1256" s="461" t="s">
        <v>8326</v>
      </c>
    </row>
    <row r="1257" spans="1:6" ht="30" x14ac:dyDescent="0.25">
      <c r="A1257" s="461">
        <v>2583</v>
      </c>
      <c r="B1257" s="460" t="s">
        <v>9491</v>
      </c>
      <c r="C1257" s="461" t="s">
        <v>1104</v>
      </c>
      <c r="D1257" s="461">
        <v>130.13</v>
      </c>
      <c r="E1257" s="461" t="s">
        <v>161</v>
      </c>
      <c r="F1257" s="461" t="s">
        <v>8326</v>
      </c>
    </row>
    <row r="1258" spans="1:6" ht="30" x14ac:dyDescent="0.25">
      <c r="A1258" s="461">
        <v>2584</v>
      </c>
      <c r="B1258" s="460" t="s">
        <v>9492</v>
      </c>
      <c r="C1258" s="461" t="s">
        <v>1104</v>
      </c>
      <c r="D1258" s="461">
        <v>216.64</v>
      </c>
      <c r="E1258" s="461" t="s">
        <v>161</v>
      </c>
      <c r="F1258" s="461" t="s">
        <v>8326</v>
      </c>
    </row>
    <row r="1259" spans="1:6" ht="15" x14ac:dyDescent="0.25">
      <c r="A1259" s="461">
        <v>12010</v>
      </c>
      <c r="B1259" s="460" t="s">
        <v>9493</v>
      </c>
      <c r="C1259" s="461" t="s">
        <v>1104</v>
      </c>
      <c r="D1259" s="461">
        <v>11.02</v>
      </c>
      <c r="E1259" s="461" t="s">
        <v>161</v>
      </c>
      <c r="F1259" s="461" t="s">
        <v>8326</v>
      </c>
    </row>
    <row r="1260" spans="1:6" ht="15" x14ac:dyDescent="0.25">
      <c r="A1260" s="461">
        <v>39329</v>
      </c>
      <c r="B1260" s="460" t="s">
        <v>9494</v>
      </c>
      <c r="C1260" s="461" t="s">
        <v>1104</v>
      </c>
      <c r="D1260" s="461">
        <v>11.53</v>
      </c>
      <c r="E1260" s="461" t="s">
        <v>161</v>
      </c>
      <c r="F1260" s="461" t="s">
        <v>8326</v>
      </c>
    </row>
    <row r="1261" spans="1:6" ht="15" x14ac:dyDescent="0.25">
      <c r="A1261" s="461">
        <v>39330</v>
      </c>
      <c r="B1261" s="460" t="s">
        <v>9495</v>
      </c>
      <c r="C1261" s="461" t="s">
        <v>1104</v>
      </c>
      <c r="D1261" s="461">
        <v>12.13</v>
      </c>
      <c r="E1261" s="461" t="s">
        <v>161</v>
      </c>
      <c r="F1261" s="461" t="s">
        <v>8326</v>
      </c>
    </row>
    <row r="1262" spans="1:6" ht="15" x14ac:dyDescent="0.25">
      <c r="A1262" s="461">
        <v>39332</v>
      </c>
      <c r="B1262" s="460" t="s">
        <v>9496</v>
      </c>
      <c r="C1262" s="461" t="s">
        <v>1104</v>
      </c>
      <c r="D1262" s="461">
        <v>13.55</v>
      </c>
      <c r="E1262" s="461" t="s">
        <v>161</v>
      </c>
      <c r="F1262" s="461" t="s">
        <v>8326</v>
      </c>
    </row>
    <row r="1263" spans="1:6" ht="15" x14ac:dyDescent="0.25">
      <c r="A1263" s="461">
        <v>39331</v>
      </c>
      <c r="B1263" s="460" t="s">
        <v>9497</v>
      </c>
      <c r="C1263" s="461" t="s">
        <v>1104</v>
      </c>
      <c r="D1263" s="461">
        <v>10.79</v>
      </c>
      <c r="E1263" s="461" t="s">
        <v>161</v>
      </c>
      <c r="F1263" s="461" t="s">
        <v>8326</v>
      </c>
    </row>
    <row r="1264" spans="1:6" ht="15" x14ac:dyDescent="0.25">
      <c r="A1264" s="461">
        <v>39333</v>
      </c>
      <c r="B1264" s="460" t="s">
        <v>9498</v>
      </c>
      <c r="C1264" s="461" t="s">
        <v>1104</v>
      </c>
      <c r="D1264" s="461">
        <v>10.52</v>
      </c>
      <c r="E1264" s="461" t="s">
        <v>161</v>
      </c>
      <c r="F1264" s="461" t="s">
        <v>8326</v>
      </c>
    </row>
    <row r="1265" spans="1:6" ht="15" x14ac:dyDescent="0.25">
      <c r="A1265" s="461">
        <v>39335</v>
      </c>
      <c r="B1265" s="460" t="s">
        <v>9499</v>
      </c>
      <c r="C1265" s="461" t="s">
        <v>1104</v>
      </c>
      <c r="D1265" s="461">
        <v>12.17</v>
      </c>
      <c r="E1265" s="461" t="s">
        <v>161</v>
      </c>
      <c r="F1265" s="461" t="s">
        <v>8326</v>
      </c>
    </row>
    <row r="1266" spans="1:6" ht="15" x14ac:dyDescent="0.25">
      <c r="A1266" s="461">
        <v>39334</v>
      </c>
      <c r="B1266" s="460" t="s">
        <v>9500</v>
      </c>
      <c r="C1266" s="461" t="s">
        <v>1104</v>
      </c>
      <c r="D1266" s="461">
        <v>9.67</v>
      </c>
      <c r="E1266" s="461" t="s">
        <v>161</v>
      </c>
      <c r="F1266" s="461" t="s">
        <v>8326</v>
      </c>
    </row>
    <row r="1267" spans="1:6" ht="15" x14ac:dyDescent="0.25">
      <c r="A1267" s="461">
        <v>12016</v>
      </c>
      <c r="B1267" s="460" t="s">
        <v>9501</v>
      </c>
      <c r="C1267" s="461" t="s">
        <v>1104</v>
      </c>
      <c r="D1267" s="461">
        <v>12.14</v>
      </c>
      <c r="E1267" s="461" t="s">
        <v>161</v>
      </c>
      <c r="F1267" s="461" t="s">
        <v>8326</v>
      </c>
    </row>
    <row r="1268" spans="1:6" ht="15" x14ac:dyDescent="0.25">
      <c r="A1268" s="461">
        <v>12015</v>
      </c>
      <c r="B1268" s="460" t="s">
        <v>9502</v>
      </c>
      <c r="C1268" s="461" t="s">
        <v>1104</v>
      </c>
      <c r="D1268" s="461">
        <v>14.13</v>
      </c>
      <c r="E1268" s="461" t="s">
        <v>161</v>
      </c>
      <c r="F1268" s="461" t="s">
        <v>8326</v>
      </c>
    </row>
    <row r="1269" spans="1:6" ht="15" x14ac:dyDescent="0.25">
      <c r="A1269" s="461">
        <v>12020</v>
      </c>
      <c r="B1269" s="460" t="s">
        <v>9503</v>
      </c>
      <c r="C1269" s="461" t="s">
        <v>1104</v>
      </c>
      <c r="D1269" s="461">
        <v>12.14</v>
      </c>
      <c r="E1269" s="461" t="s">
        <v>161</v>
      </c>
      <c r="F1269" s="461" t="s">
        <v>8326</v>
      </c>
    </row>
    <row r="1270" spans="1:6" ht="15" x14ac:dyDescent="0.25">
      <c r="A1270" s="461">
        <v>12019</v>
      </c>
      <c r="B1270" s="460" t="s">
        <v>9504</v>
      </c>
      <c r="C1270" s="461" t="s">
        <v>1104</v>
      </c>
      <c r="D1270" s="461">
        <v>14.13</v>
      </c>
      <c r="E1270" s="461" t="s">
        <v>161</v>
      </c>
      <c r="F1270" s="461" t="s">
        <v>8326</v>
      </c>
    </row>
    <row r="1271" spans="1:6" ht="15" x14ac:dyDescent="0.25">
      <c r="A1271" s="461">
        <v>39336</v>
      </c>
      <c r="B1271" s="460" t="s">
        <v>9505</v>
      </c>
      <c r="C1271" s="461" t="s">
        <v>1104</v>
      </c>
      <c r="D1271" s="461">
        <v>12.13</v>
      </c>
      <c r="E1271" s="461" t="s">
        <v>161</v>
      </c>
      <c r="F1271" s="461" t="s">
        <v>8326</v>
      </c>
    </row>
    <row r="1272" spans="1:6" ht="15" x14ac:dyDescent="0.25">
      <c r="A1272" s="461">
        <v>39338</v>
      </c>
      <c r="B1272" s="460" t="s">
        <v>9506</v>
      </c>
      <c r="C1272" s="461" t="s">
        <v>1104</v>
      </c>
      <c r="D1272" s="461">
        <v>13.55</v>
      </c>
      <c r="E1272" s="461" t="s">
        <v>161</v>
      </c>
      <c r="F1272" s="461" t="s">
        <v>8326</v>
      </c>
    </row>
    <row r="1273" spans="1:6" ht="15" x14ac:dyDescent="0.25">
      <c r="A1273" s="461">
        <v>39337</v>
      </c>
      <c r="B1273" s="460" t="s">
        <v>9507</v>
      </c>
      <c r="C1273" s="461" t="s">
        <v>1104</v>
      </c>
      <c r="D1273" s="461">
        <v>10.79</v>
      </c>
      <c r="E1273" s="461" t="s">
        <v>161</v>
      </c>
      <c r="F1273" s="461" t="s">
        <v>8326</v>
      </c>
    </row>
    <row r="1274" spans="1:6" ht="15" x14ac:dyDescent="0.25">
      <c r="A1274" s="461">
        <v>39341</v>
      </c>
      <c r="B1274" s="460" t="s">
        <v>9508</v>
      </c>
      <c r="C1274" s="461" t="s">
        <v>1104</v>
      </c>
      <c r="D1274" s="461">
        <v>17.66</v>
      </c>
      <c r="E1274" s="461" t="s">
        <v>161</v>
      </c>
      <c r="F1274" s="461" t="s">
        <v>8326</v>
      </c>
    </row>
    <row r="1275" spans="1:6" ht="15" x14ac:dyDescent="0.25">
      <c r="A1275" s="461">
        <v>39340</v>
      </c>
      <c r="B1275" s="460" t="s">
        <v>9509</v>
      </c>
      <c r="C1275" s="461" t="s">
        <v>1104</v>
      </c>
      <c r="D1275" s="461">
        <v>12.97</v>
      </c>
      <c r="E1275" s="461" t="s">
        <v>161</v>
      </c>
      <c r="F1275" s="461" t="s">
        <v>8326</v>
      </c>
    </row>
    <row r="1276" spans="1:6" ht="15" x14ac:dyDescent="0.25">
      <c r="A1276" s="461">
        <v>12025</v>
      </c>
      <c r="B1276" s="460" t="s">
        <v>9510</v>
      </c>
      <c r="C1276" s="461" t="s">
        <v>1104</v>
      </c>
      <c r="D1276" s="461">
        <v>13.4</v>
      </c>
      <c r="E1276" s="461" t="s">
        <v>161</v>
      </c>
      <c r="F1276" s="461" t="s">
        <v>8326</v>
      </c>
    </row>
    <row r="1277" spans="1:6" ht="15" x14ac:dyDescent="0.25">
      <c r="A1277" s="461">
        <v>39342</v>
      </c>
      <c r="B1277" s="460" t="s">
        <v>9511</v>
      </c>
      <c r="C1277" s="461" t="s">
        <v>1104</v>
      </c>
      <c r="D1277" s="461">
        <v>17.66</v>
      </c>
      <c r="E1277" s="461" t="s">
        <v>161</v>
      </c>
      <c r="F1277" s="461" t="s">
        <v>8326</v>
      </c>
    </row>
    <row r="1278" spans="1:6" ht="15" x14ac:dyDescent="0.25">
      <c r="A1278" s="461">
        <v>39343</v>
      </c>
      <c r="B1278" s="460" t="s">
        <v>9512</v>
      </c>
      <c r="C1278" s="461" t="s">
        <v>1104</v>
      </c>
      <c r="D1278" s="461">
        <v>14.92</v>
      </c>
      <c r="E1278" s="461" t="s">
        <v>161</v>
      </c>
      <c r="F1278" s="461" t="s">
        <v>8326</v>
      </c>
    </row>
    <row r="1279" spans="1:6" ht="15" x14ac:dyDescent="0.25">
      <c r="A1279" s="461">
        <v>39345</v>
      </c>
      <c r="B1279" s="460" t="s">
        <v>9513</v>
      </c>
      <c r="C1279" s="461" t="s">
        <v>1104</v>
      </c>
      <c r="D1279" s="461">
        <v>20.190000000000001</v>
      </c>
      <c r="E1279" s="461" t="s">
        <v>161</v>
      </c>
      <c r="F1279" s="461" t="s">
        <v>8326</v>
      </c>
    </row>
    <row r="1280" spans="1:6" ht="15" x14ac:dyDescent="0.25">
      <c r="A1280" s="461">
        <v>39344</v>
      </c>
      <c r="B1280" s="460" t="s">
        <v>9514</v>
      </c>
      <c r="C1280" s="461" t="s">
        <v>1104</v>
      </c>
      <c r="D1280" s="461">
        <v>14.42</v>
      </c>
      <c r="E1280" s="461" t="s">
        <v>161</v>
      </c>
      <c r="F1280" s="461" t="s">
        <v>8326</v>
      </c>
    </row>
    <row r="1281" spans="1:6" ht="30" x14ac:dyDescent="0.25">
      <c r="A1281" s="461">
        <v>12623</v>
      </c>
      <c r="B1281" s="460" t="s">
        <v>9515</v>
      </c>
      <c r="C1281" s="461" t="s">
        <v>1107</v>
      </c>
      <c r="D1281" s="461">
        <v>36.89</v>
      </c>
      <c r="E1281" s="461" t="s">
        <v>161</v>
      </c>
      <c r="F1281" s="461" t="s">
        <v>8326</v>
      </c>
    </row>
    <row r="1282" spans="1:6" ht="15" x14ac:dyDescent="0.25">
      <c r="A1282" s="461">
        <v>34498</v>
      </c>
      <c r="B1282" s="460" t="s">
        <v>9516</v>
      </c>
      <c r="C1282" s="461" t="s">
        <v>1104</v>
      </c>
      <c r="D1282" s="461">
        <v>80.25</v>
      </c>
      <c r="E1282" s="461" t="s">
        <v>161</v>
      </c>
      <c r="F1282" s="461" t="s">
        <v>8326</v>
      </c>
    </row>
    <row r="1283" spans="1:6" ht="15" x14ac:dyDescent="0.25">
      <c r="A1283" s="461">
        <v>13244</v>
      </c>
      <c r="B1283" s="460" t="s">
        <v>9517</v>
      </c>
      <c r="C1283" s="461" t="s">
        <v>1104</v>
      </c>
      <c r="D1283" s="461">
        <v>33.78</v>
      </c>
      <c r="E1283" s="461" t="s">
        <v>161</v>
      </c>
      <c r="F1283" s="461" t="s">
        <v>8333</v>
      </c>
    </row>
    <row r="1284" spans="1:6" ht="30" x14ac:dyDescent="0.25">
      <c r="A1284" s="461">
        <v>38998</v>
      </c>
      <c r="B1284" s="460" t="s">
        <v>9518</v>
      </c>
      <c r="C1284" s="461" t="s">
        <v>1104</v>
      </c>
      <c r="D1284" s="461">
        <v>11.83</v>
      </c>
      <c r="E1284" s="461" t="s">
        <v>161</v>
      </c>
      <c r="F1284" s="461" t="s">
        <v>8326</v>
      </c>
    </row>
    <row r="1285" spans="1:6" ht="30" x14ac:dyDescent="0.25">
      <c r="A1285" s="461">
        <v>38999</v>
      </c>
      <c r="B1285" s="460" t="s">
        <v>9519</v>
      </c>
      <c r="C1285" s="461" t="s">
        <v>1104</v>
      </c>
      <c r="D1285" s="461">
        <v>29.91</v>
      </c>
      <c r="E1285" s="461" t="s">
        <v>161</v>
      </c>
      <c r="F1285" s="461" t="s">
        <v>8326</v>
      </c>
    </row>
    <row r="1286" spans="1:6" ht="30" x14ac:dyDescent="0.25">
      <c r="A1286" s="461">
        <v>38996</v>
      </c>
      <c r="B1286" s="460" t="s">
        <v>9520</v>
      </c>
      <c r="C1286" s="461" t="s">
        <v>1104</v>
      </c>
      <c r="D1286" s="461">
        <v>21.14</v>
      </c>
      <c r="E1286" s="461" t="s">
        <v>161</v>
      </c>
      <c r="F1286" s="461" t="s">
        <v>8326</v>
      </c>
    </row>
    <row r="1287" spans="1:6" ht="30" x14ac:dyDescent="0.25">
      <c r="A1287" s="461">
        <v>44173</v>
      </c>
      <c r="B1287" s="460" t="s">
        <v>9521</v>
      </c>
      <c r="C1287" s="461" t="s">
        <v>1104</v>
      </c>
      <c r="D1287" s="461">
        <v>20.56</v>
      </c>
      <c r="E1287" s="461" t="s">
        <v>161</v>
      </c>
      <c r="F1287" s="461" t="s">
        <v>8326</v>
      </c>
    </row>
    <row r="1288" spans="1:6" ht="30" x14ac:dyDescent="0.25">
      <c r="A1288" s="461">
        <v>44174</v>
      </c>
      <c r="B1288" s="460" t="s">
        <v>9522</v>
      </c>
      <c r="C1288" s="461" t="s">
        <v>1104</v>
      </c>
      <c r="D1288" s="461">
        <v>33.65</v>
      </c>
      <c r="E1288" s="461" t="s">
        <v>161</v>
      </c>
      <c r="F1288" s="461" t="s">
        <v>8326</v>
      </c>
    </row>
    <row r="1289" spans="1:6" ht="30" x14ac:dyDescent="0.25">
      <c r="A1289" s="461">
        <v>38997</v>
      </c>
      <c r="B1289" s="460" t="s">
        <v>9523</v>
      </c>
      <c r="C1289" s="461" t="s">
        <v>1104</v>
      </c>
      <c r="D1289" s="461">
        <v>30.25</v>
      </c>
      <c r="E1289" s="461" t="s">
        <v>161</v>
      </c>
      <c r="F1289" s="461" t="s">
        <v>8326</v>
      </c>
    </row>
    <row r="1290" spans="1:6" ht="15" x14ac:dyDescent="0.25">
      <c r="A1290" s="461">
        <v>39600</v>
      </c>
      <c r="B1290" s="460" t="s">
        <v>9524</v>
      </c>
      <c r="C1290" s="461" t="s">
        <v>1104</v>
      </c>
      <c r="D1290" s="461">
        <v>18.25</v>
      </c>
      <c r="E1290" s="461" t="s">
        <v>161</v>
      </c>
      <c r="F1290" s="461" t="s">
        <v>8326</v>
      </c>
    </row>
    <row r="1291" spans="1:6" ht="15" x14ac:dyDescent="0.25">
      <c r="A1291" s="461">
        <v>39601</v>
      </c>
      <c r="B1291" s="460" t="s">
        <v>9525</v>
      </c>
      <c r="C1291" s="461" t="s">
        <v>1104</v>
      </c>
      <c r="D1291" s="461">
        <v>38.700000000000003</v>
      </c>
      <c r="E1291" s="461" t="s">
        <v>161</v>
      </c>
      <c r="F1291" s="461" t="s">
        <v>8326</v>
      </c>
    </row>
    <row r="1292" spans="1:6" ht="30" x14ac:dyDescent="0.25">
      <c r="A1292" s="461">
        <v>39862</v>
      </c>
      <c r="B1292" s="460" t="s">
        <v>9526</v>
      </c>
      <c r="C1292" s="461" t="s">
        <v>1104</v>
      </c>
      <c r="D1292" s="461">
        <v>15.63</v>
      </c>
      <c r="E1292" s="461" t="s">
        <v>161</v>
      </c>
      <c r="F1292" s="461" t="s">
        <v>8326</v>
      </c>
    </row>
    <row r="1293" spans="1:6" ht="30" x14ac:dyDescent="0.25">
      <c r="A1293" s="461">
        <v>39863</v>
      </c>
      <c r="B1293" s="460" t="s">
        <v>9527</v>
      </c>
      <c r="C1293" s="461" t="s">
        <v>1104</v>
      </c>
      <c r="D1293" s="461">
        <v>15.85</v>
      </c>
      <c r="E1293" s="461" t="s">
        <v>161</v>
      </c>
      <c r="F1293" s="461" t="s">
        <v>8326</v>
      </c>
    </row>
    <row r="1294" spans="1:6" ht="30" x14ac:dyDescent="0.25">
      <c r="A1294" s="461">
        <v>39864</v>
      </c>
      <c r="B1294" s="460" t="s">
        <v>9528</v>
      </c>
      <c r="C1294" s="461" t="s">
        <v>1104</v>
      </c>
      <c r="D1294" s="461">
        <v>19.670000000000002</v>
      </c>
      <c r="E1294" s="461" t="s">
        <v>161</v>
      </c>
      <c r="F1294" s="461" t="s">
        <v>8326</v>
      </c>
    </row>
    <row r="1295" spans="1:6" ht="30" x14ac:dyDescent="0.25">
      <c r="A1295" s="461">
        <v>39865</v>
      </c>
      <c r="B1295" s="460" t="s">
        <v>9529</v>
      </c>
      <c r="C1295" s="461" t="s">
        <v>1104</v>
      </c>
      <c r="D1295" s="461">
        <v>27.73</v>
      </c>
      <c r="E1295" s="461" t="s">
        <v>161</v>
      </c>
      <c r="F1295" s="461" t="s">
        <v>8326</v>
      </c>
    </row>
    <row r="1296" spans="1:6" ht="30" x14ac:dyDescent="0.25">
      <c r="A1296" s="461">
        <v>2517</v>
      </c>
      <c r="B1296" s="460" t="s">
        <v>9530</v>
      </c>
      <c r="C1296" s="461" t="s">
        <v>1104</v>
      </c>
      <c r="D1296" s="461">
        <v>21.58</v>
      </c>
      <c r="E1296" s="461" t="s">
        <v>161</v>
      </c>
      <c r="F1296" s="461" t="s">
        <v>8326</v>
      </c>
    </row>
    <row r="1297" spans="1:6" ht="30" x14ac:dyDescent="0.25">
      <c r="A1297" s="461">
        <v>2522</v>
      </c>
      <c r="B1297" s="460" t="s">
        <v>9531</v>
      </c>
      <c r="C1297" s="461" t="s">
        <v>1104</v>
      </c>
      <c r="D1297" s="461">
        <v>13.95</v>
      </c>
      <c r="E1297" s="461" t="s">
        <v>161</v>
      </c>
      <c r="F1297" s="461" t="s">
        <v>8326</v>
      </c>
    </row>
    <row r="1298" spans="1:6" ht="30" x14ac:dyDescent="0.25">
      <c r="A1298" s="461">
        <v>2548</v>
      </c>
      <c r="B1298" s="460" t="s">
        <v>9532</v>
      </c>
      <c r="C1298" s="461" t="s">
        <v>1104</v>
      </c>
      <c r="D1298" s="461">
        <v>8.58</v>
      </c>
      <c r="E1298" s="461" t="s">
        <v>161</v>
      </c>
      <c r="F1298" s="461" t="s">
        <v>8326</v>
      </c>
    </row>
    <row r="1299" spans="1:6" ht="30" x14ac:dyDescent="0.25">
      <c r="A1299" s="461">
        <v>2516</v>
      </c>
      <c r="B1299" s="460" t="s">
        <v>9533</v>
      </c>
      <c r="C1299" s="461" t="s">
        <v>1104</v>
      </c>
      <c r="D1299" s="461">
        <v>11.2</v>
      </c>
      <c r="E1299" s="461" t="s">
        <v>161</v>
      </c>
      <c r="F1299" s="461" t="s">
        <v>8326</v>
      </c>
    </row>
    <row r="1300" spans="1:6" ht="30" x14ac:dyDescent="0.25">
      <c r="A1300" s="461">
        <v>2518</v>
      </c>
      <c r="B1300" s="460" t="s">
        <v>9534</v>
      </c>
      <c r="C1300" s="461" t="s">
        <v>1104</v>
      </c>
      <c r="D1300" s="461">
        <v>102.74</v>
      </c>
      <c r="E1300" s="461" t="s">
        <v>161</v>
      </c>
      <c r="F1300" s="461" t="s">
        <v>8326</v>
      </c>
    </row>
    <row r="1301" spans="1:6" ht="30" x14ac:dyDescent="0.25">
      <c r="A1301" s="461">
        <v>2521</v>
      </c>
      <c r="B1301" s="460" t="s">
        <v>9535</v>
      </c>
      <c r="C1301" s="461" t="s">
        <v>1104</v>
      </c>
      <c r="D1301" s="461">
        <v>43.73</v>
      </c>
      <c r="E1301" s="461" t="s">
        <v>161</v>
      </c>
      <c r="F1301" s="461" t="s">
        <v>8326</v>
      </c>
    </row>
    <row r="1302" spans="1:6" ht="30" x14ac:dyDescent="0.25">
      <c r="A1302" s="461">
        <v>2515</v>
      </c>
      <c r="B1302" s="460" t="s">
        <v>9536</v>
      </c>
      <c r="C1302" s="461" t="s">
        <v>1104</v>
      </c>
      <c r="D1302" s="461">
        <v>9.32</v>
      </c>
      <c r="E1302" s="461" t="s">
        <v>161</v>
      </c>
      <c r="F1302" s="461" t="s">
        <v>8326</v>
      </c>
    </row>
    <row r="1303" spans="1:6" ht="30" x14ac:dyDescent="0.25">
      <c r="A1303" s="461">
        <v>2519</v>
      </c>
      <c r="B1303" s="460" t="s">
        <v>9537</v>
      </c>
      <c r="C1303" s="461" t="s">
        <v>1104</v>
      </c>
      <c r="D1303" s="461">
        <v>123.88</v>
      </c>
      <c r="E1303" s="461" t="s">
        <v>161</v>
      </c>
      <c r="F1303" s="461" t="s">
        <v>8326</v>
      </c>
    </row>
    <row r="1304" spans="1:6" ht="30" x14ac:dyDescent="0.25">
      <c r="A1304" s="461">
        <v>2520</v>
      </c>
      <c r="B1304" s="460" t="s">
        <v>9538</v>
      </c>
      <c r="C1304" s="461" t="s">
        <v>1104</v>
      </c>
      <c r="D1304" s="461">
        <v>228.01</v>
      </c>
      <c r="E1304" s="461" t="s">
        <v>161</v>
      </c>
      <c r="F1304" s="461" t="s">
        <v>8326</v>
      </c>
    </row>
    <row r="1305" spans="1:6" ht="30" x14ac:dyDescent="0.25">
      <c r="A1305" s="461">
        <v>1602</v>
      </c>
      <c r="B1305" s="460" t="s">
        <v>9539</v>
      </c>
      <c r="C1305" s="461" t="s">
        <v>1104</v>
      </c>
      <c r="D1305" s="461">
        <v>50.96</v>
      </c>
      <c r="E1305" s="461" t="s">
        <v>161</v>
      </c>
      <c r="F1305" s="461" t="s">
        <v>8326</v>
      </c>
    </row>
    <row r="1306" spans="1:6" ht="30" x14ac:dyDescent="0.25">
      <c r="A1306" s="461">
        <v>1601</v>
      </c>
      <c r="B1306" s="460" t="s">
        <v>9540</v>
      </c>
      <c r="C1306" s="461" t="s">
        <v>1104</v>
      </c>
      <c r="D1306" s="461">
        <v>45.41</v>
      </c>
      <c r="E1306" s="461" t="s">
        <v>161</v>
      </c>
      <c r="F1306" s="461" t="s">
        <v>8326</v>
      </c>
    </row>
    <row r="1307" spans="1:6" ht="30" x14ac:dyDescent="0.25">
      <c r="A1307" s="461">
        <v>1598</v>
      </c>
      <c r="B1307" s="460" t="s">
        <v>9541</v>
      </c>
      <c r="C1307" s="461" t="s">
        <v>1104</v>
      </c>
      <c r="D1307" s="461">
        <v>13.44</v>
      </c>
      <c r="E1307" s="461" t="s">
        <v>161</v>
      </c>
      <c r="F1307" s="461" t="s">
        <v>8326</v>
      </c>
    </row>
    <row r="1308" spans="1:6" ht="30" x14ac:dyDescent="0.25">
      <c r="A1308" s="461">
        <v>1600</v>
      </c>
      <c r="B1308" s="460" t="s">
        <v>9542</v>
      </c>
      <c r="C1308" s="461" t="s">
        <v>1104</v>
      </c>
      <c r="D1308" s="461">
        <v>19.84</v>
      </c>
      <c r="E1308" s="461" t="s">
        <v>161</v>
      </c>
      <c r="F1308" s="461" t="s">
        <v>8326</v>
      </c>
    </row>
    <row r="1309" spans="1:6" ht="30" x14ac:dyDescent="0.25">
      <c r="A1309" s="461">
        <v>1603</v>
      </c>
      <c r="B1309" s="460" t="s">
        <v>9543</v>
      </c>
      <c r="C1309" s="461" t="s">
        <v>1104</v>
      </c>
      <c r="D1309" s="461">
        <v>76.94</v>
      </c>
      <c r="E1309" s="461" t="s">
        <v>161</v>
      </c>
      <c r="F1309" s="461" t="s">
        <v>8326</v>
      </c>
    </row>
    <row r="1310" spans="1:6" ht="30" x14ac:dyDescent="0.25">
      <c r="A1310" s="461">
        <v>1599</v>
      </c>
      <c r="B1310" s="460" t="s">
        <v>9544</v>
      </c>
      <c r="C1310" s="461" t="s">
        <v>1104</v>
      </c>
      <c r="D1310" s="461">
        <v>15.59</v>
      </c>
      <c r="E1310" s="461" t="s">
        <v>161</v>
      </c>
      <c r="F1310" s="461" t="s">
        <v>8326</v>
      </c>
    </row>
    <row r="1311" spans="1:6" ht="30" x14ac:dyDescent="0.25">
      <c r="A1311" s="461">
        <v>1597</v>
      </c>
      <c r="B1311" s="460" t="s">
        <v>9545</v>
      </c>
      <c r="C1311" s="461" t="s">
        <v>1104</v>
      </c>
      <c r="D1311" s="461">
        <v>12.63</v>
      </c>
      <c r="E1311" s="461" t="s">
        <v>161</v>
      </c>
      <c r="F1311" s="461" t="s">
        <v>8326</v>
      </c>
    </row>
    <row r="1312" spans="1:6" ht="15" x14ac:dyDescent="0.25">
      <c r="A1312" s="461">
        <v>39602</v>
      </c>
      <c r="B1312" s="460" t="s">
        <v>9546</v>
      </c>
      <c r="C1312" s="461" t="s">
        <v>1104</v>
      </c>
      <c r="D1312" s="461">
        <v>1.93</v>
      </c>
      <c r="E1312" s="461" t="s">
        <v>161</v>
      </c>
      <c r="F1312" s="461" t="s">
        <v>8326</v>
      </c>
    </row>
    <row r="1313" spans="1:6" ht="15" x14ac:dyDescent="0.25">
      <c r="A1313" s="461">
        <v>39603</v>
      </c>
      <c r="B1313" s="460" t="s">
        <v>9547</v>
      </c>
      <c r="C1313" s="461" t="s">
        <v>1104</v>
      </c>
      <c r="D1313" s="461">
        <v>4.12</v>
      </c>
      <c r="E1313" s="461" t="s">
        <v>161</v>
      </c>
      <c r="F1313" s="461" t="s">
        <v>8326</v>
      </c>
    </row>
    <row r="1314" spans="1:6" ht="30" x14ac:dyDescent="0.25">
      <c r="A1314" s="461">
        <v>11821</v>
      </c>
      <c r="B1314" s="460" t="s">
        <v>9548</v>
      </c>
      <c r="C1314" s="461" t="s">
        <v>1104</v>
      </c>
      <c r="D1314" s="461">
        <v>10.38</v>
      </c>
      <c r="E1314" s="461" t="s">
        <v>161</v>
      </c>
      <c r="F1314" s="461" t="s">
        <v>8326</v>
      </c>
    </row>
    <row r="1315" spans="1:6" ht="30" x14ac:dyDescent="0.25">
      <c r="A1315" s="461">
        <v>1562</v>
      </c>
      <c r="B1315" s="460" t="s">
        <v>9549</v>
      </c>
      <c r="C1315" s="461" t="s">
        <v>1104</v>
      </c>
      <c r="D1315" s="461">
        <v>17</v>
      </c>
      <c r="E1315" s="461" t="s">
        <v>161</v>
      </c>
      <c r="F1315" s="461" t="s">
        <v>8326</v>
      </c>
    </row>
    <row r="1316" spans="1:6" ht="30" x14ac:dyDescent="0.25">
      <c r="A1316" s="461">
        <v>1563</v>
      </c>
      <c r="B1316" s="460" t="s">
        <v>9550</v>
      </c>
      <c r="C1316" s="461" t="s">
        <v>1104</v>
      </c>
      <c r="D1316" s="461">
        <v>22.81</v>
      </c>
      <c r="E1316" s="461" t="s">
        <v>161</v>
      </c>
      <c r="F1316" s="461" t="s">
        <v>8326</v>
      </c>
    </row>
    <row r="1317" spans="1:6" ht="30" x14ac:dyDescent="0.25">
      <c r="A1317" s="461">
        <v>11856</v>
      </c>
      <c r="B1317" s="460" t="s">
        <v>9551</v>
      </c>
      <c r="C1317" s="461" t="s">
        <v>1104</v>
      </c>
      <c r="D1317" s="461">
        <v>6.8</v>
      </c>
      <c r="E1317" s="461" t="s">
        <v>161</v>
      </c>
      <c r="F1317" s="461" t="s">
        <v>8333</v>
      </c>
    </row>
    <row r="1318" spans="1:6" ht="30" x14ac:dyDescent="0.25">
      <c r="A1318" s="461">
        <v>11857</v>
      </c>
      <c r="B1318" s="460" t="s">
        <v>9552</v>
      </c>
      <c r="C1318" s="461" t="s">
        <v>1104</v>
      </c>
      <c r="D1318" s="461">
        <v>35.79</v>
      </c>
      <c r="E1318" s="461" t="s">
        <v>161</v>
      </c>
      <c r="F1318" s="461" t="s">
        <v>8326</v>
      </c>
    </row>
    <row r="1319" spans="1:6" ht="30" x14ac:dyDescent="0.25">
      <c r="A1319" s="461">
        <v>11858</v>
      </c>
      <c r="B1319" s="460" t="s">
        <v>9553</v>
      </c>
      <c r="C1319" s="461" t="s">
        <v>1104</v>
      </c>
      <c r="D1319" s="461">
        <v>44.42</v>
      </c>
      <c r="E1319" s="461" t="s">
        <v>161</v>
      </c>
      <c r="F1319" s="461" t="s">
        <v>8326</v>
      </c>
    </row>
    <row r="1320" spans="1:6" ht="30" x14ac:dyDescent="0.25">
      <c r="A1320" s="461">
        <v>1539</v>
      </c>
      <c r="B1320" s="460" t="s">
        <v>9554</v>
      </c>
      <c r="C1320" s="461" t="s">
        <v>1104</v>
      </c>
      <c r="D1320" s="461">
        <v>7.99</v>
      </c>
      <c r="E1320" s="461" t="s">
        <v>161</v>
      </c>
      <c r="F1320" s="461" t="s">
        <v>8326</v>
      </c>
    </row>
    <row r="1321" spans="1:6" ht="30" x14ac:dyDescent="0.25">
      <c r="A1321" s="461">
        <v>11859</v>
      </c>
      <c r="B1321" s="460" t="s">
        <v>9555</v>
      </c>
      <c r="C1321" s="461" t="s">
        <v>1104</v>
      </c>
      <c r="D1321" s="461">
        <v>60.43</v>
      </c>
      <c r="E1321" s="461" t="s">
        <v>161</v>
      </c>
      <c r="F1321" s="461" t="s">
        <v>8326</v>
      </c>
    </row>
    <row r="1322" spans="1:6" ht="30" x14ac:dyDescent="0.25">
      <c r="A1322" s="461">
        <v>1550</v>
      </c>
      <c r="B1322" s="460" t="s">
        <v>9556</v>
      </c>
      <c r="C1322" s="461" t="s">
        <v>1104</v>
      </c>
      <c r="D1322" s="461">
        <v>8.43</v>
      </c>
      <c r="E1322" s="461" t="s">
        <v>161</v>
      </c>
      <c r="F1322" s="461" t="s">
        <v>8326</v>
      </c>
    </row>
    <row r="1323" spans="1:6" ht="30" x14ac:dyDescent="0.25">
      <c r="A1323" s="461">
        <v>11854</v>
      </c>
      <c r="B1323" s="460" t="s">
        <v>9557</v>
      </c>
      <c r="C1323" s="461" t="s">
        <v>1104</v>
      </c>
      <c r="D1323" s="461">
        <v>10.53</v>
      </c>
      <c r="E1323" s="461" t="s">
        <v>161</v>
      </c>
      <c r="F1323" s="461" t="s">
        <v>8326</v>
      </c>
    </row>
    <row r="1324" spans="1:6" ht="30" x14ac:dyDescent="0.25">
      <c r="A1324" s="461">
        <v>11862</v>
      </c>
      <c r="B1324" s="460" t="s">
        <v>9558</v>
      </c>
      <c r="C1324" s="461" t="s">
        <v>1104</v>
      </c>
      <c r="D1324" s="461">
        <v>14.78</v>
      </c>
      <c r="E1324" s="461" t="s">
        <v>161</v>
      </c>
      <c r="F1324" s="461" t="s">
        <v>8326</v>
      </c>
    </row>
    <row r="1325" spans="1:6" ht="30" x14ac:dyDescent="0.25">
      <c r="A1325" s="461">
        <v>11863</v>
      </c>
      <c r="B1325" s="460" t="s">
        <v>9559</v>
      </c>
      <c r="C1325" s="461" t="s">
        <v>1104</v>
      </c>
      <c r="D1325" s="461">
        <v>5.96</v>
      </c>
      <c r="E1325" s="461" t="s">
        <v>161</v>
      </c>
      <c r="F1325" s="461" t="s">
        <v>8326</v>
      </c>
    </row>
    <row r="1326" spans="1:6" ht="30" x14ac:dyDescent="0.25">
      <c r="A1326" s="461">
        <v>11855</v>
      </c>
      <c r="B1326" s="460" t="s">
        <v>9560</v>
      </c>
      <c r="C1326" s="461" t="s">
        <v>1104</v>
      </c>
      <c r="D1326" s="461">
        <v>22.06</v>
      </c>
      <c r="E1326" s="461" t="s">
        <v>161</v>
      </c>
      <c r="F1326" s="461" t="s">
        <v>8326</v>
      </c>
    </row>
    <row r="1327" spans="1:6" ht="30" x14ac:dyDescent="0.25">
      <c r="A1327" s="461">
        <v>11864</v>
      </c>
      <c r="B1327" s="460" t="s">
        <v>9561</v>
      </c>
      <c r="C1327" s="461" t="s">
        <v>1104</v>
      </c>
      <c r="D1327" s="461">
        <v>33.35</v>
      </c>
      <c r="E1327" s="461" t="s">
        <v>161</v>
      </c>
      <c r="F1327" s="461" t="s">
        <v>8326</v>
      </c>
    </row>
    <row r="1328" spans="1:6" ht="30" x14ac:dyDescent="0.25">
      <c r="A1328" s="461">
        <v>2527</v>
      </c>
      <c r="B1328" s="460" t="s">
        <v>9562</v>
      </c>
      <c r="C1328" s="461" t="s">
        <v>1104</v>
      </c>
      <c r="D1328" s="461">
        <v>7.72</v>
      </c>
      <c r="E1328" s="461" t="s">
        <v>161</v>
      </c>
      <c r="F1328" s="461" t="s">
        <v>8326</v>
      </c>
    </row>
    <row r="1329" spans="1:6" ht="30" x14ac:dyDescent="0.25">
      <c r="A1329" s="461">
        <v>2526</v>
      </c>
      <c r="B1329" s="460" t="s">
        <v>9563</v>
      </c>
      <c r="C1329" s="461" t="s">
        <v>1104</v>
      </c>
      <c r="D1329" s="461">
        <v>4.95</v>
      </c>
      <c r="E1329" s="461" t="s">
        <v>161</v>
      </c>
      <c r="F1329" s="461" t="s">
        <v>8326</v>
      </c>
    </row>
    <row r="1330" spans="1:6" ht="30" x14ac:dyDescent="0.25">
      <c r="A1330" s="461">
        <v>2487</v>
      </c>
      <c r="B1330" s="460" t="s">
        <v>9564</v>
      </c>
      <c r="C1330" s="461" t="s">
        <v>1104</v>
      </c>
      <c r="D1330" s="461">
        <v>1.69</v>
      </c>
      <c r="E1330" s="461" t="s">
        <v>161</v>
      </c>
      <c r="F1330" s="461" t="s">
        <v>8326</v>
      </c>
    </row>
    <row r="1331" spans="1:6" ht="30" x14ac:dyDescent="0.25">
      <c r="A1331" s="461">
        <v>2483</v>
      </c>
      <c r="B1331" s="460" t="s">
        <v>9565</v>
      </c>
      <c r="C1331" s="461" t="s">
        <v>1104</v>
      </c>
      <c r="D1331" s="461">
        <v>3.52</v>
      </c>
      <c r="E1331" s="461" t="s">
        <v>161</v>
      </c>
      <c r="F1331" s="461" t="s">
        <v>8326</v>
      </c>
    </row>
    <row r="1332" spans="1:6" ht="30" x14ac:dyDescent="0.25">
      <c r="A1332" s="461">
        <v>2528</v>
      </c>
      <c r="B1332" s="460" t="s">
        <v>9566</v>
      </c>
      <c r="C1332" s="461" t="s">
        <v>1104</v>
      </c>
      <c r="D1332" s="461">
        <v>19.440000000000001</v>
      </c>
      <c r="E1332" s="461" t="s">
        <v>161</v>
      </c>
      <c r="F1332" s="461" t="s">
        <v>8326</v>
      </c>
    </row>
    <row r="1333" spans="1:6" ht="30" x14ac:dyDescent="0.25">
      <c r="A1333" s="461">
        <v>2489</v>
      </c>
      <c r="B1333" s="460" t="s">
        <v>9567</v>
      </c>
      <c r="C1333" s="461" t="s">
        <v>1104</v>
      </c>
      <c r="D1333" s="461">
        <v>8.56</v>
      </c>
      <c r="E1333" s="461" t="s">
        <v>161</v>
      </c>
      <c r="F1333" s="461" t="s">
        <v>8326</v>
      </c>
    </row>
    <row r="1334" spans="1:6" ht="30" x14ac:dyDescent="0.25">
      <c r="A1334" s="461">
        <v>2488</v>
      </c>
      <c r="B1334" s="460" t="s">
        <v>9568</v>
      </c>
      <c r="C1334" s="461" t="s">
        <v>1104</v>
      </c>
      <c r="D1334" s="461">
        <v>1.98</v>
      </c>
      <c r="E1334" s="461" t="s">
        <v>161</v>
      </c>
      <c r="F1334" s="461" t="s">
        <v>8326</v>
      </c>
    </row>
    <row r="1335" spans="1:6" ht="30" x14ac:dyDescent="0.25">
      <c r="A1335" s="461">
        <v>2484</v>
      </c>
      <c r="B1335" s="460" t="s">
        <v>9569</v>
      </c>
      <c r="C1335" s="461" t="s">
        <v>1104</v>
      </c>
      <c r="D1335" s="461">
        <v>28.23</v>
      </c>
      <c r="E1335" s="461" t="s">
        <v>161</v>
      </c>
      <c r="F1335" s="461" t="s">
        <v>8326</v>
      </c>
    </row>
    <row r="1336" spans="1:6" ht="30" x14ac:dyDescent="0.25">
      <c r="A1336" s="461">
        <v>2485</v>
      </c>
      <c r="B1336" s="460" t="s">
        <v>9570</v>
      </c>
      <c r="C1336" s="461" t="s">
        <v>1104</v>
      </c>
      <c r="D1336" s="461">
        <v>44.25</v>
      </c>
      <c r="E1336" s="461" t="s">
        <v>161</v>
      </c>
      <c r="F1336" s="461" t="s">
        <v>8326</v>
      </c>
    </row>
    <row r="1337" spans="1:6" ht="30" x14ac:dyDescent="0.25">
      <c r="A1337" s="461">
        <v>39279</v>
      </c>
      <c r="B1337" s="460" t="s">
        <v>9571</v>
      </c>
      <c r="C1337" s="461" t="s">
        <v>1104</v>
      </c>
      <c r="D1337" s="461">
        <v>8.52</v>
      </c>
      <c r="E1337" s="461" t="s">
        <v>161</v>
      </c>
      <c r="F1337" s="461" t="s">
        <v>8328</v>
      </c>
    </row>
    <row r="1338" spans="1:6" ht="30" x14ac:dyDescent="0.25">
      <c r="A1338" s="461">
        <v>39280</v>
      </c>
      <c r="B1338" s="460" t="s">
        <v>9572</v>
      </c>
      <c r="C1338" s="461" t="s">
        <v>1104</v>
      </c>
      <c r="D1338" s="461">
        <v>9.5399999999999991</v>
      </c>
      <c r="E1338" s="461" t="s">
        <v>161</v>
      </c>
      <c r="F1338" s="461" t="s">
        <v>8328</v>
      </c>
    </row>
    <row r="1339" spans="1:6" ht="30" x14ac:dyDescent="0.25">
      <c r="A1339" s="461">
        <v>39281</v>
      </c>
      <c r="B1339" s="460" t="s">
        <v>9573</v>
      </c>
      <c r="C1339" s="461" t="s">
        <v>1104</v>
      </c>
      <c r="D1339" s="461">
        <v>12.61</v>
      </c>
      <c r="E1339" s="461" t="s">
        <v>161</v>
      </c>
      <c r="F1339" s="461" t="s">
        <v>8328</v>
      </c>
    </row>
    <row r="1340" spans="1:6" ht="30" x14ac:dyDescent="0.25">
      <c r="A1340" s="461">
        <v>39282</v>
      </c>
      <c r="B1340" s="460" t="s">
        <v>9574</v>
      </c>
      <c r="C1340" s="461" t="s">
        <v>1104</v>
      </c>
      <c r="D1340" s="461">
        <v>17.61</v>
      </c>
      <c r="E1340" s="461" t="s">
        <v>161</v>
      </c>
      <c r="F1340" s="461" t="s">
        <v>8328</v>
      </c>
    </row>
    <row r="1341" spans="1:6" ht="30" x14ac:dyDescent="0.25">
      <c r="A1341" s="461">
        <v>38844</v>
      </c>
      <c r="B1341" s="460" t="s">
        <v>9575</v>
      </c>
      <c r="C1341" s="461" t="s">
        <v>1104</v>
      </c>
      <c r="D1341" s="461">
        <v>8.64</v>
      </c>
      <c r="E1341" s="461" t="s">
        <v>161</v>
      </c>
      <c r="F1341" s="461" t="s">
        <v>8328</v>
      </c>
    </row>
    <row r="1342" spans="1:6" ht="30" x14ac:dyDescent="0.25">
      <c r="A1342" s="461">
        <v>38846</v>
      </c>
      <c r="B1342" s="460" t="s">
        <v>9576</v>
      </c>
      <c r="C1342" s="461" t="s">
        <v>1104</v>
      </c>
      <c r="D1342" s="461">
        <v>8.7899999999999991</v>
      </c>
      <c r="E1342" s="461" t="s">
        <v>161</v>
      </c>
      <c r="F1342" s="461" t="s">
        <v>8328</v>
      </c>
    </row>
    <row r="1343" spans="1:6" ht="30" x14ac:dyDescent="0.25">
      <c r="A1343" s="461">
        <v>38847</v>
      </c>
      <c r="B1343" s="460" t="s">
        <v>9577</v>
      </c>
      <c r="C1343" s="461" t="s">
        <v>1104</v>
      </c>
      <c r="D1343" s="461">
        <v>10.3</v>
      </c>
      <c r="E1343" s="461" t="s">
        <v>161</v>
      </c>
      <c r="F1343" s="461" t="s">
        <v>8328</v>
      </c>
    </row>
    <row r="1344" spans="1:6" ht="30" x14ac:dyDescent="0.25">
      <c r="A1344" s="461">
        <v>38850</v>
      </c>
      <c r="B1344" s="460" t="s">
        <v>9578</v>
      </c>
      <c r="C1344" s="461" t="s">
        <v>1104</v>
      </c>
      <c r="D1344" s="461">
        <v>18.59</v>
      </c>
      <c r="E1344" s="461" t="s">
        <v>161</v>
      </c>
      <c r="F1344" s="461" t="s">
        <v>8328</v>
      </c>
    </row>
    <row r="1345" spans="1:6" ht="30" x14ac:dyDescent="0.25">
      <c r="A1345" s="461">
        <v>38848</v>
      </c>
      <c r="B1345" s="460" t="s">
        <v>9579</v>
      </c>
      <c r="C1345" s="461" t="s">
        <v>1104</v>
      </c>
      <c r="D1345" s="461">
        <v>12.19</v>
      </c>
      <c r="E1345" s="461" t="s">
        <v>161</v>
      </c>
      <c r="F1345" s="461" t="s">
        <v>8328</v>
      </c>
    </row>
    <row r="1346" spans="1:6" ht="30" x14ac:dyDescent="0.25">
      <c r="A1346" s="461">
        <v>38851</v>
      </c>
      <c r="B1346" s="460" t="s">
        <v>9580</v>
      </c>
      <c r="C1346" s="461" t="s">
        <v>1104</v>
      </c>
      <c r="D1346" s="461">
        <v>21.03</v>
      </c>
      <c r="E1346" s="461" t="s">
        <v>161</v>
      </c>
      <c r="F1346" s="461" t="s">
        <v>8328</v>
      </c>
    </row>
    <row r="1347" spans="1:6" ht="30" x14ac:dyDescent="0.25">
      <c r="A1347" s="461">
        <v>38854</v>
      </c>
      <c r="B1347" s="460" t="s">
        <v>9581</v>
      </c>
      <c r="C1347" s="461" t="s">
        <v>1104</v>
      </c>
      <c r="D1347" s="461">
        <v>9.1300000000000008</v>
      </c>
      <c r="E1347" s="461" t="s">
        <v>161</v>
      </c>
      <c r="F1347" s="461" t="s">
        <v>8328</v>
      </c>
    </row>
    <row r="1348" spans="1:6" ht="15" x14ac:dyDescent="0.25">
      <c r="A1348" s="461">
        <v>44247</v>
      </c>
      <c r="B1348" s="460" t="s">
        <v>9582</v>
      </c>
      <c r="C1348" s="461" t="s">
        <v>1104</v>
      </c>
      <c r="D1348" s="461">
        <v>1303.3699999999999</v>
      </c>
      <c r="E1348" s="461" t="s">
        <v>161</v>
      </c>
      <c r="F1348" s="461" t="s">
        <v>8326</v>
      </c>
    </row>
    <row r="1349" spans="1:6" ht="15" x14ac:dyDescent="0.25">
      <c r="A1349" s="461">
        <v>38005</v>
      </c>
      <c r="B1349" s="460" t="s">
        <v>9583</v>
      </c>
      <c r="C1349" s="461" t="s">
        <v>1104</v>
      </c>
      <c r="D1349" s="461">
        <v>15.5</v>
      </c>
      <c r="E1349" s="461" t="s">
        <v>161</v>
      </c>
      <c r="F1349" s="461" t="s">
        <v>8326</v>
      </c>
    </row>
    <row r="1350" spans="1:6" ht="15" x14ac:dyDescent="0.25">
      <c r="A1350" s="461">
        <v>38006</v>
      </c>
      <c r="B1350" s="460" t="s">
        <v>9584</v>
      </c>
      <c r="C1350" s="461" t="s">
        <v>1104</v>
      </c>
      <c r="D1350" s="461">
        <v>20.59</v>
      </c>
      <c r="E1350" s="461" t="s">
        <v>161</v>
      </c>
      <c r="F1350" s="461" t="s">
        <v>8326</v>
      </c>
    </row>
    <row r="1351" spans="1:6" ht="15" x14ac:dyDescent="0.25">
      <c r="A1351" s="461">
        <v>38428</v>
      </c>
      <c r="B1351" s="460" t="s">
        <v>9585</v>
      </c>
      <c r="C1351" s="461" t="s">
        <v>1104</v>
      </c>
      <c r="D1351" s="461">
        <v>18.440000000000001</v>
      </c>
      <c r="E1351" s="461" t="s">
        <v>161</v>
      </c>
      <c r="F1351" s="461" t="s">
        <v>8326</v>
      </c>
    </row>
    <row r="1352" spans="1:6" ht="15" x14ac:dyDescent="0.25">
      <c r="A1352" s="461">
        <v>38007</v>
      </c>
      <c r="B1352" s="460" t="s">
        <v>9586</v>
      </c>
      <c r="C1352" s="461" t="s">
        <v>1104</v>
      </c>
      <c r="D1352" s="461">
        <v>23.76</v>
      </c>
      <c r="E1352" s="461" t="s">
        <v>161</v>
      </c>
      <c r="F1352" s="461" t="s">
        <v>8326</v>
      </c>
    </row>
    <row r="1353" spans="1:6" ht="15" x14ac:dyDescent="0.25">
      <c r="A1353" s="461">
        <v>38008</v>
      </c>
      <c r="B1353" s="460" t="s">
        <v>9587</v>
      </c>
      <c r="C1353" s="461" t="s">
        <v>1104</v>
      </c>
      <c r="D1353" s="511">
        <v>38.020000000000003</v>
      </c>
      <c r="E1353" s="461" t="s">
        <v>161</v>
      </c>
      <c r="F1353" s="461" t="s">
        <v>8326</v>
      </c>
    </row>
    <row r="1354" spans="1:6" ht="15" x14ac:dyDescent="0.25">
      <c r="A1354" s="461">
        <v>38009</v>
      </c>
      <c r="B1354" s="460" t="s">
        <v>9588</v>
      </c>
      <c r="C1354" s="461" t="s">
        <v>1104</v>
      </c>
      <c r="D1354" s="461">
        <v>46.54</v>
      </c>
      <c r="E1354" s="461" t="s">
        <v>161</v>
      </c>
      <c r="F1354" s="461" t="s">
        <v>8326</v>
      </c>
    </row>
    <row r="1355" spans="1:6" ht="15" x14ac:dyDescent="0.25">
      <c r="A1355" s="461">
        <v>44248</v>
      </c>
      <c r="B1355" s="460" t="s">
        <v>9589</v>
      </c>
      <c r="C1355" s="461" t="s">
        <v>1104</v>
      </c>
      <c r="D1355" s="461">
        <v>75.87</v>
      </c>
      <c r="E1355" s="461" t="s">
        <v>161</v>
      </c>
      <c r="F1355" s="461" t="s">
        <v>8326</v>
      </c>
    </row>
    <row r="1356" spans="1:6" ht="15" x14ac:dyDescent="0.25">
      <c r="A1356" s="461">
        <v>44249</v>
      </c>
      <c r="B1356" s="460" t="s">
        <v>9590</v>
      </c>
      <c r="C1356" s="461" t="s">
        <v>1104</v>
      </c>
      <c r="D1356" s="461">
        <v>292.72000000000003</v>
      </c>
      <c r="E1356" s="461" t="s">
        <v>161</v>
      </c>
      <c r="F1356" s="461" t="s">
        <v>8326</v>
      </c>
    </row>
    <row r="1357" spans="1:6" ht="15" x14ac:dyDescent="0.25">
      <c r="A1357" s="461">
        <v>44250</v>
      </c>
      <c r="B1357" s="460" t="s">
        <v>9591</v>
      </c>
      <c r="C1357" s="461" t="s">
        <v>1104</v>
      </c>
      <c r="D1357" s="461">
        <v>425.09</v>
      </c>
      <c r="E1357" s="461" t="s">
        <v>161</v>
      </c>
      <c r="F1357" s="461" t="s">
        <v>8326</v>
      </c>
    </row>
    <row r="1358" spans="1:6" ht="60" x14ac:dyDescent="0.25">
      <c r="A1358" s="461">
        <v>3104</v>
      </c>
      <c r="B1358" s="460" t="s">
        <v>9592</v>
      </c>
      <c r="C1358" s="461" t="s">
        <v>1115</v>
      </c>
      <c r="D1358" s="461">
        <v>170.67</v>
      </c>
      <c r="E1358" s="461" t="s">
        <v>161</v>
      </c>
      <c r="F1358" s="461" t="s">
        <v>8326</v>
      </c>
    </row>
    <row r="1359" spans="1:6" ht="30" x14ac:dyDescent="0.25">
      <c r="A1359" s="461">
        <v>1607</v>
      </c>
      <c r="B1359" s="460" t="s">
        <v>9593</v>
      </c>
      <c r="C1359" s="461" t="s">
        <v>1115</v>
      </c>
      <c r="D1359" s="461">
        <v>0.28000000000000003</v>
      </c>
      <c r="E1359" s="461" t="s">
        <v>161</v>
      </c>
      <c r="F1359" s="461" t="s">
        <v>8328</v>
      </c>
    </row>
    <row r="1360" spans="1:6" ht="30" x14ac:dyDescent="0.25">
      <c r="A1360" s="461">
        <v>38169</v>
      </c>
      <c r="B1360" s="460" t="s">
        <v>13150</v>
      </c>
      <c r="C1360" s="461" t="s">
        <v>1115</v>
      </c>
      <c r="D1360" s="461">
        <v>73.11</v>
      </c>
      <c r="E1360" s="461" t="s">
        <v>161</v>
      </c>
      <c r="F1360" s="461" t="s">
        <v>8326</v>
      </c>
    </row>
    <row r="1361" spans="1:6" ht="30" x14ac:dyDescent="0.25">
      <c r="A1361" s="461">
        <v>6142</v>
      </c>
      <c r="B1361" s="460" t="s">
        <v>13151</v>
      </c>
      <c r="C1361" s="461" t="s">
        <v>1104</v>
      </c>
      <c r="D1361" s="461">
        <v>9.64</v>
      </c>
      <c r="E1361" s="461" t="s">
        <v>161</v>
      </c>
      <c r="F1361" s="461" t="s">
        <v>8326</v>
      </c>
    </row>
    <row r="1362" spans="1:6" ht="30" x14ac:dyDescent="0.25">
      <c r="A1362" s="461">
        <v>11686</v>
      </c>
      <c r="B1362" s="460" t="s">
        <v>9594</v>
      </c>
      <c r="C1362" s="461" t="s">
        <v>1104</v>
      </c>
      <c r="D1362" s="461">
        <v>13.39</v>
      </c>
      <c r="E1362" s="461" t="s">
        <v>161</v>
      </c>
      <c r="F1362" s="461" t="s">
        <v>8326</v>
      </c>
    </row>
    <row r="1363" spans="1:6" ht="30" x14ac:dyDescent="0.25">
      <c r="A1363" s="461">
        <v>37598</v>
      </c>
      <c r="B1363" s="460" t="s">
        <v>9595</v>
      </c>
      <c r="C1363" s="461" t="s">
        <v>1104</v>
      </c>
      <c r="D1363" s="461">
        <v>42.05</v>
      </c>
      <c r="E1363" s="461" t="s">
        <v>161</v>
      </c>
      <c r="F1363" s="461" t="s">
        <v>8328</v>
      </c>
    </row>
    <row r="1364" spans="1:6" ht="45" x14ac:dyDescent="0.25">
      <c r="A1364" s="461">
        <v>25398</v>
      </c>
      <c r="B1364" s="460" t="s">
        <v>9596</v>
      </c>
      <c r="C1364" s="461" t="s">
        <v>1104</v>
      </c>
      <c r="D1364" s="461">
        <v>3691.33</v>
      </c>
      <c r="E1364" s="461" t="s">
        <v>161</v>
      </c>
      <c r="F1364" s="461" t="s">
        <v>8328</v>
      </c>
    </row>
    <row r="1365" spans="1:6" ht="45" x14ac:dyDescent="0.25">
      <c r="A1365" s="461">
        <v>25399</v>
      </c>
      <c r="B1365" s="460" t="s">
        <v>13152</v>
      </c>
      <c r="C1365" s="461" t="s">
        <v>1104</v>
      </c>
      <c r="D1365" s="461">
        <v>2240.96</v>
      </c>
      <c r="E1365" s="461" t="s">
        <v>161</v>
      </c>
      <c r="F1365" s="461" t="s">
        <v>8328</v>
      </c>
    </row>
    <row r="1366" spans="1:6" ht="30" x14ac:dyDescent="0.25">
      <c r="A1366" s="461">
        <v>43440</v>
      </c>
      <c r="B1366" s="460" t="s">
        <v>9597</v>
      </c>
      <c r="C1366" s="461" t="s">
        <v>1104</v>
      </c>
      <c r="D1366" s="461">
        <v>476.3</v>
      </c>
      <c r="E1366" s="461" t="s">
        <v>161</v>
      </c>
      <c r="F1366" s="461" t="s">
        <v>8326</v>
      </c>
    </row>
    <row r="1367" spans="1:6" ht="45" x14ac:dyDescent="0.25">
      <c r="A1367" s="461">
        <v>10667</v>
      </c>
      <c r="B1367" s="460" t="s">
        <v>9598</v>
      </c>
      <c r="C1367" s="461" t="s">
        <v>1104</v>
      </c>
      <c r="D1367" s="461">
        <v>19404</v>
      </c>
      <c r="E1367" s="461" t="s">
        <v>161</v>
      </c>
      <c r="F1367" s="461" t="s">
        <v>8328</v>
      </c>
    </row>
    <row r="1368" spans="1:6" ht="30" x14ac:dyDescent="0.25">
      <c r="A1368" s="461">
        <v>1613</v>
      </c>
      <c r="B1368" s="460" t="s">
        <v>9599</v>
      </c>
      <c r="C1368" s="461" t="s">
        <v>1104</v>
      </c>
      <c r="D1368" s="461">
        <v>1869.64</v>
      </c>
      <c r="E1368" s="461" t="s">
        <v>161</v>
      </c>
      <c r="F1368" s="461" t="s">
        <v>8326</v>
      </c>
    </row>
    <row r="1369" spans="1:6" ht="30" x14ac:dyDescent="0.25">
      <c r="A1369" s="461">
        <v>1626</v>
      </c>
      <c r="B1369" s="460" t="s">
        <v>9600</v>
      </c>
      <c r="C1369" s="461" t="s">
        <v>1104</v>
      </c>
      <c r="D1369" s="511">
        <v>2796.27</v>
      </c>
      <c r="E1369" s="461" t="s">
        <v>161</v>
      </c>
      <c r="F1369" s="461" t="s">
        <v>8326</v>
      </c>
    </row>
    <row r="1370" spans="1:6" ht="30" x14ac:dyDescent="0.25">
      <c r="A1370" s="461">
        <v>1625</v>
      </c>
      <c r="B1370" s="460" t="s">
        <v>9601</v>
      </c>
      <c r="C1370" s="461" t="s">
        <v>1104</v>
      </c>
      <c r="D1370" s="511">
        <v>195.31</v>
      </c>
      <c r="E1370" s="461" t="s">
        <v>161</v>
      </c>
      <c r="F1370" s="461" t="s">
        <v>8326</v>
      </c>
    </row>
    <row r="1371" spans="1:6" ht="30" x14ac:dyDescent="0.25">
      <c r="A1371" s="461">
        <v>1622</v>
      </c>
      <c r="B1371" s="460" t="s">
        <v>9602</v>
      </c>
      <c r="C1371" s="461" t="s">
        <v>1104</v>
      </c>
      <c r="D1371" s="461">
        <v>6310.04</v>
      </c>
      <c r="E1371" s="461" t="s">
        <v>161</v>
      </c>
      <c r="F1371" s="461" t="s">
        <v>8326</v>
      </c>
    </row>
    <row r="1372" spans="1:6" ht="30" x14ac:dyDescent="0.25">
      <c r="A1372" s="461">
        <v>1620</v>
      </c>
      <c r="B1372" s="460" t="s">
        <v>9603</v>
      </c>
      <c r="C1372" s="461" t="s">
        <v>1104</v>
      </c>
      <c r="D1372" s="511">
        <v>411.42</v>
      </c>
      <c r="E1372" s="461" t="s">
        <v>161</v>
      </c>
      <c r="F1372" s="461" t="s">
        <v>8326</v>
      </c>
    </row>
    <row r="1373" spans="1:6" ht="30" x14ac:dyDescent="0.25">
      <c r="A1373" s="461">
        <v>1629</v>
      </c>
      <c r="B1373" s="460" t="s">
        <v>9604</v>
      </c>
      <c r="C1373" s="461" t="s">
        <v>1104</v>
      </c>
      <c r="D1373" s="511">
        <v>15357.14</v>
      </c>
      <c r="E1373" s="461" t="s">
        <v>161</v>
      </c>
      <c r="F1373" s="461" t="s">
        <v>8326</v>
      </c>
    </row>
    <row r="1374" spans="1:6" ht="30" x14ac:dyDescent="0.25">
      <c r="A1374" s="461">
        <v>1627</v>
      </c>
      <c r="B1374" s="460" t="s">
        <v>9605</v>
      </c>
      <c r="C1374" s="461" t="s">
        <v>1104</v>
      </c>
      <c r="D1374" s="511">
        <v>786.42</v>
      </c>
      <c r="E1374" s="461" t="s">
        <v>161</v>
      </c>
      <c r="F1374" s="461" t="s">
        <v>8326</v>
      </c>
    </row>
    <row r="1375" spans="1:6" ht="30" x14ac:dyDescent="0.25">
      <c r="A1375" s="461">
        <v>1623</v>
      </c>
      <c r="B1375" s="460" t="s">
        <v>9606</v>
      </c>
      <c r="C1375" s="461" t="s">
        <v>1104</v>
      </c>
      <c r="D1375" s="461">
        <v>159.28</v>
      </c>
      <c r="E1375" s="461" t="s">
        <v>161</v>
      </c>
      <c r="F1375" s="461" t="s">
        <v>8326</v>
      </c>
    </row>
    <row r="1376" spans="1:6" ht="30" x14ac:dyDescent="0.25">
      <c r="A1376" s="461">
        <v>1619</v>
      </c>
      <c r="B1376" s="460" t="s">
        <v>9607</v>
      </c>
      <c r="C1376" s="461" t="s">
        <v>1104</v>
      </c>
      <c r="D1376" s="511">
        <v>219.1</v>
      </c>
      <c r="E1376" s="461" t="s">
        <v>161</v>
      </c>
      <c r="F1376" s="461" t="s">
        <v>8326</v>
      </c>
    </row>
    <row r="1377" spans="1:6" ht="30" x14ac:dyDescent="0.25">
      <c r="A1377" s="461">
        <v>1630</v>
      </c>
      <c r="B1377" s="460" t="s">
        <v>9608</v>
      </c>
      <c r="C1377" s="461" t="s">
        <v>1104</v>
      </c>
      <c r="D1377" s="461">
        <v>4824.16</v>
      </c>
      <c r="E1377" s="461" t="s">
        <v>161</v>
      </c>
      <c r="F1377" s="461" t="s">
        <v>8326</v>
      </c>
    </row>
    <row r="1378" spans="1:6" ht="30" x14ac:dyDescent="0.25">
      <c r="A1378" s="461">
        <v>1616</v>
      </c>
      <c r="B1378" s="460" t="s">
        <v>9609</v>
      </c>
      <c r="C1378" s="461" t="s">
        <v>1104</v>
      </c>
      <c r="D1378" s="511">
        <v>7419.64</v>
      </c>
      <c r="E1378" s="461" t="s">
        <v>161</v>
      </c>
      <c r="F1378" s="461" t="s">
        <v>8326</v>
      </c>
    </row>
    <row r="1379" spans="1:6" ht="30" x14ac:dyDescent="0.25">
      <c r="A1379" s="461">
        <v>1614</v>
      </c>
      <c r="B1379" s="460" t="s">
        <v>9610</v>
      </c>
      <c r="C1379" s="461" t="s">
        <v>1104</v>
      </c>
      <c r="D1379" s="461">
        <v>339.1</v>
      </c>
      <c r="E1379" s="461" t="s">
        <v>161</v>
      </c>
      <c r="F1379" s="461" t="s">
        <v>8326</v>
      </c>
    </row>
    <row r="1380" spans="1:6" ht="30" x14ac:dyDescent="0.25">
      <c r="A1380" s="461">
        <v>1617</v>
      </c>
      <c r="B1380" s="460" t="s">
        <v>9611</v>
      </c>
      <c r="C1380" s="461" t="s">
        <v>1104</v>
      </c>
      <c r="D1380" s="461">
        <v>8857.44</v>
      </c>
      <c r="E1380" s="461" t="s">
        <v>161</v>
      </c>
      <c r="F1380" s="461" t="s">
        <v>8326</v>
      </c>
    </row>
    <row r="1381" spans="1:6" ht="30" x14ac:dyDescent="0.25">
      <c r="A1381" s="461">
        <v>1621</v>
      </c>
      <c r="B1381" s="460" t="s">
        <v>9612</v>
      </c>
      <c r="C1381" s="461" t="s">
        <v>1104</v>
      </c>
      <c r="D1381" s="461">
        <v>606.48</v>
      </c>
      <c r="E1381" s="461" t="s">
        <v>161</v>
      </c>
      <c r="F1381" s="461" t="s">
        <v>8326</v>
      </c>
    </row>
    <row r="1382" spans="1:6" ht="30" x14ac:dyDescent="0.25">
      <c r="A1382" s="461">
        <v>1624</v>
      </c>
      <c r="B1382" s="460" t="s">
        <v>9613</v>
      </c>
      <c r="C1382" s="461" t="s">
        <v>1104</v>
      </c>
      <c r="D1382" s="511">
        <v>21772.02</v>
      </c>
      <c r="E1382" s="461" t="s">
        <v>161</v>
      </c>
      <c r="F1382" s="461" t="s">
        <v>8326</v>
      </c>
    </row>
    <row r="1383" spans="1:6" ht="30" x14ac:dyDescent="0.25">
      <c r="A1383" s="461">
        <v>1615</v>
      </c>
      <c r="B1383" s="460" t="s">
        <v>9614</v>
      </c>
      <c r="C1383" s="461" t="s">
        <v>1104</v>
      </c>
      <c r="D1383" s="511">
        <v>1138.8699999999999</v>
      </c>
      <c r="E1383" s="461" t="s">
        <v>161</v>
      </c>
      <c r="F1383" s="461" t="s">
        <v>8326</v>
      </c>
    </row>
    <row r="1384" spans="1:6" ht="30" x14ac:dyDescent="0.25">
      <c r="A1384" s="461">
        <v>1612</v>
      </c>
      <c r="B1384" s="460" t="s">
        <v>9615</v>
      </c>
      <c r="C1384" s="461" t="s">
        <v>1104</v>
      </c>
      <c r="D1384" s="461">
        <v>150</v>
      </c>
      <c r="E1384" s="461" t="s">
        <v>161</v>
      </c>
      <c r="F1384" s="461" t="s">
        <v>8333</v>
      </c>
    </row>
    <row r="1385" spans="1:6" ht="30" x14ac:dyDescent="0.25">
      <c r="A1385" s="461">
        <v>1618</v>
      </c>
      <c r="B1385" s="460" t="s">
        <v>9616</v>
      </c>
      <c r="C1385" s="461" t="s">
        <v>1104</v>
      </c>
      <c r="D1385" s="511">
        <v>1564.98</v>
      </c>
      <c r="E1385" s="461" t="s">
        <v>161</v>
      </c>
      <c r="F1385" s="461" t="s">
        <v>8326</v>
      </c>
    </row>
    <row r="1386" spans="1:6" ht="15" x14ac:dyDescent="0.25">
      <c r="A1386" s="461">
        <v>14211</v>
      </c>
      <c r="B1386" s="460" t="s">
        <v>9617</v>
      </c>
      <c r="C1386" s="461" t="s">
        <v>1104</v>
      </c>
      <c r="D1386" s="461">
        <v>49.46</v>
      </c>
      <c r="E1386" s="461" t="s">
        <v>161</v>
      </c>
      <c r="F1386" s="461" t="s">
        <v>8328</v>
      </c>
    </row>
    <row r="1387" spans="1:6" ht="30" x14ac:dyDescent="0.25">
      <c r="A1387" s="461">
        <v>43657</v>
      </c>
      <c r="B1387" s="460" t="s">
        <v>9618</v>
      </c>
      <c r="C1387" s="461" t="s">
        <v>1107</v>
      </c>
      <c r="D1387" s="511">
        <v>8.48</v>
      </c>
      <c r="E1387" s="461" t="s">
        <v>161</v>
      </c>
      <c r="F1387" s="461" t="s">
        <v>8326</v>
      </c>
    </row>
    <row r="1388" spans="1:6" ht="15" x14ac:dyDescent="0.25">
      <c r="A1388" s="461">
        <v>38200</v>
      </c>
      <c r="B1388" s="460" t="s">
        <v>9619</v>
      </c>
      <c r="C1388" s="461" t="s">
        <v>1116</v>
      </c>
      <c r="D1388" s="511">
        <v>661.58</v>
      </c>
      <c r="E1388" s="461" t="s">
        <v>161</v>
      </c>
      <c r="F1388" s="461" t="s">
        <v>8326</v>
      </c>
    </row>
    <row r="1389" spans="1:6" ht="30" x14ac:dyDescent="0.25">
      <c r="A1389" s="461">
        <v>39269</v>
      </c>
      <c r="B1389" s="460" t="s">
        <v>9620</v>
      </c>
      <c r="C1389" s="461" t="s">
        <v>1107</v>
      </c>
      <c r="D1389" s="461">
        <v>1.44</v>
      </c>
      <c r="E1389" s="461" t="s">
        <v>161</v>
      </c>
      <c r="F1389" s="461" t="s">
        <v>8326</v>
      </c>
    </row>
    <row r="1390" spans="1:6" ht="30" x14ac:dyDescent="0.25">
      <c r="A1390" s="461">
        <v>11889</v>
      </c>
      <c r="B1390" s="460" t="s">
        <v>9621</v>
      </c>
      <c r="C1390" s="461" t="s">
        <v>1107</v>
      </c>
      <c r="D1390" s="511">
        <v>1.97</v>
      </c>
      <c r="E1390" s="461" t="s">
        <v>161</v>
      </c>
      <c r="F1390" s="461" t="s">
        <v>8326</v>
      </c>
    </row>
    <row r="1391" spans="1:6" ht="30" x14ac:dyDescent="0.25">
      <c r="A1391" s="461">
        <v>39270</v>
      </c>
      <c r="B1391" s="460" t="s">
        <v>9622</v>
      </c>
      <c r="C1391" s="461" t="s">
        <v>1107</v>
      </c>
      <c r="D1391" s="461">
        <v>2.56</v>
      </c>
      <c r="E1391" s="461" t="s">
        <v>161</v>
      </c>
      <c r="F1391" s="461" t="s">
        <v>8326</v>
      </c>
    </row>
    <row r="1392" spans="1:6" ht="30" x14ac:dyDescent="0.25">
      <c r="A1392" s="461">
        <v>11890</v>
      </c>
      <c r="B1392" s="460" t="s">
        <v>9623</v>
      </c>
      <c r="C1392" s="461" t="s">
        <v>1107</v>
      </c>
      <c r="D1392" s="461">
        <v>3.49</v>
      </c>
      <c r="E1392" s="461" t="s">
        <v>161</v>
      </c>
      <c r="F1392" s="461" t="s">
        <v>8326</v>
      </c>
    </row>
    <row r="1393" spans="1:6" ht="30" x14ac:dyDescent="0.25">
      <c r="A1393" s="461">
        <v>11891</v>
      </c>
      <c r="B1393" s="460" t="s">
        <v>9624</v>
      </c>
      <c r="C1393" s="461" t="s">
        <v>1107</v>
      </c>
      <c r="D1393" s="461">
        <v>5.66</v>
      </c>
      <c r="E1393" s="461" t="s">
        <v>161</v>
      </c>
      <c r="F1393" s="461" t="s">
        <v>8326</v>
      </c>
    </row>
    <row r="1394" spans="1:6" ht="30" x14ac:dyDescent="0.25">
      <c r="A1394" s="461">
        <v>11892</v>
      </c>
      <c r="B1394" s="460" t="s">
        <v>9625</v>
      </c>
      <c r="C1394" s="461" t="s">
        <v>1107</v>
      </c>
      <c r="D1394" s="461">
        <v>9.25</v>
      </c>
      <c r="E1394" s="461" t="s">
        <v>161</v>
      </c>
      <c r="F1394" s="461" t="s">
        <v>8326</v>
      </c>
    </row>
    <row r="1395" spans="1:6" ht="15" x14ac:dyDescent="0.25">
      <c r="A1395" s="461">
        <v>37601</v>
      </c>
      <c r="B1395" s="460" t="s">
        <v>9626</v>
      </c>
      <c r="C1395" s="461" t="s">
        <v>1107</v>
      </c>
      <c r="D1395" s="461">
        <v>9.34</v>
      </c>
      <c r="E1395" s="461" t="s">
        <v>161</v>
      </c>
      <c r="F1395" s="461" t="s">
        <v>8328</v>
      </c>
    </row>
    <row r="1396" spans="1:6" ht="15" x14ac:dyDescent="0.25">
      <c r="A1396" s="461">
        <v>1634</v>
      </c>
      <c r="B1396" s="460" t="s">
        <v>9627</v>
      </c>
      <c r="C1396" s="461" t="s">
        <v>1107</v>
      </c>
      <c r="D1396" s="461">
        <v>9.65</v>
      </c>
      <c r="E1396" s="461" t="s">
        <v>161</v>
      </c>
      <c r="F1396" s="461" t="s">
        <v>8328</v>
      </c>
    </row>
    <row r="1397" spans="1:6" ht="30" x14ac:dyDescent="0.25">
      <c r="A1397" s="461">
        <v>5086</v>
      </c>
      <c r="B1397" s="460" t="s">
        <v>9628</v>
      </c>
      <c r="C1397" s="461" t="s">
        <v>1108</v>
      </c>
      <c r="D1397" s="461">
        <v>30.27</v>
      </c>
      <c r="E1397" s="461" t="s">
        <v>161</v>
      </c>
      <c r="F1397" s="461" t="s">
        <v>8326</v>
      </c>
    </row>
    <row r="1398" spans="1:6" ht="30" x14ac:dyDescent="0.25">
      <c r="A1398" s="461">
        <v>11280</v>
      </c>
      <c r="B1398" s="460" t="s">
        <v>13153</v>
      </c>
      <c r="C1398" s="461" t="s">
        <v>1104</v>
      </c>
      <c r="D1398" s="461">
        <v>14123.09</v>
      </c>
      <c r="E1398" s="461" t="s">
        <v>161</v>
      </c>
      <c r="F1398" s="461" t="s">
        <v>8326</v>
      </c>
    </row>
    <row r="1399" spans="1:6" ht="30" x14ac:dyDescent="0.25">
      <c r="A1399" s="461">
        <v>40519</v>
      </c>
      <c r="B1399" s="460" t="s">
        <v>9629</v>
      </c>
      <c r="C1399" s="461" t="s">
        <v>1104</v>
      </c>
      <c r="D1399" s="461">
        <v>116425.96</v>
      </c>
      <c r="E1399" s="461" t="s">
        <v>161</v>
      </c>
      <c r="F1399" s="461" t="s">
        <v>8326</v>
      </c>
    </row>
    <row r="1400" spans="1:6" ht="30" x14ac:dyDescent="0.25">
      <c r="A1400" s="461">
        <v>39869</v>
      </c>
      <c r="B1400" s="460" t="s">
        <v>9630</v>
      </c>
      <c r="C1400" s="461" t="s">
        <v>1104</v>
      </c>
      <c r="D1400" s="461">
        <v>15.52</v>
      </c>
      <c r="E1400" s="461" t="s">
        <v>161</v>
      </c>
      <c r="F1400" s="461" t="s">
        <v>8326</v>
      </c>
    </row>
    <row r="1401" spans="1:6" ht="30" x14ac:dyDescent="0.25">
      <c r="A1401" s="461">
        <v>39870</v>
      </c>
      <c r="B1401" s="460" t="s">
        <v>9631</v>
      </c>
      <c r="C1401" s="461" t="s">
        <v>1104</v>
      </c>
      <c r="D1401" s="461">
        <v>23.74</v>
      </c>
      <c r="E1401" s="461" t="s">
        <v>161</v>
      </c>
      <c r="F1401" s="461" t="s">
        <v>8326</v>
      </c>
    </row>
    <row r="1402" spans="1:6" ht="30" x14ac:dyDescent="0.25">
      <c r="A1402" s="461">
        <v>39871</v>
      </c>
      <c r="B1402" s="460" t="s">
        <v>9632</v>
      </c>
      <c r="C1402" s="461" t="s">
        <v>1104</v>
      </c>
      <c r="D1402" s="461">
        <v>26.62</v>
      </c>
      <c r="E1402" s="461" t="s">
        <v>161</v>
      </c>
      <c r="F1402" s="461" t="s">
        <v>8326</v>
      </c>
    </row>
    <row r="1403" spans="1:6" ht="30" x14ac:dyDescent="0.25">
      <c r="A1403" s="461">
        <v>12722</v>
      </c>
      <c r="B1403" s="460" t="s">
        <v>9633</v>
      </c>
      <c r="C1403" s="461" t="s">
        <v>1104</v>
      </c>
      <c r="D1403" s="511">
        <v>890.72</v>
      </c>
      <c r="E1403" s="461" t="s">
        <v>161</v>
      </c>
      <c r="F1403" s="461" t="s">
        <v>8326</v>
      </c>
    </row>
    <row r="1404" spans="1:6" ht="30" x14ac:dyDescent="0.25">
      <c r="A1404" s="461">
        <v>12714</v>
      </c>
      <c r="B1404" s="460" t="s">
        <v>9634</v>
      </c>
      <c r="C1404" s="461" t="s">
        <v>1104</v>
      </c>
      <c r="D1404" s="511">
        <v>5.81</v>
      </c>
      <c r="E1404" s="461" t="s">
        <v>161</v>
      </c>
      <c r="F1404" s="461" t="s">
        <v>8326</v>
      </c>
    </row>
    <row r="1405" spans="1:6" ht="30" x14ac:dyDescent="0.25">
      <c r="A1405" s="461">
        <v>12715</v>
      </c>
      <c r="B1405" s="460" t="s">
        <v>9635</v>
      </c>
      <c r="C1405" s="461" t="s">
        <v>1104</v>
      </c>
      <c r="D1405" s="461">
        <v>13.12</v>
      </c>
      <c r="E1405" s="461" t="s">
        <v>161</v>
      </c>
      <c r="F1405" s="461" t="s">
        <v>8326</v>
      </c>
    </row>
    <row r="1406" spans="1:6" ht="30" x14ac:dyDescent="0.25">
      <c r="A1406" s="461">
        <v>12716</v>
      </c>
      <c r="B1406" s="460" t="s">
        <v>9636</v>
      </c>
      <c r="C1406" s="461" t="s">
        <v>1104</v>
      </c>
      <c r="D1406" s="461">
        <v>22.54</v>
      </c>
      <c r="E1406" s="461" t="s">
        <v>161</v>
      </c>
      <c r="F1406" s="461" t="s">
        <v>8326</v>
      </c>
    </row>
    <row r="1407" spans="1:6" ht="30" x14ac:dyDescent="0.25">
      <c r="A1407" s="461">
        <v>12717</v>
      </c>
      <c r="B1407" s="460" t="s">
        <v>9637</v>
      </c>
      <c r="C1407" s="461" t="s">
        <v>1104</v>
      </c>
      <c r="D1407" s="461">
        <v>44.31</v>
      </c>
      <c r="E1407" s="461" t="s">
        <v>161</v>
      </c>
      <c r="F1407" s="461" t="s">
        <v>8326</v>
      </c>
    </row>
    <row r="1408" spans="1:6" ht="30" x14ac:dyDescent="0.25">
      <c r="A1408" s="461">
        <v>12718</v>
      </c>
      <c r="B1408" s="460" t="s">
        <v>9638</v>
      </c>
      <c r="C1408" s="461" t="s">
        <v>1104</v>
      </c>
      <c r="D1408" s="461">
        <v>68.010000000000005</v>
      </c>
      <c r="E1408" s="461" t="s">
        <v>161</v>
      </c>
      <c r="F1408" s="461" t="s">
        <v>8326</v>
      </c>
    </row>
    <row r="1409" spans="1:6" ht="30" x14ac:dyDescent="0.25">
      <c r="A1409" s="461">
        <v>12719</v>
      </c>
      <c r="B1409" s="460" t="s">
        <v>9639</v>
      </c>
      <c r="C1409" s="461" t="s">
        <v>1104</v>
      </c>
      <c r="D1409" s="461">
        <v>107.96</v>
      </c>
      <c r="E1409" s="461" t="s">
        <v>161</v>
      </c>
      <c r="F1409" s="461" t="s">
        <v>8326</v>
      </c>
    </row>
    <row r="1410" spans="1:6" ht="30" x14ac:dyDescent="0.25">
      <c r="A1410" s="461">
        <v>12720</v>
      </c>
      <c r="B1410" s="460" t="s">
        <v>9640</v>
      </c>
      <c r="C1410" s="461" t="s">
        <v>1104</v>
      </c>
      <c r="D1410" s="461">
        <v>375.91</v>
      </c>
      <c r="E1410" s="461" t="s">
        <v>161</v>
      </c>
      <c r="F1410" s="461" t="s">
        <v>8326</v>
      </c>
    </row>
    <row r="1411" spans="1:6" ht="30" x14ac:dyDescent="0.25">
      <c r="A1411" s="461">
        <v>12721</v>
      </c>
      <c r="B1411" s="460" t="s">
        <v>9641</v>
      </c>
      <c r="C1411" s="461" t="s">
        <v>1104</v>
      </c>
      <c r="D1411" s="461">
        <v>360.47</v>
      </c>
      <c r="E1411" s="461" t="s">
        <v>161</v>
      </c>
      <c r="F1411" s="461" t="s">
        <v>8326</v>
      </c>
    </row>
    <row r="1412" spans="1:6" ht="30" x14ac:dyDescent="0.25">
      <c r="A1412" s="461">
        <v>3468</v>
      </c>
      <c r="B1412" s="460" t="s">
        <v>9642</v>
      </c>
      <c r="C1412" s="461" t="s">
        <v>1104</v>
      </c>
      <c r="D1412" s="461">
        <v>47.39</v>
      </c>
      <c r="E1412" s="461" t="s">
        <v>161</v>
      </c>
      <c r="F1412" s="461" t="s">
        <v>8328</v>
      </c>
    </row>
    <row r="1413" spans="1:6" ht="30" x14ac:dyDescent="0.25">
      <c r="A1413" s="461">
        <v>3465</v>
      </c>
      <c r="B1413" s="460" t="s">
        <v>9643</v>
      </c>
      <c r="C1413" s="461" t="s">
        <v>1104</v>
      </c>
      <c r="D1413" s="461">
        <v>47.37</v>
      </c>
      <c r="E1413" s="461" t="s">
        <v>161</v>
      </c>
      <c r="F1413" s="461" t="s">
        <v>8328</v>
      </c>
    </row>
    <row r="1414" spans="1:6" ht="30" x14ac:dyDescent="0.25">
      <c r="A1414" s="461">
        <v>12403</v>
      </c>
      <c r="B1414" s="460" t="s">
        <v>9644</v>
      </c>
      <c r="C1414" s="461" t="s">
        <v>1104</v>
      </c>
      <c r="D1414" s="461">
        <v>33.76</v>
      </c>
      <c r="E1414" s="461" t="s">
        <v>161</v>
      </c>
      <c r="F1414" s="461" t="s">
        <v>8328</v>
      </c>
    </row>
    <row r="1415" spans="1:6" ht="30" x14ac:dyDescent="0.25">
      <c r="A1415" s="461">
        <v>3463</v>
      </c>
      <c r="B1415" s="460" t="s">
        <v>9645</v>
      </c>
      <c r="C1415" s="461" t="s">
        <v>1104</v>
      </c>
      <c r="D1415" s="461">
        <v>19.73</v>
      </c>
      <c r="E1415" s="461" t="s">
        <v>161</v>
      </c>
      <c r="F1415" s="461" t="s">
        <v>8328</v>
      </c>
    </row>
    <row r="1416" spans="1:6" ht="30" x14ac:dyDescent="0.25">
      <c r="A1416" s="461">
        <v>3464</v>
      </c>
      <c r="B1416" s="460" t="s">
        <v>9646</v>
      </c>
      <c r="C1416" s="461" t="s">
        <v>1104</v>
      </c>
      <c r="D1416" s="461">
        <v>19.73</v>
      </c>
      <c r="E1416" s="461" t="s">
        <v>161</v>
      </c>
      <c r="F1416" s="461" t="s">
        <v>8328</v>
      </c>
    </row>
    <row r="1417" spans="1:6" ht="30" x14ac:dyDescent="0.25">
      <c r="A1417" s="461">
        <v>3466</v>
      </c>
      <c r="B1417" s="460" t="s">
        <v>9647</v>
      </c>
      <c r="C1417" s="461" t="s">
        <v>1104</v>
      </c>
      <c r="D1417" s="461">
        <v>120.31</v>
      </c>
      <c r="E1417" s="461" t="s">
        <v>161</v>
      </c>
      <c r="F1417" s="461" t="s">
        <v>8328</v>
      </c>
    </row>
    <row r="1418" spans="1:6" ht="30" x14ac:dyDescent="0.25">
      <c r="A1418" s="461">
        <v>3467</v>
      </c>
      <c r="B1418" s="460" t="s">
        <v>9648</v>
      </c>
      <c r="C1418" s="461" t="s">
        <v>1104</v>
      </c>
      <c r="D1418" s="461">
        <v>67.95</v>
      </c>
      <c r="E1418" s="461" t="s">
        <v>161</v>
      </c>
      <c r="F1418" s="461" t="s">
        <v>8328</v>
      </c>
    </row>
    <row r="1419" spans="1:6" ht="30" x14ac:dyDescent="0.25">
      <c r="A1419" s="461">
        <v>3462</v>
      </c>
      <c r="B1419" s="460" t="s">
        <v>9649</v>
      </c>
      <c r="C1419" s="461" t="s">
        <v>1104</v>
      </c>
      <c r="D1419" s="461">
        <v>13.01</v>
      </c>
      <c r="E1419" s="461" t="s">
        <v>161</v>
      </c>
      <c r="F1419" s="461" t="s">
        <v>8328</v>
      </c>
    </row>
    <row r="1420" spans="1:6" ht="15" x14ac:dyDescent="0.25">
      <c r="A1420" s="461">
        <v>3446</v>
      </c>
      <c r="B1420" s="460" t="s">
        <v>9650</v>
      </c>
      <c r="C1420" s="461" t="s">
        <v>1104</v>
      </c>
      <c r="D1420" s="461">
        <v>40.06</v>
      </c>
      <c r="E1420" s="461" t="s">
        <v>161</v>
      </c>
      <c r="F1420" s="461" t="s">
        <v>8328</v>
      </c>
    </row>
    <row r="1421" spans="1:6" ht="15" x14ac:dyDescent="0.25">
      <c r="A1421" s="461">
        <v>3445</v>
      </c>
      <c r="B1421" s="460" t="s">
        <v>9651</v>
      </c>
      <c r="C1421" s="461" t="s">
        <v>1104</v>
      </c>
      <c r="D1421" s="461">
        <v>32.700000000000003</v>
      </c>
      <c r="E1421" s="461" t="s">
        <v>161</v>
      </c>
      <c r="F1421" s="461" t="s">
        <v>8328</v>
      </c>
    </row>
    <row r="1422" spans="1:6" ht="15" x14ac:dyDescent="0.25">
      <c r="A1422" s="461">
        <v>3441</v>
      </c>
      <c r="B1422" s="460" t="s">
        <v>9652</v>
      </c>
      <c r="C1422" s="461" t="s">
        <v>1104</v>
      </c>
      <c r="D1422" s="461">
        <v>9.23</v>
      </c>
      <c r="E1422" s="461" t="s">
        <v>161</v>
      </c>
      <c r="F1422" s="461" t="s">
        <v>8328</v>
      </c>
    </row>
    <row r="1423" spans="1:6" ht="15" x14ac:dyDescent="0.25">
      <c r="A1423" s="461">
        <v>3444</v>
      </c>
      <c r="B1423" s="460" t="s">
        <v>9653</v>
      </c>
      <c r="C1423" s="461" t="s">
        <v>1104</v>
      </c>
      <c r="D1423" s="461">
        <v>20.13</v>
      </c>
      <c r="E1423" s="461" t="s">
        <v>161</v>
      </c>
      <c r="F1423" s="461" t="s">
        <v>8328</v>
      </c>
    </row>
    <row r="1424" spans="1:6" ht="15" x14ac:dyDescent="0.25">
      <c r="A1424" s="461">
        <v>12402</v>
      </c>
      <c r="B1424" s="460" t="s">
        <v>9654</v>
      </c>
      <c r="C1424" s="461" t="s">
        <v>1104</v>
      </c>
      <c r="D1424" s="461">
        <v>112.6</v>
      </c>
      <c r="E1424" s="461" t="s">
        <v>161</v>
      </c>
      <c r="F1424" s="461" t="s">
        <v>8328</v>
      </c>
    </row>
    <row r="1425" spans="1:6" ht="15" x14ac:dyDescent="0.25">
      <c r="A1425" s="461">
        <v>3447</v>
      </c>
      <c r="B1425" s="460" t="s">
        <v>9655</v>
      </c>
      <c r="C1425" s="461" t="s">
        <v>1104</v>
      </c>
      <c r="D1425" s="461">
        <v>58.25</v>
      </c>
      <c r="E1425" s="461" t="s">
        <v>161</v>
      </c>
      <c r="F1425" s="461" t="s">
        <v>8328</v>
      </c>
    </row>
    <row r="1426" spans="1:6" ht="15" x14ac:dyDescent="0.25">
      <c r="A1426" s="461">
        <v>3442</v>
      </c>
      <c r="B1426" s="460" t="s">
        <v>9656</v>
      </c>
      <c r="C1426" s="461" t="s">
        <v>1104</v>
      </c>
      <c r="D1426" s="461">
        <v>13.8</v>
      </c>
      <c r="E1426" s="461" t="s">
        <v>161</v>
      </c>
      <c r="F1426" s="461" t="s">
        <v>8328</v>
      </c>
    </row>
    <row r="1427" spans="1:6" ht="15" x14ac:dyDescent="0.25">
      <c r="A1427" s="461">
        <v>3448</v>
      </c>
      <c r="B1427" s="460" t="s">
        <v>9657</v>
      </c>
      <c r="C1427" s="461" t="s">
        <v>1104</v>
      </c>
      <c r="D1427" s="461">
        <v>164.62</v>
      </c>
      <c r="E1427" s="461" t="s">
        <v>161</v>
      </c>
      <c r="F1427" s="461" t="s">
        <v>8328</v>
      </c>
    </row>
    <row r="1428" spans="1:6" ht="15" x14ac:dyDescent="0.25">
      <c r="A1428" s="461">
        <v>3449</v>
      </c>
      <c r="B1428" s="460" t="s">
        <v>9658</v>
      </c>
      <c r="C1428" s="461" t="s">
        <v>1104</v>
      </c>
      <c r="D1428" s="461">
        <v>288.45</v>
      </c>
      <c r="E1428" s="461" t="s">
        <v>161</v>
      </c>
      <c r="F1428" s="461" t="s">
        <v>8328</v>
      </c>
    </row>
    <row r="1429" spans="1:6" ht="15" x14ac:dyDescent="0.25">
      <c r="A1429" s="461">
        <v>37438</v>
      </c>
      <c r="B1429" s="460" t="s">
        <v>9659</v>
      </c>
      <c r="C1429" s="461" t="s">
        <v>1104</v>
      </c>
      <c r="D1429" s="461">
        <v>228.21</v>
      </c>
      <c r="E1429" s="461" t="s">
        <v>161</v>
      </c>
      <c r="F1429" s="461" t="s">
        <v>8328</v>
      </c>
    </row>
    <row r="1430" spans="1:6" ht="15" x14ac:dyDescent="0.25">
      <c r="A1430" s="461">
        <v>37439</v>
      </c>
      <c r="B1430" s="460" t="s">
        <v>9660</v>
      </c>
      <c r="C1430" s="461" t="s">
        <v>1104</v>
      </c>
      <c r="D1430" s="461">
        <v>1492.05</v>
      </c>
      <c r="E1430" s="461" t="s">
        <v>161</v>
      </c>
      <c r="F1430" s="461" t="s">
        <v>8328</v>
      </c>
    </row>
    <row r="1431" spans="1:6" ht="15" x14ac:dyDescent="0.25">
      <c r="A1431" s="461">
        <v>37435</v>
      </c>
      <c r="B1431" s="460" t="s">
        <v>9661</v>
      </c>
      <c r="C1431" s="461" t="s">
        <v>1104</v>
      </c>
      <c r="D1431" s="461">
        <v>26.82</v>
      </c>
      <c r="E1431" s="461" t="s">
        <v>161</v>
      </c>
      <c r="F1431" s="461" t="s">
        <v>8328</v>
      </c>
    </row>
    <row r="1432" spans="1:6" ht="15" x14ac:dyDescent="0.25">
      <c r="A1432" s="461">
        <v>37436</v>
      </c>
      <c r="B1432" s="460" t="s">
        <v>9662</v>
      </c>
      <c r="C1432" s="461" t="s">
        <v>1104</v>
      </c>
      <c r="D1432" s="461">
        <v>31.65</v>
      </c>
      <c r="E1432" s="461" t="s">
        <v>161</v>
      </c>
      <c r="F1432" s="461" t="s">
        <v>8328</v>
      </c>
    </row>
    <row r="1433" spans="1:6" ht="15" x14ac:dyDescent="0.25">
      <c r="A1433" s="461">
        <v>37437</v>
      </c>
      <c r="B1433" s="460" t="s">
        <v>9663</v>
      </c>
      <c r="C1433" s="461" t="s">
        <v>1104</v>
      </c>
      <c r="D1433" s="461">
        <v>45.78</v>
      </c>
      <c r="E1433" s="461" t="s">
        <v>161</v>
      </c>
      <c r="F1433" s="461" t="s">
        <v>8328</v>
      </c>
    </row>
    <row r="1434" spans="1:6" ht="30" x14ac:dyDescent="0.25">
      <c r="A1434" s="461">
        <v>3473</v>
      </c>
      <c r="B1434" s="460" t="s">
        <v>9664</v>
      </c>
      <c r="C1434" s="461" t="s">
        <v>1104</v>
      </c>
      <c r="D1434" s="461">
        <v>45.29</v>
      </c>
      <c r="E1434" s="461" t="s">
        <v>161</v>
      </c>
      <c r="F1434" s="461" t="s">
        <v>8328</v>
      </c>
    </row>
    <row r="1435" spans="1:6" ht="30" x14ac:dyDescent="0.25">
      <c r="A1435" s="461">
        <v>3474</v>
      </c>
      <c r="B1435" s="460" t="s">
        <v>9665</v>
      </c>
      <c r="C1435" s="461" t="s">
        <v>1104</v>
      </c>
      <c r="D1435" s="511">
        <v>37.33</v>
      </c>
      <c r="E1435" s="461" t="s">
        <v>161</v>
      </c>
      <c r="F1435" s="461" t="s">
        <v>8328</v>
      </c>
    </row>
    <row r="1436" spans="1:6" ht="30" x14ac:dyDescent="0.25">
      <c r="A1436" s="461">
        <v>3450</v>
      </c>
      <c r="B1436" s="460" t="s">
        <v>9666</v>
      </c>
      <c r="C1436" s="461" t="s">
        <v>1104</v>
      </c>
      <c r="D1436" s="461">
        <v>10.82</v>
      </c>
      <c r="E1436" s="461" t="s">
        <v>161</v>
      </c>
      <c r="F1436" s="461" t="s">
        <v>8328</v>
      </c>
    </row>
    <row r="1437" spans="1:6" ht="30" x14ac:dyDescent="0.25">
      <c r="A1437" s="461">
        <v>3443</v>
      </c>
      <c r="B1437" s="460" t="s">
        <v>9667</v>
      </c>
      <c r="C1437" s="461" t="s">
        <v>1104</v>
      </c>
      <c r="D1437" s="461">
        <v>23.22</v>
      </c>
      <c r="E1437" s="461" t="s">
        <v>161</v>
      </c>
      <c r="F1437" s="461" t="s">
        <v>8328</v>
      </c>
    </row>
    <row r="1438" spans="1:6" ht="30" x14ac:dyDescent="0.25">
      <c r="A1438" s="461">
        <v>3453</v>
      </c>
      <c r="B1438" s="460" t="s">
        <v>9668</v>
      </c>
      <c r="C1438" s="461" t="s">
        <v>1104</v>
      </c>
      <c r="D1438" s="461">
        <v>132.19999999999999</v>
      </c>
      <c r="E1438" s="461" t="s">
        <v>161</v>
      </c>
      <c r="F1438" s="461" t="s">
        <v>8328</v>
      </c>
    </row>
    <row r="1439" spans="1:6" ht="30" x14ac:dyDescent="0.25">
      <c r="A1439" s="461">
        <v>3452</v>
      </c>
      <c r="B1439" s="460" t="s">
        <v>9669</v>
      </c>
      <c r="C1439" s="461" t="s">
        <v>1104</v>
      </c>
      <c r="D1439" s="461">
        <v>65.25</v>
      </c>
      <c r="E1439" s="461" t="s">
        <v>161</v>
      </c>
      <c r="F1439" s="461" t="s">
        <v>8328</v>
      </c>
    </row>
    <row r="1440" spans="1:6" ht="30" x14ac:dyDescent="0.25">
      <c r="A1440" s="461">
        <v>3451</v>
      </c>
      <c r="B1440" s="460" t="s">
        <v>9670</v>
      </c>
      <c r="C1440" s="461" t="s">
        <v>1104</v>
      </c>
      <c r="D1440" s="461">
        <v>12.94</v>
      </c>
      <c r="E1440" s="461" t="s">
        <v>161</v>
      </c>
      <c r="F1440" s="461" t="s">
        <v>8328</v>
      </c>
    </row>
    <row r="1441" spans="1:6" ht="30" x14ac:dyDescent="0.25">
      <c r="A1441" s="461">
        <v>3454</v>
      </c>
      <c r="B1441" s="460" t="s">
        <v>9671</v>
      </c>
      <c r="C1441" s="461" t="s">
        <v>1104</v>
      </c>
      <c r="D1441" s="461">
        <v>201.07</v>
      </c>
      <c r="E1441" s="461" t="s">
        <v>161</v>
      </c>
      <c r="F1441" s="461" t="s">
        <v>8328</v>
      </c>
    </row>
    <row r="1442" spans="1:6" ht="15" x14ac:dyDescent="0.25">
      <c r="A1442" s="461">
        <v>3458</v>
      </c>
      <c r="B1442" s="460" t="s">
        <v>9672</v>
      </c>
      <c r="C1442" s="461" t="s">
        <v>1104</v>
      </c>
      <c r="D1442" s="461">
        <v>36.299999999999997</v>
      </c>
      <c r="E1442" s="461" t="s">
        <v>161</v>
      </c>
      <c r="F1442" s="461" t="s">
        <v>8328</v>
      </c>
    </row>
    <row r="1443" spans="1:6" ht="15" x14ac:dyDescent="0.25">
      <c r="A1443" s="461">
        <v>3457</v>
      </c>
      <c r="B1443" s="460" t="s">
        <v>9673</v>
      </c>
      <c r="C1443" s="461" t="s">
        <v>1104</v>
      </c>
      <c r="D1443" s="461">
        <v>27.25</v>
      </c>
      <c r="E1443" s="461" t="s">
        <v>161</v>
      </c>
      <c r="F1443" s="461" t="s">
        <v>8328</v>
      </c>
    </row>
    <row r="1444" spans="1:6" ht="15" x14ac:dyDescent="0.25">
      <c r="A1444" s="461">
        <v>3455</v>
      </c>
      <c r="B1444" s="460" t="s">
        <v>9674</v>
      </c>
      <c r="C1444" s="461" t="s">
        <v>1104</v>
      </c>
      <c r="D1444" s="461">
        <v>7.74</v>
      </c>
      <c r="E1444" s="461" t="s">
        <v>161</v>
      </c>
      <c r="F1444" s="461" t="s">
        <v>8328</v>
      </c>
    </row>
    <row r="1445" spans="1:6" ht="15" x14ac:dyDescent="0.25">
      <c r="A1445" s="461">
        <v>3472</v>
      </c>
      <c r="B1445" s="460" t="s">
        <v>9675</v>
      </c>
      <c r="C1445" s="461" t="s">
        <v>1104</v>
      </c>
      <c r="D1445" s="461">
        <v>17.39</v>
      </c>
      <c r="E1445" s="461" t="s">
        <v>161</v>
      </c>
      <c r="F1445" s="461" t="s">
        <v>8328</v>
      </c>
    </row>
    <row r="1446" spans="1:6" ht="15" x14ac:dyDescent="0.25">
      <c r="A1446" s="461">
        <v>3470</v>
      </c>
      <c r="B1446" s="460" t="s">
        <v>9676</v>
      </c>
      <c r="C1446" s="461" t="s">
        <v>1104</v>
      </c>
      <c r="D1446" s="461">
        <v>101.37</v>
      </c>
      <c r="E1446" s="461" t="s">
        <v>161</v>
      </c>
      <c r="F1446" s="461" t="s">
        <v>8328</v>
      </c>
    </row>
    <row r="1447" spans="1:6" ht="15" x14ac:dyDescent="0.25">
      <c r="A1447" s="461">
        <v>3471</v>
      </c>
      <c r="B1447" s="460" t="s">
        <v>9677</v>
      </c>
      <c r="C1447" s="461" t="s">
        <v>1104</v>
      </c>
      <c r="D1447" s="461">
        <v>55.7</v>
      </c>
      <c r="E1447" s="461" t="s">
        <v>161</v>
      </c>
      <c r="F1447" s="461" t="s">
        <v>8328</v>
      </c>
    </row>
    <row r="1448" spans="1:6" ht="15" x14ac:dyDescent="0.25">
      <c r="A1448" s="461">
        <v>3456</v>
      </c>
      <c r="B1448" s="460" t="s">
        <v>9678</v>
      </c>
      <c r="C1448" s="461" t="s">
        <v>1104</v>
      </c>
      <c r="D1448" s="461">
        <v>11.58</v>
      </c>
      <c r="E1448" s="461" t="s">
        <v>161</v>
      </c>
      <c r="F1448" s="461" t="s">
        <v>8328</v>
      </c>
    </row>
    <row r="1449" spans="1:6" ht="15" x14ac:dyDescent="0.25">
      <c r="A1449" s="461">
        <v>3459</v>
      </c>
      <c r="B1449" s="460" t="s">
        <v>9679</v>
      </c>
      <c r="C1449" s="461" t="s">
        <v>1104</v>
      </c>
      <c r="D1449" s="461">
        <v>142.97999999999999</v>
      </c>
      <c r="E1449" s="461" t="s">
        <v>161</v>
      </c>
      <c r="F1449" s="461" t="s">
        <v>8328</v>
      </c>
    </row>
    <row r="1450" spans="1:6" ht="15" x14ac:dyDescent="0.25">
      <c r="A1450" s="461">
        <v>3469</v>
      </c>
      <c r="B1450" s="460" t="s">
        <v>9680</v>
      </c>
      <c r="C1450" s="461" t="s">
        <v>1104</v>
      </c>
      <c r="D1450" s="461">
        <v>271.92</v>
      </c>
      <c r="E1450" s="461" t="s">
        <v>161</v>
      </c>
      <c r="F1450" s="461" t="s">
        <v>8328</v>
      </c>
    </row>
    <row r="1451" spans="1:6" ht="15" x14ac:dyDescent="0.25">
      <c r="A1451" s="461">
        <v>3460</v>
      </c>
      <c r="B1451" s="460" t="s">
        <v>9681</v>
      </c>
      <c r="C1451" s="461" t="s">
        <v>1104</v>
      </c>
      <c r="D1451" s="461">
        <v>396.77</v>
      </c>
      <c r="E1451" s="461" t="s">
        <v>161</v>
      </c>
      <c r="F1451" s="461" t="s">
        <v>8328</v>
      </c>
    </row>
    <row r="1452" spans="1:6" ht="15" x14ac:dyDescent="0.25">
      <c r="A1452" s="461">
        <v>3461</v>
      </c>
      <c r="B1452" s="460" t="s">
        <v>9682</v>
      </c>
      <c r="C1452" s="461" t="s">
        <v>1104</v>
      </c>
      <c r="D1452" s="461">
        <v>1014.11</v>
      </c>
      <c r="E1452" s="461" t="s">
        <v>161</v>
      </c>
      <c r="F1452" s="461" t="s">
        <v>8328</v>
      </c>
    </row>
    <row r="1453" spans="1:6" ht="15" x14ac:dyDescent="0.25">
      <c r="A1453" s="461">
        <v>37433</v>
      </c>
      <c r="B1453" s="460" t="s">
        <v>9683</v>
      </c>
      <c r="C1453" s="461" t="s">
        <v>1104</v>
      </c>
      <c r="D1453" s="461">
        <v>228.21</v>
      </c>
      <c r="E1453" s="461" t="s">
        <v>161</v>
      </c>
      <c r="F1453" s="461" t="s">
        <v>8328</v>
      </c>
    </row>
    <row r="1454" spans="1:6" ht="15" x14ac:dyDescent="0.25">
      <c r="A1454" s="461">
        <v>37430</v>
      </c>
      <c r="B1454" s="460" t="s">
        <v>9684</v>
      </c>
      <c r="C1454" s="461" t="s">
        <v>1104</v>
      </c>
      <c r="D1454" s="461">
        <v>28.6</v>
      </c>
      <c r="E1454" s="461" t="s">
        <v>161</v>
      </c>
      <c r="F1454" s="461" t="s">
        <v>8328</v>
      </c>
    </row>
    <row r="1455" spans="1:6" ht="15" x14ac:dyDescent="0.25">
      <c r="A1455" s="461">
        <v>37434</v>
      </c>
      <c r="B1455" s="460" t="s">
        <v>9685</v>
      </c>
      <c r="C1455" s="461" t="s">
        <v>1104</v>
      </c>
      <c r="D1455" s="461">
        <v>2127.86</v>
      </c>
      <c r="E1455" s="461" t="s">
        <v>161</v>
      </c>
      <c r="F1455" s="461" t="s">
        <v>8328</v>
      </c>
    </row>
    <row r="1456" spans="1:6" ht="15" x14ac:dyDescent="0.25">
      <c r="A1456" s="461">
        <v>37431</v>
      </c>
      <c r="B1456" s="460" t="s">
        <v>9686</v>
      </c>
      <c r="C1456" s="461" t="s">
        <v>1104</v>
      </c>
      <c r="D1456" s="461">
        <v>38.79</v>
      </c>
      <c r="E1456" s="461" t="s">
        <v>161</v>
      </c>
      <c r="F1456" s="461" t="s">
        <v>8328</v>
      </c>
    </row>
    <row r="1457" spans="1:6" ht="15" x14ac:dyDescent="0.25">
      <c r="A1457" s="461">
        <v>37432</v>
      </c>
      <c r="B1457" s="460" t="s">
        <v>9687</v>
      </c>
      <c r="C1457" s="461" t="s">
        <v>1104</v>
      </c>
      <c r="D1457" s="511">
        <v>71.56</v>
      </c>
      <c r="E1457" s="461" t="s">
        <v>161</v>
      </c>
      <c r="F1457" s="461" t="s">
        <v>8328</v>
      </c>
    </row>
    <row r="1458" spans="1:6" ht="30" x14ac:dyDescent="0.25">
      <c r="A1458" s="461">
        <v>37413</v>
      </c>
      <c r="B1458" s="460" t="s">
        <v>9688</v>
      </c>
      <c r="C1458" s="461" t="s">
        <v>1104</v>
      </c>
      <c r="D1458" s="461">
        <v>3.8</v>
      </c>
      <c r="E1458" s="461" t="s">
        <v>161</v>
      </c>
      <c r="F1458" s="461" t="s">
        <v>8328</v>
      </c>
    </row>
    <row r="1459" spans="1:6" ht="30" x14ac:dyDescent="0.25">
      <c r="A1459" s="461">
        <v>37414</v>
      </c>
      <c r="B1459" s="460" t="s">
        <v>9689</v>
      </c>
      <c r="C1459" s="461" t="s">
        <v>1104</v>
      </c>
      <c r="D1459" s="461">
        <v>4.3099999999999996</v>
      </c>
      <c r="E1459" s="461" t="s">
        <v>161</v>
      </c>
      <c r="F1459" s="461" t="s">
        <v>8328</v>
      </c>
    </row>
    <row r="1460" spans="1:6" ht="30" x14ac:dyDescent="0.25">
      <c r="A1460" s="461">
        <v>37415</v>
      </c>
      <c r="B1460" s="460" t="s">
        <v>9690</v>
      </c>
      <c r="C1460" s="461" t="s">
        <v>1104</v>
      </c>
      <c r="D1460" s="511">
        <v>7.84</v>
      </c>
      <c r="E1460" s="461" t="s">
        <v>161</v>
      </c>
      <c r="F1460" s="461" t="s">
        <v>8328</v>
      </c>
    </row>
    <row r="1461" spans="1:6" ht="30" x14ac:dyDescent="0.25">
      <c r="A1461" s="461">
        <v>37416</v>
      </c>
      <c r="B1461" s="460" t="s">
        <v>9691</v>
      </c>
      <c r="C1461" s="461" t="s">
        <v>1104</v>
      </c>
      <c r="D1461" s="461">
        <v>3.55</v>
      </c>
      <c r="E1461" s="461" t="s">
        <v>161</v>
      </c>
      <c r="F1461" s="461" t="s">
        <v>8328</v>
      </c>
    </row>
    <row r="1462" spans="1:6" ht="30" x14ac:dyDescent="0.25">
      <c r="A1462" s="461">
        <v>37417</v>
      </c>
      <c r="B1462" s="460" t="s">
        <v>9692</v>
      </c>
      <c r="C1462" s="461" t="s">
        <v>1104</v>
      </c>
      <c r="D1462" s="461">
        <v>5.1100000000000003</v>
      </c>
      <c r="E1462" s="461" t="s">
        <v>161</v>
      </c>
      <c r="F1462" s="461" t="s">
        <v>8328</v>
      </c>
    </row>
    <row r="1463" spans="1:6" ht="30" x14ac:dyDescent="0.25">
      <c r="A1463" s="461">
        <v>43590</v>
      </c>
      <c r="B1463" s="460" t="s">
        <v>9693</v>
      </c>
      <c r="C1463" s="461" t="s">
        <v>1104</v>
      </c>
      <c r="D1463" s="461">
        <v>140.72</v>
      </c>
      <c r="E1463" s="461" t="s">
        <v>161</v>
      </c>
      <c r="F1463" s="461" t="s">
        <v>8326</v>
      </c>
    </row>
    <row r="1464" spans="1:6" ht="30" x14ac:dyDescent="0.25">
      <c r="A1464" s="461">
        <v>43589</v>
      </c>
      <c r="B1464" s="460" t="s">
        <v>9694</v>
      </c>
      <c r="C1464" s="461" t="s">
        <v>1104</v>
      </c>
      <c r="D1464" s="461">
        <v>25.46</v>
      </c>
      <c r="E1464" s="461" t="s">
        <v>161</v>
      </c>
      <c r="F1464" s="461" t="s">
        <v>8326</v>
      </c>
    </row>
    <row r="1465" spans="1:6" ht="15" x14ac:dyDescent="0.25">
      <c r="A1465" s="461">
        <v>34519</v>
      </c>
      <c r="B1465" s="460" t="s">
        <v>9695</v>
      </c>
      <c r="C1465" s="461" t="s">
        <v>1104</v>
      </c>
      <c r="D1465" s="461">
        <v>81.2</v>
      </c>
      <c r="E1465" s="461" t="s">
        <v>161</v>
      </c>
      <c r="F1465" s="461" t="s">
        <v>8328</v>
      </c>
    </row>
    <row r="1466" spans="1:6" ht="15" x14ac:dyDescent="0.25">
      <c r="A1466" s="461">
        <v>1649</v>
      </c>
      <c r="B1466" s="460" t="s">
        <v>9696</v>
      </c>
      <c r="C1466" s="461" t="s">
        <v>1104</v>
      </c>
      <c r="D1466" s="461">
        <v>85.61</v>
      </c>
      <c r="E1466" s="461" t="s">
        <v>161</v>
      </c>
      <c r="F1466" s="461" t="s">
        <v>8328</v>
      </c>
    </row>
    <row r="1467" spans="1:6" ht="15" x14ac:dyDescent="0.25">
      <c r="A1467" s="461">
        <v>1653</v>
      </c>
      <c r="B1467" s="460" t="s">
        <v>9697</v>
      </c>
      <c r="C1467" s="461" t="s">
        <v>1104</v>
      </c>
      <c r="D1467" s="461">
        <v>67.06</v>
      </c>
      <c r="E1467" s="461" t="s">
        <v>161</v>
      </c>
      <c r="F1467" s="461" t="s">
        <v>8328</v>
      </c>
    </row>
    <row r="1468" spans="1:6" ht="15" x14ac:dyDescent="0.25">
      <c r="A1468" s="461">
        <v>1647</v>
      </c>
      <c r="B1468" s="460" t="s">
        <v>9698</v>
      </c>
      <c r="C1468" s="461" t="s">
        <v>1104</v>
      </c>
      <c r="D1468" s="461">
        <v>24.01</v>
      </c>
      <c r="E1468" s="461" t="s">
        <v>161</v>
      </c>
      <c r="F1468" s="461" t="s">
        <v>8328</v>
      </c>
    </row>
    <row r="1469" spans="1:6" ht="15" x14ac:dyDescent="0.25">
      <c r="A1469" s="461">
        <v>1648</v>
      </c>
      <c r="B1469" s="460" t="s">
        <v>9699</v>
      </c>
      <c r="C1469" s="461" t="s">
        <v>1104</v>
      </c>
      <c r="D1469" s="461">
        <v>46.11</v>
      </c>
      <c r="E1469" s="461" t="s">
        <v>161</v>
      </c>
      <c r="F1469" s="461" t="s">
        <v>8328</v>
      </c>
    </row>
    <row r="1470" spans="1:6" ht="15" x14ac:dyDescent="0.25">
      <c r="A1470" s="461">
        <v>1651</v>
      </c>
      <c r="B1470" s="460" t="s">
        <v>9700</v>
      </c>
      <c r="C1470" s="461" t="s">
        <v>1104</v>
      </c>
      <c r="D1470" s="461">
        <v>213.9</v>
      </c>
      <c r="E1470" s="461" t="s">
        <v>161</v>
      </c>
      <c r="F1470" s="461" t="s">
        <v>8328</v>
      </c>
    </row>
    <row r="1471" spans="1:6" ht="15" x14ac:dyDescent="0.25">
      <c r="A1471" s="461">
        <v>1650</v>
      </c>
      <c r="B1471" s="460" t="s">
        <v>9701</v>
      </c>
      <c r="C1471" s="461" t="s">
        <v>1104</v>
      </c>
      <c r="D1471" s="461">
        <v>118.23</v>
      </c>
      <c r="E1471" s="461" t="s">
        <v>161</v>
      </c>
      <c r="F1471" s="461" t="s">
        <v>8328</v>
      </c>
    </row>
    <row r="1472" spans="1:6" ht="15" x14ac:dyDescent="0.25">
      <c r="A1472" s="461">
        <v>1654</v>
      </c>
      <c r="B1472" s="460" t="s">
        <v>9702</v>
      </c>
      <c r="C1472" s="461" t="s">
        <v>1104</v>
      </c>
      <c r="D1472" s="461">
        <v>32.96</v>
      </c>
      <c r="E1472" s="461" t="s">
        <v>161</v>
      </c>
      <c r="F1472" s="461" t="s">
        <v>8328</v>
      </c>
    </row>
    <row r="1473" spans="1:6" ht="15" x14ac:dyDescent="0.25">
      <c r="A1473" s="461">
        <v>1652</v>
      </c>
      <c r="B1473" s="460" t="s">
        <v>9703</v>
      </c>
      <c r="C1473" s="461" t="s">
        <v>1104</v>
      </c>
      <c r="D1473" s="461">
        <v>307.01</v>
      </c>
      <c r="E1473" s="461" t="s">
        <v>161</v>
      </c>
      <c r="F1473" s="461" t="s">
        <v>8328</v>
      </c>
    </row>
    <row r="1474" spans="1:6" ht="30" x14ac:dyDescent="0.25">
      <c r="A1474" s="461">
        <v>10510</v>
      </c>
      <c r="B1474" s="460" t="s">
        <v>9704</v>
      </c>
      <c r="C1474" s="461" t="s">
        <v>1104</v>
      </c>
      <c r="D1474" s="461">
        <v>150.66</v>
      </c>
      <c r="E1474" s="461" t="s">
        <v>161</v>
      </c>
      <c r="F1474" s="461" t="s">
        <v>8326</v>
      </c>
    </row>
    <row r="1475" spans="1:6" ht="15" x14ac:dyDescent="0.25">
      <c r="A1475" s="461">
        <v>1747</v>
      </c>
      <c r="B1475" s="460" t="s">
        <v>9705</v>
      </c>
      <c r="C1475" s="461" t="s">
        <v>1104</v>
      </c>
      <c r="D1475" s="461">
        <v>191.22</v>
      </c>
      <c r="E1475" s="461" t="s">
        <v>161</v>
      </c>
      <c r="F1475" s="461" t="s">
        <v>8326</v>
      </c>
    </row>
    <row r="1476" spans="1:6" ht="15" x14ac:dyDescent="0.25">
      <c r="A1476" s="461">
        <v>1744</v>
      </c>
      <c r="B1476" s="460" t="s">
        <v>9706</v>
      </c>
      <c r="C1476" s="461" t="s">
        <v>1104</v>
      </c>
      <c r="D1476" s="461">
        <v>132.44999999999999</v>
      </c>
      <c r="E1476" s="461" t="s">
        <v>161</v>
      </c>
      <c r="F1476" s="461" t="s">
        <v>8326</v>
      </c>
    </row>
    <row r="1477" spans="1:6" ht="15" x14ac:dyDescent="0.25">
      <c r="A1477" s="461">
        <v>1743</v>
      </c>
      <c r="B1477" s="460" t="s">
        <v>9707</v>
      </c>
      <c r="C1477" s="461" t="s">
        <v>1104</v>
      </c>
      <c r="D1477" s="461">
        <v>173.93</v>
      </c>
      <c r="E1477" s="461" t="s">
        <v>161</v>
      </c>
      <c r="F1477" s="461" t="s">
        <v>8326</v>
      </c>
    </row>
    <row r="1478" spans="1:6" ht="30" x14ac:dyDescent="0.25">
      <c r="A1478" s="461">
        <v>39640</v>
      </c>
      <c r="B1478" s="460" t="s">
        <v>9708</v>
      </c>
      <c r="C1478" s="461" t="s">
        <v>1104</v>
      </c>
      <c r="D1478" s="461">
        <v>12.13</v>
      </c>
      <c r="E1478" s="461" t="s">
        <v>161</v>
      </c>
      <c r="F1478" s="461" t="s">
        <v>8326</v>
      </c>
    </row>
    <row r="1479" spans="1:6" ht="30" x14ac:dyDescent="0.25">
      <c r="A1479" s="461">
        <v>7216</v>
      </c>
      <c r="B1479" s="460" t="s">
        <v>9709</v>
      </c>
      <c r="C1479" s="461" t="s">
        <v>1104</v>
      </c>
      <c r="D1479" s="461">
        <v>65.19</v>
      </c>
      <c r="E1479" s="461" t="s">
        <v>161</v>
      </c>
      <c r="F1479" s="461" t="s">
        <v>8326</v>
      </c>
    </row>
    <row r="1480" spans="1:6" ht="30" x14ac:dyDescent="0.25">
      <c r="A1480" s="461">
        <v>20235</v>
      </c>
      <c r="B1480" s="460" t="s">
        <v>9710</v>
      </c>
      <c r="C1480" s="461" t="s">
        <v>1104</v>
      </c>
      <c r="D1480" s="461">
        <v>52.41</v>
      </c>
      <c r="E1480" s="461" t="s">
        <v>161</v>
      </c>
      <c r="F1480" s="461" t="s">
        <v>8326</v>
      </c>
    </row>
    <row r="1481" spans="1:6" ht="30" x14ac:dyDescent="0.25">
      <c r="A1481" s="461">
        <v>7181</v>
      </c>
      <c r="B1481" s="460" t="s">
        <v>9711</v>
      </c>
      <c r="C1481" s="461" t="s">
        <v>1104</v>
      </c>
      <c r="D1481" s="461">
        <v>3.71</v>
      </c>
      <c r="E1481" s="461" t="s">
        <v>161</v>
      </c>
      <c r="F1481" s="461" t="s">
        <v>8326</v>
      </c>
    </row>
    <row r="1482" spans="1:6" ht="30" x14ac:dyDescent="0.25">
      <c r="A1482" s="461">
        <v>40742</v>
      </c>
      <c r="B1482" s="460" t="s">
        <v>9712</v>
      </c>
      <c r="C1482" s="461" t="s">
        <v>1104</v>
      </c>
      <c r="D1482" s="461">
        <v>12.08</v>
      </c>
      <c r="E1482" s="461" t="s">
        <v>161</v>
      </c>
      <c r="F1482" s="461" t="s">
        <v>8326</v>
      </c>
    </row>
    <row r="1483" spans="1:6" ht="30" x14ac:dyDescent="0.25">
      <c r="A1483" s="461">
        <v>7214</v>
      </c>
      <c r="B1483" s="460" t="s">
        <v>9713</v>
      </c>
      <c r="C1483" s="461" t="s">
        <v>1104</v>
      </c>
      <c r="D1483" s="461">
        <v>63.66</v>
      </c>
      <c r="E1483" s="461" t="s">
        <v>161</v>
      </c>
      <c r="F1483" s="461" t="s">
        <v>8326</v>
      </c>
    </row>
    <row r="1484" spans="1:6" ht="30" x14ac:dyDescent="0.25">
      <c r="A1484" s="461">
        <v>7219</v>
      </c>
      <c r="B1484" s="460" t="s">
        <v>9714</v>
      </c>
      <c r="C1484" s="461" t="s">
        <v>1104</v>
      </c>
      <c r="D1484" s="461">
        <v>56.46</v>
      </c>
      <c r="E1484" s="461" t="s">
        <v>161</v>
      </c>
      <c r="F1484" s="461" t="s">
        <v>8326</v>
      </c>
    </row>
    <row r="1485" spans="1:6" ht="15" x14ac:dyDescent="0.25">
      <c r="A1485" s="461">
        <v>37971</v>
      </c>
      <c r="B1485" s="460" t="s">
        <v>9715</v>
      </c>
      <c r="C1485" s="461" t="s">
        <v>1104</v>
      </c>
      <c r="D1485" s="461">
        <v>4.21</v>
      </c>
      <c r="E1485" s="461" t="s">
        <v>161</v>
      </c>
      <c r="F1485" s="461" t="s">
        <v>8326</v>
      </c>
    </row>
    <row r="1486" spans="1:6" ht="15" x14ac:dyDescent="0.25">
      <c r="A1486" s="461">
        <v>37972</v>
      </c>
      <c r="B1486" s="460" t="s">
        <v>9716</v>
      </c>
      <c r="C1486" s="461" t="s">
        <v>1104</v>
      </c>
      <c r="D1486" s="461">
        <v>5.97</v>
      </c>
      <c r="E1486" s="461" t="s">
        <v>161</v>
      </c>
      <c r="F1486" s="461" t="s">
        <v>8326</v>
      </c>
    </row>
    <row r="1487" spans="1:6" ht="15" x14ac:dyDescent="0.25">
      <c r="A1487" s="461">
        <v>37973</v>
      </c>
      <c r="B1487" s="460" t="s">
        <v>9717</v>
      </c>
      <c r="C1487" s="461" t="s">
        <v>1104</v>
      </c>
      <c r="D1487" s="461">
        <v>11.22</v>
      </c>
      <c r="E1487" s="461" t="s">
        <v>161</v>
      </c>
      <c r="F1487" s="461" t="s">
        <v>8326</v>
      </c>
    </row>
    <row r="1488" spans="1:6" ht="30" x14ac:dyDescent="0.25">
      <c r="A1488" s="461">
        <v>1926</v>
      </c>
      <c r="B1488" s="460" t="s">
        <v>9718</v>
      </c>
      <c r="C1488" s="461" t="s">
        <v>1104</v>
      </c>
      <c r="D1488" s="461">
        <v>2.15</v>
      </c>
      <c r="E1488" s="461" t="s">
        <v>161</v>
      </c>
      <c r="F1488" s="461" t="s">
        <v>8326</v>
      </c>
    </row>
    <row r="1489" spans="1:6" ht="30" x14ac:dyDescent="0.25">
      <c r="A1489" s="461">
        <v>1927</v>
      </c>
      <c r="B1489" s="460" t="s">
        <v>9719</v>
      </c>
      <c r="C1489" s="461" t="s">
        <v>1104</v>
      </c>
      <c r="D1489" s="461">
        <v>2.41</v>
      </c>
      <c r="E1489" s="461" t="s">
        <v>161</v>
      </c>
      <c r="F1489" s="461" t="s">
        <v>8326</v>
      </c>
    </row>
    <row r="1490" spans="1:6" ht="30" x14ac:dyDescent="0.25">
      <c r="A1490" s="461">
        <v>1923</v>
      </c>
      <c r="B1490" s="460" t="s">
        <v>9720</v>
      </c>
      <c r="C1490" s="461" t="s">
        <v>1104</v>
      </c>
      <c r="D1490" s="461">
        <v>4.3899999999999997</v>
      </c>
      <c r="E1490" s="461" t="s">
        <v>161</v>
      </c>
      <c r="F1490" s="461" t="s">
        <v>8326</v>
      </c>
    </row>
    <row r="1491" spans="1:6" ht="30" x14ac:dyDescent="0.25">
      <c r="A1491" s="461">
        <v>1929</v>
      </c>
      <c r="B1491" s="460" t="s">
        <v>9721</v>
      </c>
      <c r="C1491" s="461" t="s">
        <v>1104</v>
      </c>
      <c r="D1491" s="461">
        <v>5.32</v>
      </c>
      <c r="E1491" s="461" t="s">
        <v>161</v>
      </c>
      <c r="F1491" s="461" t="s">
        <v>8326</v>
      </c>
    </row>
    <row r="1492" spans="1:6" ht="30" x14ac:dyDescent="0.25">
      <c r="A1492" s="461">
        <v>1930</v>
      </c>
      <c r="B1492" s="460" t="s">
        <v>9722</v>
      </c>
      <c r="C1492" s="461" t="s">
        <v>1104</v>
      </c>
      <c r="D1492" s="461">
        <v>9.11</v>
      </c>
      <c r="E1492" s="461" t="s">
        <v>161</v>
      </c>
      <c r="F1492" s="461" t="s">
        <v>8326</v>
      </c>
    </row>
    <row r="1493" spans="1:6" ht="30" x14ac:dyDescent="0.25">
      <c r="A1493" s="461">
        <v>1924</v>
      </c>
      <c r="B1493" s="460" t="s">
        <v>9723</v>
      </c>
      <c r="C1493" s="461" t="s">
        <v>1104</v>
      </c>
      <c r="D1493" s="461">
        <v>14.7</v>
      </c>
      <c r="E1493" s="461" t="s">
        <v>161</v>
      </c>
      <c r="F1493" s="461" t="s">
        <v>8326</v>
      </c>
    </row>
    <row r="1494" spans="1:6" ht="30" x14ac:dyDescent="0.25">
      <c r="A1494" s="461">
        <v>1922</v>
      </c>
      <c r="B1494" s="460" t="s">
        <v>9724</v>
      </c>
      <c r="C1494" s="461" t="s">
        <v>1104</v>
      </c>
      <c r="D1494" s="461">
        <v>30.41</v>
      </c>
      <c r="E1494" s="461" t="s">
        <v>161</v>
      </c>
      <c r="F1494" s="461" t="s">
        <v>8326</v>
      </c>
    </row>
    <row r="1495" spans="1:6" ht="30" x14ac:dyDescent="0.25">
      <c r="A1495" s="461">
        <v>1953</v>
      </c>
      <c r="B1495" s="460" t="s">
        <v>9725</v>
      </c>
      <c r="C1495" s="461" t="s">
        <v>1104</v>
      </c>
      <c r="D1495" s="461">
        <v>37.119999999999997</v>
      </c>
      <c r="E1495" s="461" t="s">
        <v>161</v>
      </c>
      <c r="F1495" s="461" t="s">
        <v>8326</v>
      </c>
    </row>
    <row r="1496" spans="1:6" ht="30" x14ac:dyDescent="0.25">
      <c r="A1496" s="461">
        <v>1962</v>
      </c>
      <c r="B1496" s="460" t="s">
        <v>9726</v>
      </c>
      <c r="C1496" s="461" t="s">
        <v>1104</v>
      </c>
      <c r="D1496" s="461">
        <v>180.36</v>
      </c>
      <c r="E1496" s="461" t="s">
        <v>161</v>
      </c>
      <c r="F1496" s="461" t="s">
        <v>8326</v>
      </c>
    </row>
    <row r="1497" spans="1:6" ht="30" x14ac:dyDescent="0.25">
      <c r="A1497" s="461">
        <v>1955</v>
      </c>
      <c r="B1497" s="460" t="s">
        <v>9727</v>
      </c>
      <c r="C1497" s="461" t="s">
        <v>1104</v>
      </c>
      <c r="D1497" s="461">
        <v>2.0699999999999998</v>
      </c>
      <c r="E1497" s="461" t="s">
        <v>161</v>
      </c>
      <c r="F1497" s="461" t="s">
        <v>8326</v>
      </c>
    </row>
    <row r="1498" spans="1:6" ht="30" x14ac:dyDescent="0.25">
      <c r="A1498" s="461">
        <v>1956</v>
      </c>
      <c r="B1498" s="460" t="s">
        <v>9728</v>
      </c>
      <c r="C1498" s="461" t="s">
        <v>1104</v>
      </c>
      <c r="D1498" s="461">
        <v>2.93</v>
      </c>
      <c r="E1498" s="461" t="s">
        <v>161</v>
      </c>
      <c r="F1498" s="461" t="s">
        <v>8326</v>
      </c>
    </row>
    <row r="1499" spans="1:6" ht="30" x14ac:dyDescent="0.25">
      <c r="A1499" s="461">
        <v>1957</v>
      </c>
      <c r="B1499" s="460" t="s">
        <v>9729</v>
      </c>
      <c r="C1499" s="461" t="s">
        <v>1104</v>
      </c>
      <c r="D1499" s="461">
        <v>6.34</v>
      </c>
      <c r="E1499" s="461" t="s">
        <v>161</v>
      </c>
      <c r="F1499" s="461" t="s">
        <v>8326</v>
      </c>
    </row>
    <row r="1500" spans="1:6" ht="30" x14ac:dyDescent="0.25">
      <c r="A1500" s="461">
        <v>1958</v>
      </c>
      <c r="B1500" s="460" t="s">
        <v>9730</v>
      </c>
      <c r="C1500" s="461" t="s">
        <v>1104</v>
      </c>
      <c r="D1500" s="461">
        <v>11.81</v>
      </c>
      <c r="E1500" s="461" t="s">
        <v>161</v>
      </c>
      <c r="F1500" s="461" t="s">
        <v>8326</v>
      </c>
    </row>
    <row r="1501" spans="1:6" ht="30" x14ac:dyDescent="0.25">
      <c r="A1501" s="461">
        <v>1959</v>
      </c>
      <c r="B1501" s="460" t="s">
        <v>9731</v>
      </c>
      <c r="C1501" s="461" t="s">
        <v>1104</v>
      </c>
      <c r="D1501" s="461">
        <v>12.81</v>
      </c>
      <c r="E1501" s="461" t="s">
        <v>161</v>
      </c>
      <c r="F1501" s="461" t="s">
        <v>8326</v>
      </c>
    </row>
    <row r="1502" spans="1:6" ht="30" x14ac:dyDescent="0.25">
      <c r="A1502" s="461">
        <v>1925</v>
      </c>
      <c r="B1502" s="460" t="s">
        <v>9732</v>
      </c>
      <c r="C1502" s="461" t="s">
        <v>1104</v>
      </c>
      <c r="D1502" s="461">
        <v>33.49</v>
      </c>
      <c r="E1502" s="461" t="s">
        <v>161</v>
      </c>
      <c r="F1502" s="461" t="s">
        <v>8326</v>
      </c>
    </row>
    <row r="1503" spans="1:6" ht="30" x14ac:dyDescent="0.25">
      <c r="A1503" s="461">
        <v>1960</v>
      </c>
      <c r="B1503" s="460" t="s">
        <v>9733</v>
      </c>
      <c r="C1503" s="461" t="s">
        <v>1104</v>
      </c>
      <c r="D1503" s="461">
        <v>51.43</v>
      </c>
      <c r="E1503" s="461" t="s">
        <v>161</v>
      </c>
      <c r="F1503" s="461" t="s">
        <v>8326</v>
      </c>
    </row>
    <row r="1504" spans="1:6" ht="30" x14ac:dyDescent="0.25">
      <c r="A1504" s="461">
        <v>1961</v>
      </c>
      <c r="B1504" s="460" t="s">
        <v>9734</v>
      </c>
      <c r="C1504" s="461" t="s">
        <v>1104</v>
      </c>
      <c r="D1504" s="461">
        <v>65.89</v>
      </c>
      <c r="E1504" s="461" t="s">
        <v>161</v>
      </c>
      <c r="F1504" s="461" t="s">
        <v>8326</v>
      </c>
    </row>
    <row r="1505" spans="1:6" ht="15" x14ac:dyDescent="0.25">
      <c r="A1505" s="461">
        <v>38423</v>
      </c>
      <c r="B1505" s="460" t="s">
        <v>9735</v>
      </c>
      <c r="C1505" s="461" t="s">
        <v>1104</v>
      </c>
      <c r="D1505" s="461">
        <v>29.72</v>
      </c>
      <c r="E1505" s="461" t="s">
        <v>161</v>
      </c>
      <c r="F1505" s="461" t="s">
        <v>8326</v>
      </c>
    </row>
    <row r="1506" spans="1:6" ht="30" x14ac:dyDescent="0.25">
      <c r="A1506" s="461">
        <v>39866</v>
      </c>
      <c r="B1506" s="460" t="s">
        <v>9736</v>
      </c>
      <c r="C1506" s="461" t="s">
        <v>1104</v>
      </c>
      <c r="D1506" s="461">
        <v>20.56</v>
      </c>
      <c r="E1506" s="461" t="s">
        <v>161</v>
      </c>
      <c r="F1506" s="461" t="s">
        <v>8326</v>
      </c>
    </row>
    <row r="1507" spans="1:6" ht="30" x14ac:dyDescent="0.25">
      <c r="A1507" s="461">
        <v>39867</v>
      </c>
      <c r="B1507" s="460" t="s">
        <v>9737</v>
      </c>
      <c r="C1507" s="461" t="s">
        <v>1104</v>
      </c>
      <c r="D1507" s="461">
        <v>45.71</v>
      </c>
      <c r="E1507" s="461" t="s">
        <v>161</v>
      </c>
      <c r="F1507" s="461" t="s">
        <v>8326</v>
      </c>
    </row>
    <row r="1508" spans="1:6" ht="30" x14ac:dyDescent="0.25">
      <c r="A1508" s="461">
        <v>39868</v>
      </c>
      <c r="B1508" s="460" t="s">
        <v>9738</v>
      </c>
      <c r="C1508" s="461" t="s">
        <v>1104</v>
      </c>
      <c r="D1508" s="461">
        <v>82.35</v>
      </c>
      <c r="E1508" s="461" t="s">
        <v>161</v>
      </c>
      <c r="F1508" s="461" t="s">
        <v>8326</v>
      </c>
    </row>
    <row r="1509" spans="1:6" ht="15" x14ac:dyDescent="0.25">
      <c r="A1509" s="461">
        <v>37999</v>
      </c>
      <c r="B1509" s="460" t="s">
        <v>9739</v>
      </c>
      <c r="C1509" s="461" t="s">
        <v>1104</v>
      </c>
      <c r="D1509" s="461">
        <v>7.1</v>
      </c>
      <c r="E1509" s="461" t="s">
        <v>161</v>
      </c>
      <c r="F1509" s="461" t="s">
        <v>8326</v>
      </c>
    </row>
    <row r="1510" spans="1:6" ht="15" x14ac:dyDescent="0.25">
      <c r="A1510" s="461">
        <v>38000</v>
      </c>
      <c r="B1510" s="460" t="s">
        <v>9740</v>
      </c>
      <c r="C1510" s="461" t="s">
        <v>1104</v>
      </c>
      <c r="D1510" s="461">
        <v>8.2899999999999991</v>
      </c>
      <c r="E1510" s="461" t="s">
        <v>161</v>
      </c>
      <c r="F1510" s="461" t="s">
        <v>8326</v>
      </c>
    </row>
    <row r="1511" spans="1:6" ht="30" x14ac:dyDescent="0.25">
      <c r="A1511" s="461">
        <v>38129</v>
      </c>
      <c r="B1511" s="460" t="s">
        <v>9741</v>
      </c>
      <c r="C1511" s="461" t="s">
        <v>1104</v>
      </c>
      <c r="D1511" s="461">
        <v>4.84</v>
      </c>
      <c r="E1511" s="461" t="s">
        <v>161</v>
      </c>
      <c r="F1511" s="461" t="s">
        <v>8326</v>
      </c>
    </row>
    <row r="1512" spans="1:6" ht="30" x14ac:dyDescent="0.25">
      <c r="A1512" s="461">
        <v>38025</v>
      </c>
      <c r="B1512" s="460" t="s">
        <v>9742</v>
      </c>
      <c r="C1512" s="461" t="s">
        <v>1104</v>
      </c>
      <c r="D1512" s="461">
        <v>6.56</v>
      </c>
      <c r="E1512" s="461" t="s">
        <v>161</v>
      </c>
      <c r="F1512" s="461" t="s">
        <v>8326</v>
      </c>
    </row>
    <row r="1513" spans="1:6" ht="30" x14ac:dyDescent="0.25">
      <c r="A1513" s="461">
        <v>38026</v>
      </c>
      <c r="B1513" s="460" t="s">
        <v>9743</v>
      </c>
      <c r="C1513" s="461" t="s">
        <v>1104</v>
      </c>
      <c r="D1513" s="461">
        <v>16.21</v>
      </c>
      <c r="E1513" s="461" t="s">
        <v>161</v>
      </c>
      <c r="F1513" s="461" t="s">
        <v>8326</v>
      </c>
    </row>
    <row r="1514" spans="1:6" ht="15" x14ac:dyDescent="0.25">
      <c r="A1514" s="461">
        <v>1858</v>
      </c>
      <c r="B1514" s="460" t="s">
        <v>9744</v>
      </c>
      <c r="C1514" s="461" t="s">
        <v>1104</v>
      </c>
      <c r="D1514" s="461">
        <v>46.05</v>
      </c>
      <c r="E1514" s="461" t="s">
        <v>161</v>
      </c>
      <c r="F1514" s="461" t="s">
        <v>8326</v>
      </c>
    </row>
    <row r="1515" spans="1:6" ht="15" x14ac:dyDescent="0.25">
      <c r="A1515" s="461">
        <v>1844</v>
      </c>
      <c r="B1515" s="460" t="s">
        <v>9745</v>
      </c>
      <c r="C1515" s="461" t="s">
        <v>1104</v>
      </c>
      <c r="D1515" s="461">
        <v>105.46</v>
      </c>
      <c r="E1515" s="461" t="s">
        <v>161</v>
      </c>
      <c r="F1515" s="461" t="s">
        <v>8326</v>
      </c>
    </row>
    <row r="1516" spans="1:6" ht="15" x14ac:dyDescent="0.25">
      <c r="A1516" s="461">
        <v>1863</v>
      </c>
      <c r="B1516" s="460" t="s">
        <v>9746</v>
      </c>
      <c r="C1516" s="461" t="s">
        <v>1104</v>
      </c>
      <c r="D1516" s="461">
        <v>49</v>
      </c>
      <c r="E1516" s="461" t="s">
        <v>161</v>
      </c>
      <c r="F1516" s="461" t="s">
        <v>8326</v>
      </c>
    </row>
    <row r="1517" spans="1:6" ht="15" x14ac:dyDescent="0.25">
      <c r="A1517" s="461">
        <v>1865</v>
      </c>
      <c r="B1517" s="460" t="s">
        <v>9747</v>
      </c>
      <c r="C1517" s="461" t="s">
        <v>1104</v>
      </c>
      <c r="D1517" s="461">
        <v>127.68</v>
      </c>
      <c r="E1517" s="461" t="s">
        <v>161</v>
      </c>
      <c r="F1517" s="461" t="s">
        <v>8326</v>
      </c>
    </row>
    <row r="1518" spans="1:6" ht="15" x14ac:dyDescent="0.25">
      <c r="A1518" s="461">
        <v>36355</v>
      </c>
      <c r="B1518" s="460" t="s">
        <v>9748</v>
      </c>
      <c r="C1518" s="461" t="s">
        <v>1104</v>
      </c>
      <c r="D1518" s="461">
        <v>11.23</v>
      </c>
      <c r="E1518" s="461" t="s">
        <v>161</v>
      </c>
      <c r="F1518" s="461" t="s">
        <v>8326</v>
      </c>
    </row>
    <row r="1519" spans="1:6" ht="15" x14ac:dyDescent="0.25">
      <c r="A1519" s="461">
        <v>36356</v>
      </c>
      <c r="B1519" s="460" t="s">
        <v>9749</v>
      </c>
      <c r="C1519" s="461" t="s">
        <v>1104</v>
      </c>
      <c r="D1519" s="461">
        <v>18.059999999999999</v>
      </c>
      <c r="E1519" s="461" t="s">
        <v>161</v>
      </c>
      <c r="F1519" s="461" t="s">
        <v>8326</v>
      </c>
    </row>
    <row r="1520" spans="1:6" ht="15" x14ac:dyDescent="0.25">
      <c r="A1520" s="461">
        <v>1966</v>
      </c>
      <c r="B1520" s="460" t="s">
        <v>9750</v>
      </c>
      <c r="C1520" s="461" t="s">
        <v>1104</v>
      </c>
      <c r="D1520" s="461">
        <v>19.54</v>
      </c>
      <c r="E1520" s="461" t="s">
        <v>161</v>
      </c>
      <c r="F1520" s="461" t="s">
        <v>8326</v>
      </c>
    </row>
    <row r="1521" spans="1:6" ht="15" x14ac:dyDescent="0.25">
      <c r="A1521" s="461">
        <v>1933</v>
      </c>
      <c r="B1521" s="460" t="s">
        <v>9751</v>
      </c>
      <c r="C1521" s="461" t="s">
        <v>1104</v>
      </c>
      <c r="D1521" s="461">
        <v>4.21</v>
      </c>
      <c r="E1521" s="461" t="s">
        <v>161</v>
      </c>
      <c r="F1521" s="461" t="s">
        <v>8326</v>
      </c>
    </row>
    <row r="1522" spans="1:6" ht="15" x14ac:dyDescent="0.25">
      <c r="A1522" s="461">
        <v>1932</v>
      </c>
      <c r="B1522" s="460" t="s">
        <v>9752</v>
      </c>
      <c r="C1522" s="461" t="s">
        <v>1104</v>
      </c>
      <c r="D1522" s="461">
        <v>9.64</v>
      </c>
      <c r="E1522" s="461" t="s">
        <v>161</v>
      </c>
      <c r="F1522" s="461" t="s">
        <v>8326</v>
      </c>
    </row>
    <row r="1523" spans="1:6" ht="15" x14ac:dyDescent="0.25">
      <c r="A1523" s="461">
        <v>1951</v>
      </c>
      <c r="B1523" s="460" t="s">
        <v>9753</v>
      </c>
      <c r="C1523" s="461" t="s">
        <v>1104</v>
      </c>
      <c r="D1523" s="461">
        <v>20.100000000000001</v>
      </c>
      <c r="E1523" s="461" t="s">
        <v>161</v>
      </c>
      <c r="F1523" s="461" t="s">
        <v>8326</v>
      </c>
    </row>
    <row r="1524" spans="1:6" ht="15" x14ac:dyDescent="0.25">
      <c r="A1524" s="461">
        <v>1970</v>
      </c>
      <c r="B1524" s="460" t="s">
        <v>9754</v>
      </c>
      <c r="C1524" s="461" t="s">
        <v>1104</v>
      </c>
      <c r="D1524" s="461">
        <v>48.85</v>
      </c>
      <c r="E1524" s="461" t="s">
        <v>161</v>
      </c>
      <c r="F1524" s="461" t="s">
        <v>8326</v>
      </c>
    </row>
    <row r="1525" spans="1:6" ht="15" x14ac:dyDescent="0.25">
      <c r="A1525" s="461">
        <v>1967</v>
      </c>
      <c r="B1525" s="460" t="s">
        <v>9755</v>
      </c>
      <c r="C1525" s="461" t="s">
        <v>1104</v>
      </c>
      <c r="D1525" s="461">
        <v>5.8</v>
      </c>
      <c r="E1525" s="461" t="s">
        <v>161</v>
      </c>
      <c r="F1525" s="461" t="s">
        <v>8326</v>
      </c>
    </row>
    <row r="1526" spans="1:6" ht="15" x14ac:dyDescent="0.25">
      <c r="A1526" s="461">
        <v>1968</v>
      </c>
      <c r="B1526" s="460" t="s">
        <v>9756</v>
      </c>
      <c r="C1526" s="461" t="s">
        <v>1104</v>
      </c>
      <c r="D1526" s="461">
        <v>11.46</v>
      </c>
      <c r="E1526" s="461" t="s">
        <v>161</v>
      </c>
      <c r="F1526" s="461" t="s">
        <v>8326</v>
      </c>
    </row>
    <row r="1527" spans="1:6" ht="15" x14ac:dyDescent="0.25">
      <c r="A1527" s="461">
        <v>1969</v>
      </c>
      <c r="B1527" s="460" t="s">
        <v>9757</v>
      </c>
      <c r="C1527" s="461" t="s">
        <v>1104</v>
      </c>
      <c r="D1527" s="461">
        <v>37.32</v>
      </c>
      <c r="E1527" s="461" t="s">
        <v>161</v>
      </c>
      <c r="F1527" s="461" t="s">
        <v>8326</v>
      </c>
    </row>
    <row r="1528" spans="1:6" ht="15" x14ac:dyDescent="0.25">
      <c r="A1528" s="461">
        <v>1827</v>
      </c>
      <c r="B1528" s="460" t="s">
        <v>9758</v>
      </c>
      <c r="C1528" s="461" t="s">
        <v>1104</v>
      </c>
      <c r="D1528" s="461">
        <v>110.03</v>
      </c>
      <c r="E1528" s="461" t="s">
        <v>161</v>
      </c>
      <c r="F1528" s="461" t="s">
        <v>8328</v>
      </c>
    </row>
    <row r="1529" spans="1:6" ht="15" x14ac:dyDescent="0.25">
      <c r="A1529" s="461">
        <v>1831</v>
      </c>
      <c r="B1529" s="460" t="s">
        <v>9759</v>
      </c>
      <c r="C1529" s="461" t="s">
        <v>1104</v>
      </c>
      <c r="D1529" s="461">
        <v>24.02</v>
      </c>
      <c r="E1529" s="461" t="s">
        <v>161</v>
      </c>
      <c r="F1529" s="461" t="s">
        <v>8328</v>
      </c>
    </row>
    <row r="1530" spans="1:6" ht="15" x14ac:dyDescent="0.25">
      <c r="A1530" s="461">
        <v>1825</v>
      </c>
      <c r="B1530" s="460" t="s">
        <v>9760</v>
      </c>
      <c r="C1530" s="461" t="s">
        <v>1104</v>
      </c>
      <c r="D1530" s="461">
        <v>59.28</v>
      </c>
      <c r="E1530" s="461" t="s">
        <v>161</v>
      </c>
      <c r="F1530" s="461" t="s">
        <v>8328</v>
      </c>
    </row>
    <row r="1531" spans="1:6" ht="15" x14ac:dyDescent="0.25">
      <c r="A1531" s="461">
        <v>1828</v>
      </c>
      <c r="B1531" s="460" t="s">
        <v>9761</v>
      </c>
      <c r="C1531" s="461" t="s">
        <v>1104</v>
      </c>
      <c r="D1531" s="461">
        <v>134.27000000000001</v>
      </c>
      <c r="E1531" s="461" t="s">
        <v>161</v>
      </c>
      <c r="F1531" s="461" t="s">
        <v>8328</v>
      </c>
    </row>
    <row r="1532" spans="1:6" ht="15" x14ac:dyDescent="0.25">
      <c r="A1532" s="461">
        <v>1845</v>
      </c>
      <c r="B1532" s="460" t="s">
        <v>9762</v>
      </c>
      <c r="C1532" s="461" t="s">
        <v>1104</v>
      </c>
      <c r="D1532" s="461">
        <v>30.1</v>
      </c>
      <c r="E1532" s="461" t="s">
        <v>161</v>
      </c>
      <c r="F1532" s="461" t="s">
        <v>8328</v>
      </c>
    </row>
    <row r="1533" spans="1:6" ht="15" x14ac:dyDescent="0.25">
      <c r="A1533" s="461">
        <v>1824</v>
      </c>
      <c r="B1533" s="460" t="s">
        <v>9763</v>
      </c>
      <c r="C1533" s="461" t="s">
        <v>1104</v>
      </c>
      <c r="D1533" s="461">
        <v>71.06</v>
      </c>
      <c r="E1533" s="461" t="s">
        <v>161</v>
      </c>
      <c r="F1533" s="461" t="s">
        <v>8328</v>
      </c>
    </row>
    <row r="1534" spans="1:6" ht="15" x14ac:dyDescent="0.25">
      <c r="A1534" s="461">
        <v>1940</v>
      </c>
      <c r="B1534" s="460" t="s">
        <v>9764</v>
      </c>
      <c r="C1534" s="461" t="s">
        <v>1104</v>
      </c>
      <c r="D1534" s="461">
        <v>32.729999999999997</v>
      </c>
      <c r="E1534" s="461" t="s">
        <v>161</v>
      </c>
      <c r="F1534" s="461" t="s">
        <v>8326</v>
      </c>
    </row>
    <row r="1535" spans="1:6" ht="15" x14ac:dyDescent="0.25">
      <c r="A1535" s="461">
        <v>1937</v>
      </c>
      <c r="B1535" s="460" t="s">
        <v>9765</v>
      </c>
      <c r="C1535" s="461" t="s">
        <v>1104</v>
      </c>
      <c r="D1535" s="461">
        <v>5.52</v>
      </c>
      <c r="E1535" s="461" t="s">
        <v>161</v>
      </c>
      <c r="F1535" s="461" t="s">
        <v>8326</v>
      </c>
    </row>
    <row r="1536" spans="1:6" ht="15" x14ac:dyDescent="0.25">
      <c r="A1536" s="461">
        <v>1939</v>
      </c>
      <c r="B1536" s="460" t="s">
        <v>9766</v>
      </c>
      <c r="C1536" s="461" t="s">
        <v>1104</v>
      </c>
      <c r="D1536" s="461">
        <v>8.9700000000000006</v>
      </c>
      <c r="E1536" s="461" t="s">
        <v>161</v>
      </c>
      <c r="F1536" s="461" t="s">
        <v>8326</v>
      </c>
    </row>
    <row r="1537" spans="1:6" ht="15" x14ac:dyDescent="0.25">
      <c r="A1537" s="461">
        <v>1938</v>
      </c>
      <c r="B1537" s="460" t="s">
        <v>9767</v>
      </c>
      <c r="C1537" s="461" t="s">
        <v>1104</v>
      </c>
      <c r="D1537" s="461">
        <v>6.28</v>
      </c>
      <c r="E1537" s="461" t="s">
        <v>161</v>
      </c>
      <c r="F1537" s="461" t="s">
        <v>8326</v>
      </c>
    </row>
    <row r="1538" spans="1:6" ht="30" x14ac:dyDescent="0.25">
      <c r="A1538" s="461">
        <v>42693</v>
      </c>
      <c r="B1538" s="460" t="s">
        <v>9768</v>
      </c>
      <c r="C1538" s="461" t="s">
        <v>1104</v>
      </c>
      <c r="D1538" s="461">
        <v>358.69</v>
      </c>
      <c r="E1538" s="461" t="s">
        <v>161</v>
      </c>
      <c r="F1538" s="461" t="s">
        <v>8326</v>
      </c>
    </row>
    <row r="1539" spans="1:6" ht="30" x14ac:dyDescent="0.25">
      <c r="A1539" s="461">
        <v>42695</v>
      </c>
      <c r="B1539" s="460" t="s">
        <v>9769</v>
      </c>
      <c r="C1539" s="461" t="s">
        <v>1104</v>
      </c>
      <c r="D1539" s="461">
        <v>250.6</v>
      </c>
      <c r="E1539" s="461" t="s">
        <v>161</v>
      </c>
      <c r="F1539" s="461" t="s">
        <v>8326</v>
      </c>
    </row>
    <row r="1540" spans="1:6" ht="30" x14ac:dyDescent="0.25">
      <c r="A1540" s="461">
        <v>42694</v>
      </c>
      <c r="B1540" s="460" t="s">
        <v>9770</v>
      </c>
      <c r="C1540" s="461" t="s">
        <v>1104</v>
      </c>
      <c r="D1540" s="461">
        <v>480</v>
      </c>
      <c r="E1540" s="461" t="s">
        <v>161</v>
      </c>
      <c r="F1540" s="461" t="s">
        <v>8326</v>
      </c>
    </row>
    <row r="1541" spans="1:6" ht="30" x14ac:dyDescent="0.25">
      <c r="A1541" s="461">
        <v>20097</v>
      </c>
      <c r="B1541" s="460" t="s">
        <v>9771</v>
      </c>
      <c r="C1541" s="461" t="s">
        <v>1104</v>
      </c>
      <c r="D1541" s="461">
        <v>20.81</v>
      </c>
      <c r="E1541" s="461" t="s">
        <v>161</v>
      </c>
      <c r="F1541" s="461" t="s">
        <v>8326</v>
      </c>
    </row>
    <row r="1542" spans="1:6" ht="30" x14ac:dyDescent="0.25">
      <c r="A1542" s="461">
        <v>20098</v>
      </c>
      <c r="B1542" s="460" t="s">
        <v>9772</v>
      </c>
      <c r="C1542" s="461" t="s">
        <v>1104</v>
      </c>
      <c r="D1542" s="461">
        <v>85.06</v>
      </c>
      <c r="E1542" s="461" t="s">
        <v>161</v>
      </c>
      <c r="F1542" s="461" t="s">
        <v>8326</v>
      </c>
    </row>
    <row r="1543" spans="1:6" ht="30" x14ac:dyDescent="0.25">
      <c r="A1543" s="461">
        <v>20096</v>
      </c>
      <c r="B1543" s="460" t="s">
        <v>9773</v>
      </c>
      <c r="C1543" s="461" t="s">
        <v>1104</v>
      </c>
      <c r="D1543" s="461">
        <v>21.54</v>
      </c>
      <c r="E1543" s="461" t="s">
        <v>161</v>
      </c>
      <c r="F1543" s="461" t="s">
        <v>8326</v>
      </c>
    </row>
    <row r="1544" spans="1:6" ht="30" x14ac:dyDescent="0.25">
      <c r="A1544" s="461">
        <v>2628</v>
      </c>
      <c r="B1544" s="460" t="s">
        <v>9774</v>
      </c>
      <c r="C1544" s="461" t="s">
        <v>1104</v>
      </c>
      <c r="D1544" s="461">
        <v>216.04</v>
      </c>
      <c r="E1544" s="461" t="s">
        <v>161</v>
      </c>
      <c r="F1544" s="461" t="s">
        <v>8326</v>
      </c>
    </row>
    <row r="1545" spans="1:6" ht="30" x14ac:dyDescent="0.25">
      <c r="A1545" s="461">
        <v>2622</v>
      </c>
      <c r="B1545" s="460" t="s">
        <v>9775</v>
      </c>
      <c r="C1545" s="461" t="s">
        <v>1104</v>
      </c>
      <c r="D1545" s="461">
        <v>5.13</v>
      </c>
      <c r="E1545" s="461" t="s">
        <v>161</v>
      </c>
      <c r="F1545" s="461" t="s">
        <v>8326</v>
      </c>
    </row>
    <row r="1546" spans="1:6" ht="30" x14ac:dyDescent="0.25">
      <c r="A1546" s="461">
        <v>2623</v>
      </c>
      <c r="B1546" s="460" t="s">
        <v>9776</v>
      </c>
      <c r="C1546" s="461" t="s">
        <v>1104</v>
      </c>
      <c r="D1546" s="461">
        <v>6.17</v>
      </c>
      <c r="E1546" s="461" t="s">
        <v>161</v>
      </c>
      <c r="F1546" s="461" t="s">
        <v>8326</v>
      </c>
    </row>
    <row r="1547" spans="1:6" ht="30" x14ac:dyDescent="0.25">
      <c r="A1547" s="461">
        <v>2624</v>
      </c>
      <c r="B1547" s="460" t="s">
        <v>9777</v>
      </c>
      <c r="C1547" s="461" t="s">
        <v>1104</v>
      </c>
      <c r="D1547" s="461">
        <v>9.82</v>
      </c>
      <c r="E1547" s="461" t="s">
        <v>161</v>
      </c>
      <c r="F1547" s="461" t="s">
        <v>8326</v>
      </c>
    </row>
    <row r="1548" spans="1:6" ht="30" x14ac:dyDescent="0.25">
      <c r="A1548" s="461">
        <v>2625</v>
      </c>
      <c r="B1548" s="460" t="s">
        <v>9778</v>
      </c>
      <c r="C1548" s="461" t="s">
        <v>1104</v>
      </c>
      <c r="D1548" s="461">
        <v>20.73</v>
      </c>
      <c r="E1548" s="461" t="s">
        <v>161</v>
      </c>
      <c r="F1548" s="461" t="s">
        <v>8326</v>
      </c>
    </row>
    <row r="1549" spans="1:6" ht="30" x14ac:dyDescent="0.25">
      <c r="A1549" s="461">
        <v>2626</v>
      </c>
      <c r="B1549" s="460" t="s">
        <v>9779</v>
      </c>
      <c r="C1549" s="461" t="s">
        <v>1104</v>
      </c>
      <c r="D1549" s="461">
        <v>30.37</v>
      </c>
      <c r="E1549" s="461" t="s">
        <v>161</v>
      </c>
      <c r="F1549" s="461" t="s">
        <v>8326</v>
      </c>
    </row>
    <row r="1550" spans="1:6" ht="30" x14ac:dyDescent="0.25">
      <c r="A1550" s="461">
        <v>2630</v>
      </c>
      <c r="B1550" s="460" t="s">
        <v>9780</v>
      </c>
      <c r="C1550" s="461" t="s">
        <v>1104</v>
      </c>
      <c r="D1550" s="461">
        <v>46.2</v>
      </c>
      <c r="E1550" s="461" t="s">
        <v>161</v>
      </c>
      <c r="F1550" s="461" t="s">
        <v>8326</v>
      </c>
    </row>
    <row r="1551" spans="1:6" ht="30" x14ac:dyDescent="0.25">
      <c r="A1551" s="461">
        <v>2627</v>
      </c>
      <c r="B1551" s="460" t="s">
        <v>9781</v>
      </c>
      <c r="C1551" s="461" t="s">
        <v>1104</v>
      </c>
      <c r="D1551" s="461">
        <v>81.37</v>
      </c>
      <c r="E1551" s="461" t="s">
        <v>161</v>
      </c>
      <c r="F1551" s="461" t="s">
        <v>8326</v>
      </c>
    </row>
    <row r="1552" spans="1:6" ht="30" x14ac:dyDescent="0.25">
      <c r="A1552" s="461">
        <v>2629</v>
      </c>
      <c r="B1552" s="460" t="s">
        <v>9782</v>
      </c>
      <c r="C1552" s="461" t="s">
        <v>1104</v>
      </c>
      <c r="D1552" s="461">
        <v>110.06</v>
      </c>
      <c r="E1552" s="461" t="s">
        <v>161</v>
      </c>
      <c r="F1552" s="461" t="s">
        <v>8326</v>
      </c>
    </row>
    <row r="1553" spans="1:6" ht="15" x14ac:dyDescent="0.25">
      <c r="A1553" s="461">
        <v>1880</v>
      </c>
      <c r="B1553" s="460" t="s">
        <v>9783</v>
      </c>
      <c r="C1553" s="461" t="s">
        <v>1104</v>
      </c>
      <c r="D1553" s="461">
        <v>3.6</v>
      </c>
      <c r="E1553" s="461" t="s">
        <v>161</v>
      </c>
      <c r="F1553" s="461" t="s">
        <v>8326</v>
      </c>
    </row>
    <row r="1554" spans="1:6" ht="15" x14ac:dyDescent="0.25">
      <c r="A1554" s="461">
        <v>39274</v>
      </c>
      <c r="B1554" s="460" t="s">
        <v>9784</v>
      </c>
      <c r="C1554" s="461" t="s">
        <v>1104</v>
      </c>
      <c r="D1554" s="461">
        <v>2.79</v>
      </c>
      <c r="E1554" s="461" t="s">
        <v>161</v>
      </c>
      <c r="F1554" s="461" t="s">
        <v>8326</v>
      </c>
    </row>
    <row r="1555" spans="1:6" ht="15" x14ac:dyDescent="0.25">
      <c r="A1555" s="461">
        <v>12033</v>
      </c>
      <c r="B1555" s="460" t="s">
        <v>9785</v>
      </c>
      <c r="C1555" s="461" t="s">
        <v>1104</v>
      </c>
      <c r="D1555" s="461">
        <v>11.51</v>
      </c>
      <c r="E1555" s="461" t="s">
        <v>161</v>
      </c>
      <c r="F1555" s="461" t="s">
        <v>8326</v>
      </c>
    </row>
    <row r="1556" spans="1:6" ht="15" x14ac:dyDescent="0.25">
      <c r="A1556" s="461">
        <v>40408</v>
      </c>
      <c r="B1556" s="460" t="s">
        <v>9786</v>
      </c>
      <c r="C1556" s="461" t="s">
        <v>1104</v>
      </c>
      <c r="D1556" s="461">
        <v>7.56</v>
      </c>
      <c r="E1556" s="461" t="s">
        <v>161</v>
      </c>
      <c r="F1556" s="461" t="s">
        <v>8326</v>
      </c>
    </row>
    <row r="1557" spans="1:6" ht="15" x14ac:dyDescent="0.25">
      <c r="A1557" s="461">
        <v>40409</v>
      </c>
      <c r="B1557" s="460" t="s">
        <v>9787</v>
      </c>
      <c r="C1557" s="461" t="s">
        <v>1104</v>
      </c>
      <c r="D1557" s="461">
        <v>2.67</v>
      </c>
      <c r="E1557" s="461" t="s">
        <v>161</v>
      </c>
      <c r="F1557" s="461" t="s">
        <v>8326</v>
      </c>
    </row>
    <row r="1558" spans="1:6" ht="15" x14ac:dyDescent="0.25">
      <c r="A1558" s="461">
        <v>39276</v>
      </c>
      <c r="B1558" s="460" t="s">
        <v>9788</v>
      </c>
      <c r="C1558" s="461" t="s">
        <v>1104</v>
      </c>
      <c r="D1558" s="461">
        <v>6.81</v>
      </c>
      <c r="E1558" s="461" t="s">
        <v>161</v>
      </c>
      <c r="F1558" s="461" t="s">
        <v>8326</v>
      </c>
    </row>
    <row r="1559" spans="1:6" ht="15" x14ac:dyDescent="0.25">
      <c r="A1559" s="461">
        <v>39277</v>
      </c>
      <c r="B1559" s="460" t="s">
        <v>9789</v>
      </c>
      <c r="C1559" s="461" t="s">
        <v>1104</v>
      </c>
      <c r="D1559" s="461">
        <v>18.39</v>
      </c>
      <c r="E1559" s="461" t="s">
        <v>161</v>
      </c>
      <c r="F1559" s="461" t="s">
        <v>8326</v>
      </c>
    </row>
    <row r="1560" spans="1:6" ht="15" x14ac:dyDescent="0.25">
      <c r="A1560" s="461">
        <v>12034</v>
      </c>
      <c r="B1560" s="460" t="s">
        <v>9790</v>
      </c>
      <c r="C1560" s="461" t="s">
        <v>1104</v>
      </c>
      <c r="D1560" s="461">
        <v>5.21</v>
      </c>
      <c r="E1560" s="461" t="s">
        <v>161</v>
      </c>
      <c r="F1560" s="461" t="s">
        <v>8326</v>
      </c>
    </row>
    <row r="1561" spans="1:6" ht="15" x14ac:dyDescent="0.25">
      <c r="A1561" s="461">
        <v>39879</v>
      </c>
      <c r="B1561" s="460" t="s">
        <v>9791</v>
      </c>
      <c r="C1561" s="461" t="s">
        <v>1104</v>
      </c>
      <c r="D1561" s="461">
        <v>5.78</v>
      </c>
      <c r="E1561" s="461" t="s">
        <v>161</v>
      </c>
      <c r="F1561" s="461" t="s">
        <v>8326</v>
      </c>
    </row>
    <row r="1562" spans="1:6" ht="15" x14ac:dyDescent="0.25">
      <c r="A1562" s="461">
        <v>39880</v>
      </c>
      <c r="B1562" s="460" t="s">
        <v>9792</v>
      </c>
      <c r="C1562" s="461" t="s">
        <v>1104</v>
      </c>
      <c r="D1562" s="461">
        <v>12.8</v>
      </c>
      <c r="E1562" s="461" t="s">
        <v>161</v>
      </c>
      <c r="F1562" s="461" t="s">
        <v>8326</v>
      </c>
    </row>
    <row r="1563" spans="1:6" ht="15" x14ac:dyDescent="0.25">
      <c r="A1563" s="461">
        <v>39881</v>
      </c>
      <c r="B1563" s="460" t="s">
        <v>9793</v>
      </c>
      <c r="C1563" s="461" t="s">
        <v>1104</v>
      </c>
      <c r="D1563" s="461">
        <v>20.54</v>
      </c>
      <c r="E1563" s="461" t="s">
        <v>161</v>
      </c>
      <c r="F1563" s="461" t="s">
        <v>8326</v>
      </c>
    </row>
    <row r="1564" spans="1:6" ht="15" x14ac:dyDescent="0.25">
      <c r="A1564" s="461">
        <v>39882</v>
      </c>
      <c r="B1564" s="460" t="s">
        <v>9794</v>
      </c>
      <c r="C1564" s="461" t="s">
        <v>1104</v>
      </c>
      <c r="D1564" s="461">
        <v>54.11</v>
      </c>
      <c r="E1564" s="461" t="s">
        <v>161</v>
      </c>
      <c r="F1564" s="461" t="s">
        <v>8326</v>
      </c>
    </row>
    <row r="1565" spans="1:6" ht="15" x14ac:dyDescent="0.25">
      <c r="A1565" s="461">
        <v>39883</v>
      </c>
      <c r="B1565" s="460" t="s">
        <v>9795</v>
      </c>
      <c r="C1565" s="461" t="s">
        <v>1104</v>
      </c>
      <c r="D1565" s="461">
        <v>86.41</v>
      </c>
      <c r="E1565" s="461" t="s">
        <v>161</v>
      </c>
      <c r="F1565" s="461" t="s">
        <v>8326</v>
      </c>
    </row>
    <row r="1566" spans="1:6" ht="15" x14ac:dyDescent="0.25">
      <c r="A1566" s="461">
        <v>39884</v>
      </c>
      <c r="B1566" s="460" t="s">
        <v>9796</v>
      </c>
      <c r="C1566" s="461" t="s">
        <v>1104</v>
      </c>
      <c r="D1566" s="461">
        <v>128.34</v>
      </c>
      <c r="E1566" s="461" t="s">
        <v>161</v>
      </c>
      <c r="F1566" s="461" t="s">
        <v>8326</v>
      </c>
    </row>
    <row r="1567" spans="1:6" ht="15" x14ac:dyDescent="0.25">
      <c r="A1567" s="461">
        <v>39885</v>
      </c>
      <c r="B1567" s="460" t="s">
        <v>9797</v>
      </c>
      <c r="C1567" s="461" t="s">
        <v>1104</v>
      </c>
      <c r="D1567" s="461">
        <v>305.02</v>
      </c>
      <c r="E1567" s="461" t="s">
        <v>161</v>
      </c>
      <c r="F1567" s="461" t="s">
        <v>8326</v>
      </c>
    </row>
    <row r="1568" spans="1:6" ht="15" x14ac:dyDescent="0.25">
      <c r="A1568" s="461">
        <v>1777</v>
      </c>
      <c r="B1568" s="460" t="s">
        <v>9798</v>
      </c>
      <c r="C1568" s="461" t="s">
        <v>1104</v>
      </c>
      <c r="D1568" s="461">
        <v>92.31</v>
      </c>
      <c r="E1568" s="461" t="s">
        <v>161</v>
      </c>
      <c r="F1568" s="461" t="s">
        <v>8328</v>
      </c>
    </row>
    <row r="1569" spans="1:6" ht="15" x14ac:dyDescent="0.25">
      <c r="A1569" s="461">
        <v>1819</v>
      </c>
      <c r="B1569" s="460" t="s">
        <v>9799</v>
      </c>
      <c r="C1569" s="461" t="s">
        <v>1104</v>
      </c>
      <c r="D1569" s="461">
        <v>67.16</v>
      </c>
      <c r="E1569" s="461" t="s">
        <v>161</v>
      </c>
      <c r="F1569" s="461" t="s">
        <v>8328</v>
      </c>
    </row>
    <row r="1570" spans="1:6" ht="15" x14ac:dyDescent="0.25">
      <c r="A1570" s="461">
        <v>1775</v>
      </c>
      <c r="B1570" s="460" t="s">
        <v>9800</v>
      </c>
      <c r="C1570" s="461" t="s">
        <v>1104</v>
      </c>
      <c r="D1570" s="461">
        <v>20.079999999999998</v>
      </c>
      <c r="E1570" s="461" t="s">
        <v>161</v>
      </c>
      <c r="F1570" s="461" t="s">
        <v>8328</v>
      </c>
    </row>
    <row r="1571" spans="1:6" ht="15" x14ac:dyDescent="0.25">
      <c r="A1571" s="461">
        <v>1776</v>
      </c>
      <c r="B1571" s="460" t="s">
        <v>9801</v>
      </c>
      <c r="C1571" s="461" t="s">
        <v>1104</v>
      </c>
      <c r="D1571" s="461">
        <v>54.64</v>
      </c>
      <c r="E1571" s="461" t="s">
        <v>161</v>
      </c>
      <c r="F1571" s="461" t="s">
        <v>8328</v>
      </c>
    </row>
    <row r="1572" spans="1:6" ht="15" x14ac:dyDescent="0.25">
      <c r="A1572" s="461">
        <v>1778</v>
      </c>
      <c r="B1572" s="460" t="s">
        <v>9802</v>
      </c>
      <c r="C1572" s="461" t="s">
        <v>1104</v>
      </c>
      <c r="D1572" s="461">
        <v>223.44</v>
      </c>
      <c r="E1572" s="461" t="s">
        <v>161</v>
      </c>
      <c r="F1572" s="461" t="s">
        <v>8328</v>
      </c>
    </row>
    <row r="1573" spans="1:6" ht="15" x14ac:dyDescent="0.25">
      <c r="A1573" s="461">
        <v>1818</v>
      </c>
      <c r="B1573" s="460" t="s">
        <v>9803</v>
      </c>
      <c r="C1573" s="461" t="s">
        <v>1104</v>
      </c>
      <c r="D1573" s="461">
        <v>148.32</v>
      </c>
      <c r="E1573" s="461" t="s">
        <v>161</v>
      </c>
      <c r="F1573" s="461" t="s">
        <v>8328</v>
      </c>
    </row>
    <row r="1574" spans="1:6" ht="15" x14ac:dyDescent="0.25">
      <c r="A1574" s="461">
        <v>1820</v>
      </c>
      <c r="B1574" s="460" t="s">
        <v>9804</v>
      </c>
      <c r="C1574" s="461" t="s">
        <v>1104</v>
      </c>
      <c r="D1574" s="461">
        <v>29</v>
      </c>
      <c r="E1574" s="461" t="s">
        <v>161</v>
      </c>
      <c r="F1574" s="461" t="s">
        <v>8328</v>
      </c>
    </row>
    <row r="1575" spans="1:6" ht="15" x14ac:dyDescent="0.25">
      <c r="A1575" s="461">
        <v>1779</v>
      </c>
      <c r="B1575" s="460" t="s">
        <v>9805</v>
      </c>
      <c r="C1575" s="461" t="s">
        <v>1104</v>
      </c>
      <c r="D1575" s="461">
        <v>324.95999999999998</v>
      </c>
      <c r="E1575" s="461" t="s">
        <v>161</v>
      </c>
      <c r="F1575" s="461" t="s">
        <v>8328</v>
      </c>
    </row>
    <row r="1576" spans="1:6" ht="15" x14ac:dyDescent="0.25">
      <c r="A1576" s="461">
        <v>1780</v>
      </c>
      <c r="B1576" s="460" t="s">
        <v>9806</v>
      </c>
      <c r="C1576" s="461" t="s">
        <v>1104</v>
      </c>
      <c r="D1576" s="461">
        <v>669.91</v>
      </c>
      <c r="E1576" s="461" t="s">
        <v>161</v>
      </c>
      <c r="F1576" s="461" t="s">
        <v>8328</v>
      </c>
    </row>
    <row r="1577" spans="1:6" ht="30" x14ac:dyDescent="0.25">
      <c r="A1577" s="461">
        <v>1783</v>
      </c>
      <c r="B1577" s="460" t="s">
        <v>9807</v>
      </c>
      <c r="C1577" s="461" t="s">
        <v>1104</v>
      </c>
      <c r="D1577" s="461">
        <v>70.83</v>
      </c>
      <c r="E1577" s="461" t="s">
        <v>161</v>
      </c>
      <c r="F1577" s="461" t="s">
        <v>8328</v>
      </c>
    </row>
    <row r="1578" spans="1:6" ht="30" x14ac:dyDescent="0.25">
      <c r="A1578" s="461">
        <v>1782</v>
      </c>
      <c r="B1578" s="460" t="s">
        <v>9808</v>
      </c>
      <c r="C1578" s="461" t="s">
        <v>1104</v>
      </c>
      <c r="D1578" s="461">
        <v>56</v>
      </c>
      <c r="E1578" s="461" t="s">
        <v>161</v>
      </c>
      <c r="F1578" s="461" t="s">
        <v>8328</v>
      </c>
    </row>
    <row r="1579" spans="1:6" ht="15" x14ac:dyDescent="0.25">
      <c r="A1579" s="461">
        <v>1817</v>
      </c>
      <c r="B1579" s="460" t="s">
        <v>9809</v>
      </c>
      <c r="C1579" s="461" t="s">
        <v>1104</v>
      </c>
      <c r="D1579" s="461">
        <v>16.690000000000001</v>
      </c>
      <c r="E1579" s="461" t="s">
        <v>161</v>
      </c>
      <c r="F1579" s="461" t="s">
        <v>8328</v>
      </c>
    </row>
    <row r="1580" spans="1:6" ht="15" x14ac:dyDescent="0.25">
      <c r="A1580" s="461">
        <v>1781</v>
      </c>
      <c r="B1580" s="460" t="s">
        <v>9810</v>
      </c>
      <c r="C1580" s="461" t="s">
        <v>1104</v>
      </c>
      <c r="D1580" s="461">
        <v>36.49</v>
      </c>
      <c r="E1580" s="461" t="s">
        <v>161</v>
      </c>
      <c r="F1580" s="461" t="s">
        <v>8328</v>
      </c>
    </row>
    <row r="1581" spans="1:6" ht="30" x14ac:dyDescent="0.25">
      <c r="A1581" s="461">
        <v>1784</v>
      </c>
      <c r="B1581" s="460" t="s">
        <v>9811</v>
      </c>
      <c r="C1581" s="461" t="s">
        <v>1104</v>
      </c>
      <c r="D1581" s="461">
        <v>200.01</v>
      </c>
      <c r="E1581" s="461" t="s">
        <v>161</v>
      </c>
      <c r="F1581" s="461" t="s">
        <v>8328</v>
      </c>
    </row>
    <row r="1582" spans="1:6" ht="15" x14ac:dyDescent="0.25">
      <c r="A1582" s="461">
        <v>1810</v>
      </c>
      <c r="B1582" s="460" t="s">
        <v>9812</v>
      </c>
      <c r="C1582" s="461" t="s">
        <v>1104</v>
      </c>
      <c r="D1582" s="461">
        <v>110.94</v>
      </c>
      <c r="E1582" s="461" t="s">
        <v>161</v>
      </c>
      <c r="F1582" s="461" t="s">
        <v>8328</v>
      </c>
    </row>
    <row r="1583" spans="1:6" ht="15" x14ac:dyDescent="0.25">
      <c r="A1583" s="461">
        <v>1811</v>
      </c>
      <c r="B1583" s="460" t="s">
        <v>9813</v>
      </c>
      <c r="C1583" s="461" t="s">
        <v>1104</v>
      </c>
      <c r="D1583" s="461">
        <v>24</v>
      </c>
      <c r="E1583" s="461" t="s">
        <v>161</v>
      </c>
      <c r="F1583" s="461" t="s">
        <v>8328</v>
      </c>
    </row>
    <row r="1584" spans="1:6" ht="15" x14ac:dyDescent="0.25">
      <c r="A1584" s="461">
        <v>1812</v>
      </c>
      <c r="B1584" s="460" t="s">
        <v>9814</v>
      </c>
      <c r="C1584" s="461" t="s">
        <v>1104</v>
      </c>
      <c r="D1584" s="461">
        <v>280.05</v>
      </c>
      <c r="E1584" s="461" t="s">
        <v>161</v>
      </c>
      <c r="F1584" s="461" t="s">
        <v>8328</v>
      </c>
    </row>
    <row r="1585" spans="1:6" ht="15" x14ac:dyDescent="0.25">
      <c r="A1585" s="461">
        <v>40386</v>
      </c>
      <c r="B1585" s="460" t="s">
        <v>9815</v>
      </c>
      <c r="C1585" s="461" t="s">
        <v>1104</v>
      </c>
      <c r="D1585" s="461">
        <v>89.73</v>
      </c>
      <c r="E1585" s="461" t="s">
        <v>161</v>
      </c>
      <c r="F1585" s="461" t="s">
        <v>8328</v>
      </c>
    </row>
    <row r="1586" spans="1:6" ht="15" x14ac:dyDescent="0.25">
      <c r="A1586" s="461">
        <v>40384</v>
      </c>
      <c r="B1586" s="460" t="s">
        <v>9816</v>
      </c>
      <c r="C1586" s="461" t="s">
        <v>1104</v>
      </c>
      <c r="D1586" s="461">
        <v>61.43</v>
      </c>
      <c r="E1586" s="461" t="s">
        <v>161</v>
      </c>
      <c r="F1586" s="461" t="s">
        <v>8328</v>
      </c>
    </row>
    <row r="1587" spans="1:6" ht="15" x14ac:dyDescent="0.25">
      <c r="A1587" s="461">
        <v>40379</v>
      </c>
      <c r="B1587" s="460" t="s">
        <v>9817</v>
      </c>
      <c r="C1587" s="461" t="s">
        <v>1104</v>
      </c>
      <c r="D1587" s="461">
        <v>21.24</v>
      </c>
      <c r="E1587" s="461" t="s">
        <v>161</v>
      </c>
      <c r="F1587" s="461" t="s">
        <v>8328</v>
      </c>
    </row>
    <row r="1588" spans="1:6" ht="15" x14ac:dyDescent="0.25">
      <c r="A1588" s="461">
        <v>40423</v>
      </c>
      <c r="B1588" s="460" t="s">
        <v>9818</v>
      </c>
      <c r="C1588" s="461" t="s">
        <v>1104</v>
      </c>
      <c r="D1588" s="461">
        <v>40.19</v>
      </c>
      <c r="E1588" s="461" t="s">
        <v>161</v>
      </c>
      <c r="F1588" s="461" t="s">
        <v>8328</v>
      </c>
    </row>
    <row r="1589" spans="1:6" ht="15" x14ac:dyDescent="0.25">
      <c r="A1589" s="461">
        <v>40389</v>
      </c>
      <c r="B1589" s="460" t="s">
        <v>9819</v>
      </c>
      <c r="C1589" s="461" t="s">
        <v>1104</v>
      </c>
      <c r="D1589" s="461">
        <v>254.88</v>
      </c>
      <c r="E1589" s="461" t="s">
        <v>161</v>
      </c>
      <c r="F1589" s="461" t="s">
        <v>8328</v>
      </c>
    </row>
    <row r="1590" spans="1:6" ht="15" x14ac:dyDescent="0.25">
      <c r="A1590" s="461">
        <v>40388</v>
      </c>
      <c r="B1590" s="460" t="s">
        <v>9820</v>
      </c>
      <c r="C1590" s="461" t="s">
        <v>1104</v>
      </c>
      <c r="D1590" s="461">
        <v>127.58</v>
      </c>
      <c r="E1590" s="461" t="s">
        <v>161</v>
      </c>
      <c r="F1590" s="461" t="s">
        <v>8328</v>
      </c>
    </row>
    <row r="1591" spans="1:6" ht="15" x14ac:dyDescent="0.25">
      <c r="A1591" s="461">
        <v>40381</v>
      </c>
      <c r="B1591" s="460" t="s">
        <v>9821</v>
      </c>
      <c r="C1591" s="461" t="s">
        <v>1104</v>
      </c>
      <c r="D1591" s="461">
        <v>28.32</v>
      </c>
      <c r="E1591" s="461" t="s">
        <v>161</v>
      </c>
      <c r="F1591" s="461" t="s">
        <v>8328</v>
      </c>
    </row>
    <row r="1592" spans="1:6" ht="15" x14ac:dyDescent="0.25">
      <c r="A1592" s="461">
        <v>40391</v>
      </c>
      <c r="B1592" s="460" t="s">
        <v>9822</v>
      </c>
      <c r="C1592" s="461" t="s">
        <v>1104</v>
      </c>
      <c r="D1592" s="461">
        <v>661.54</v>
      </c>
      <c r="E1592" s="461" t="s">
        <v>161</v>
      </c>
      <c r="F1592" s="461" t="s">
        <v>8328</v>
      </c>
    </row>
    <row r="1593" spans="1:6" ht="30" x14ac:dyDescent="0.25">
      <c r="A1593" s="461">
        <v>2609</v>
      </c>
      <c r="B1593" s="460" t="s">
        <v>9823</v>
      </c>
      <c r="C1593" s="461" t="s">
        <v>1104</v>
      </c>
      <c r="D1593" s="461">
        <v>4.82</v>
      </c>
      <c r="E1593" s="461" t="s">
        <v>161</v>
      </c>
      <c r="F1593" s="461" t="s">
        <v>8326</v>
      </c>
    </row>
    <row r="1594" spans="1:6" ht="30" x14ac:dyDescent="0.25">
      <c r="A1594" s="461">
        <v>2634</v>
      </c>
      <c r="B1594" s="460" t="s">
        <v>9824</v>
      </c>
      <c r="C1594" s="461" t="s">
        <v>1104</v>
      </c>
      <c r="D1594" s="461">
        <v>6.33</v>
      </c>
      <c r="E1594" s="461" t="s">
        <v>161</v>
      </c>
      <c r="F1594" s="461" t="s">
        <v>8326</v>
      </c>
    </row>
    <row r="1595" spans="1:6" ht="30" x14ac:dyDescent="0.25">
      <c r="A1595" s="461">
        <v>2611</v>
      </c>
      <c r="B1595" s="460" t="s">
        <v>9825</v>
      </c>
      <c r="C1595" s="461" t="s">
        <v>1104</v>
      </c>
      <c r="D1595" s="461">
        <v>17.84</v>
      </c>
      <c r="E1595" s="461" t="s">
        <v>161</v>
      </c>
      <c r="F1595" s="461" t="s">
        <v>8326</v>
      </c>
    </row>
    <row r="1596" spans="1:6" ht="15" x14ac:dyDescent="0.25">
      <c r="A1596" s="461">
        <v>40414</v>
      </c>
      <c r="B1596" s="460" t="s">
        <v>9826</v>
      </c>
      <c r="C1596" s="461" t="s">
        <v>1104</v>
      </c>
      <c r="D1596" s="461">
        <v>17.510000000000002</v>
      </c>
      <c r="E1596" s="461" t="s">
        <v>161</v>
      </c>
      <c r="F1596" s="461" t="s">
        <v>8328</v>
      </c>
    </row>
    <row r="1597" spans="1:6" ht="15" x14ac:dyDescent="0.25">
      <c r="A1597" s="461">
        <v>40416</v>
      </c>
      <c r="B1597" s="460" t="s">
        <v>9827</v>
      </c>
      <c r="C1597" s="461" t="s">
        <v>1104</v>
      </c>
      <c r="D1597" s="461">
        <v>24.2</v>
      </c>
      <c r="E1597" s="461" t="s">
        <v>161</v>
      </c>
      <c r="F1597" s="461" t="s">
        <v>8328</v>
      </c>
    </row>
    <row r="1598" spans="1:6" ht="15" x14ac:dyDescent="0.25">
      <c r="A1598" s="461">
        <v>40418</v>
      </c>
      <c r="B1598" s="460" t="s">
        <v>9828</v>
      </c>
      <c r="C1598" s="461" t="s">
        <v>1104</v>
      </c>
      <c r="D1598" s="461">
        <v>28.87</v>
      </c>
      <c r="E1598" s="461" t="s">
        <v>161</v>
      </c>
      <c r="F1598" s="461" t="s">
        <v>8328</v>
      </c>
    </row>
    <row r="1599" spans="1:6" ht="15" x14ac:dyDescent="0.25">
      <c r="A1599" s="461">
        <v>34359</v>
      </c>
      <c r="B1599" s="460" t="s">
        <v>9829</v>
      </c>
      <c r="C1599" s="461" t="s">
        <v>1104</v>
      </c>
      <c r="D1599" s="461">
        <v>10.73</v>
      </c>
      <c r="E1599" s="461" t="s">
        <v>161</v>
      </c>
      <c r="F1599" s="461" t="s">
        <v>8328</v>
      </c>
    </row>
    <row r="1600" spans="1:6" ht="15" x14ac:dyDescent="0.25">
      <c r="A1600" s="461">
        <v>1789</v>
      </c>
      <c r="B1600" s="460" t="s">
        <v>9830</v>
      </c>
      <c r="C1600" s="461" t="s">
        <v>1104</v>
      </c>
      <c r="D1600" s="461">
        <v>88.6</v>
      </c>
      <c r="E1600" s="461" t="s">
        <v>161</v>
      </c>
      <c r="F1600" s="461" t="s">
        <v>8328</v>
      </c>
    </row>
    <row r="1601" spans="1:6" ht="15" x14ac:dyDescent="0.25">
      <c r="A1601" s="461">
        <v>1788</v>
      </c>
      <c r="B1601" s="460" t="s">
        <v>9831</v>
      </c>
      <c r="C1601" s="461" t="s">
        <v>1104</v>
      </c>
      <c r="D1601" s="461">
        <v>71.02</v>
      </c>
      <c r="E1601" s="461" t="s">
        <v>161</v>
      </c>
      <c r="F1601" s="461" t="s">
        <v>8328</v>
      </c>
    </row>
    <row r="1602" spans="1:6" ht="15" x14ac:dyDescent="0.25">
      <c r="A1602" s="461">
        <v>1786</v>
      </c>
      <c r="B1602" s="460" t="s">
        <v>9832</v>
      </c>
      <c r="C1602" s="461" t="s">
        <v>1104</v>
      </c>
      <c r="D1602" s="461">
        <v>17.63</v>
      </c>
      <c r="E1602" s="461" t="s">
        <v>161</v>
      </c>
      <c r="F1602" s="461" t="s">
        <v>8328</v>
      </c>
    </row>
    <row r="1603" spans="1:6" ht="15" x14ac:dyDescent="0.25">
      <c r="A1603" s="461">
        <v>1787</v>
      </c>
      <c r="B1603" s="460" t="s">
        <v>9833</v>
      </c>
      <c r="C1603" s="461" t="s">
        <v>1104</v>
      </c>
      <c r="D1603" s="461">
        <v>42.22</v>
      </c>
      <c r="E1603" s="461" t="s">
        <v>161</v>
      </c>
      <c r="F1603" s="461" t="s">
        <v>8328</v>
      </c>
    </row>
    <row r="1604" spans="1:6" ht="15" x14ac:dyDescent="0.25">
      <c r="A1604" s="461">
        <v>1791</v>
      </c>
      <c r="B1604" s="460" t="s">
        <v>9834</v>
      </c>
      <c r="C1604" s="461" t="s">
        <v>1104</v>
      </c>
      <c r="D1604" s="461">
        <v>256.04000000000002</v>
      </c>
      <c r="E1604" s="461" t="s">
        <v>161</v>
      </c>
      <c r="F1604" s="461" t="s">
        <v>8328</v>
      </c>
    </row>
    <row r="1605" spans="1:6" ht="15" x14ac:dyDescent="0.25">
      <c r="A1605" s="461">
        <v>1790</v>
      </c>
      <c r="B1605" s="460" t="s">
        <v>9835</v>
      </c>
      <c r="C1605" s="461" t="s">
        <v>1104</v>
      </c>
      <c r="D1605" s="461">
        <v>147.54</v>
      </c>
      <c r="E1605" s="461" t="s">
        <v>161</v>
      </c>
      <c r="F1605" s="461" t="s">
        <v>8328</v>
      </c>
    </row>
    <row r="1606" spans="1:6" ht="15" x14ac:dyDescent="0.25">
      <c r="A1606" s="461">
        <v>1813</v>
      </c>
      <c r="B1606" s="460" t="s">
        <v>9836</v>
      </c>
      <c r="C1606" s="461" t="s">
        <v>1104</v>
      </c>
      <c r="D1606" s="461">
        <v>27.98</v>
      </c>
      <c r="E1606" s="461" t="s">
        <v>161</v>
      </c>
      <c r="F1606" s="461" t="s">
        <v>8328</v>
      </c>
    </row>
    <row r="1607" spans="1:6" ht="15" x14ac:dyDescent="0.25">
      <c r="A1607" s="461">
        <v>1792</v>
      </c>
      <c r="B1607" s="460" t="s">
        <v>9837</v>
      </c>
      <c r="C1607" s="461" t="s">
        <v>1104</v>
      </c>
      <c r="D1607" s="461">
        <v>345.62</v>
      </c>
      <c r="E1607" s="461" t="s">
        <v>161</v>
      </c>
      <c r="F1607" s="461" t="s">
        <v>8328</v>
      </c>
    </row>
    <row r="1608" spans="1:6" ht="15" x14ac:dyDescent="0.25">
      <c r="A1608" s="461">
        <v>1793</v>
      </c>
      <c r="B1608" s="460" t="s">
        <v>9838</v>
      </c>
      <c r="C1608" s="461" t="s">
        <v>1104</v>
      </c>
      <c r="D1608" s="461">
        <v>698.39</v>
      </c>
      <c r="E1608" s="461" t="s">
        <v>161</v>
      </c>
      <c r="F1608" s="461" t="s">
        <v>8328</v>
      </c>
    </row>
    <row r="1609" spans="1:6" ht="30" x14ac:dyDescent="0.25">
      <c r="A1609" s="461">
        <v>1809</v>
      </c>
      <c r="B1609" s="460" t="s">
        <v>9839</v>
      </c>
      <c r="C1609" s="461" t="s">
        <v>1104</v>
      </c>
      <c r="D1609" s="461">
        <v>83.06</v>
      </c>
      <c r="E1609" s="461" t="s">
        <v>161</v>
      </c>
      <c r="F1609" s="461" t="s">
        <v>8328</v>
      </c>
    </row>
    <row r="1610" spans="1:6" ht="30" x14ac:dyDescent="0.25">
      <c r="A1610" s="461">
        <v>1814</v>
      </c>
      <c r="B1610" s="460" t="s">
        <v>9840</v>
      </c>
      <c r="C1610" s="461" t="s">
        <v>1104</v>
      </c>
      <c r="D1610" s="461">
        <v>68.23</v>
      </c>
      <c r="E1610" s="461" t="s">
        <v>161</v>
      </c>
      <c r="F1610" s="461" t="s">
        <v>8328</v>
      </c>
    </row>
    <row r="1611" spans="1:6" ht="15" x14ac:dyDescent="0.25">
      <c r="A1611" s="461">
        <v>1803</v>
      </c>
      <c r="B1611" s="460" t="s">
        <v>9841</v>
      </c>
      <c r="C1611" s="461" t="s">
        <v>1104</v>
      </c>
      <c r="D1611" s="461">
        <v>17.239999999999998</v>
      </c>
      <c r="E1611" s="461" t="s">
        <v>161</v>
      </c>
      <c r="F1611" s="461" t="s">
        <v>8328</v>
      </c>
    </row>
    <row r="1612" spans="1:6" ht="15" x14ac:dyDescent="0.25">
      <c r="A1612" s="461">
        <v>1805</v>
      </c>
      <c r="B1612" s="460" t="s">
        <v>9842</v>
      </c>
      <c r="C1612" s="461" t="s">
        <v>1104</v>
      </c>
      <c r="D1612" s="461">
        <v>39.6</v>
      </c>
      <c r="E1612" s="461" t="s">
        <v>161</v>
      </c>
      <c r="F1612" s="461" t="s">
        <v>8328</v>
      </c>
    </row>
    <row r="1613" spans="1:6" ht="30" x14ac:dyDescent="0.25">
      <c r="A1613" s="461">
        <v>1821</v>
      </c>
      <c r="B1613" s="460" t="s">
        <v>9843</v>
      </c>
      <c r="C1613" s="461" t="s">
        <v>1104</v>
      </c>
      <c r="D1613" s="461">
        <v>233.93</v>
      </c>
      <c r="E1613" s="461" t="s">
        <v>161</v>
      </c>
      <c r="F1613" s="461" t="s">
        <v>8328</v>
      </c>
    </row>
    <row r="1614" spans="1:6" ht="15" x14ac:dyDescent="0.25">
      <c r="A1614" s="461">
        <v>1806</v>
      </c>
      <c r="B1614" s="460" t="s">
        <v>9844</v>
      </c>
      <c r="C1614" s="461" t="s">
        <v>1104</v>
      </c>
      <c r="D1614" s="461">
        <v>139.24</v>
      </c>
      <c r="E1614" s="461" t="s">
        <v>161</v>
      </c>
      <c r="F1614" s="461" t="s">
        <v>8328</v>
      </c>
    </row>
    <row r="1615" spans="1:6" ht="15" x14ac:dyDescent="0.25">
      <c r="A1615" s="461">
        <v>1804</v>
      </c>
      <c r="B1615" s="460" t="s">
        <v>9845</v>
      </c>
      <c r="C1615" s="461" t="s">
        <v>1104</v>
      </c>
      <c r="D1615" s="461">
        <v>24.54</v>
      </c>
      <c r="E1615" s="461" t="s">
        <v>161</v>
      </c>
      <c r="F1615" s="461" t="s">
        <v>8328</v>
      </c>
    </row>
    <row r="1616" spans="1:6" ht="15" x14ac:dyDescent="0.25">
      <c r="A1616" s="461">
        <v>1807</v>
      </c>
      <c r="B1616" s="460" t="s">
        <v>9846</v>
      </c>
      <c r="C1616" s="461" t="s">
        <v>1104</v>
      </c>
      <c r="D1616" s="461">
        <v>334.56</v>
      </c>
      <c r="E1616" s="461" t="s">
        <v>161</v>
      </c>
      <c r="F1616" s="461" t="s">
        <v>8328</v>
      </c>
    </row>
    <row r="1617" spans="1:6" ht="15" x14ac:dyDescent="0.25">
      <c r="A1617" s="461">
        <v>1808</v>
      </c>
      <c r="B1617" s="460" t="s">
        <v>9847</v>
      </c>
      <c r="C1617" s="461" t="s">
        <v>1104</v>
      </c>
      <c r="D1617" s="461">
        <v>670.74</v>
      </c>
      <c r="E1617" s="461" t="s">
        <v>161</v>
      </c>
      <c r="F1617" s="461" t="s">
        <v>8328</v>
      </c>
    </row>
    <row r="1618" spans="1:6" ht="15" x14ac:dyDescent="0.25">
      <c r="A1618" s="461">
        <v>1797</v>
      </c>
      <c r="B1618" s="460" t="s">
        <v>9848</v>
      </c>
      <c r="C1618" s="461" t="s">
        <v>1104</v>
      </c>
      <c r="D1618" s="461">
        <v>100.6</v>
      </c>
      <c r="E1618" s="461" t="s">
        <v>161</v>
      </c>
      <c r="F1618" s="461" t="s">
        <v>8328</v>
      </c>
    </row>
    <row r="1619" spans="1:6" ht="15" x14ac:dyDescent="0.25">
      <c r="A1619" s="461">
        <v>1796</v>
      </c>
      <c r="B1619" s="460" t="s">
        <v>9849</v>
      </c>
      <c r="C1619" s="461" t="s">
        <v>1104</v>
      </c>
      <c r="D1619" s="461">
        <v>77.17</v>
      </c>
      <c r="E1619" s="461" t="s">
        <v>161</v>
      </c>
      <c r="F1619" s="461" t="s">
        <v>8328</v>
      </c>
    </row>
    <row r="1620" spans="1:6" ht="15" x14ac:dyDescent="0.25">
      <c r="A1620" s="461">
        <v>1794</v>
      </c>
      <c r="B1620" s="460" t="s">
        <v>9850</v>
      </c>
      <c r="C1620" s="461" t="s">
        <v>1104</v>
      </c>
      <c r="D1620" s="461">
        <v>18.420000000000002</v>
      </c>
      <c r="E1620" s="461" t="s">
        <v>161</v>
      </c>
      <c r="F1620" s="461" t="s">
        <v>8328</v>
      </c>
    </row>
    <row r="1621" spans="1:6" ht="15" x14ac:dyDescent="0.25">
      <c r="A1621" s="461">
        <v>1816</v>
      </c>
      <c r="B1621" s="460" t="s">
        <v>9851</v>
      </c>
      <c r="C1621" s="461" t="s">
        <v>1104</v>
      </c>
      <c r="D1621" s="461">
        <v>41.53</v>
      </c>
      <c r="E1621" s="461" t="s">
        <v>161</v>
      </c>
      <c r="F1621" s="461" t="s">
        <v>8328</v>
      </c>
    </row>
    <row r="1622" spans="1:6" ht="15" x14ac:dyDescent="0.25">
      <c r="A1622" s="461">
        <v>1815</v>
      </c>
      <c r="B1622" s="460" t="s">
        <v>9852</v>
      </c>
      <c r="C1622" s="461" t="s">
        <v>1104</v>
      </c>
      <c r="D1622" s="461">
        <v>318.95999999999998</v>
      </c>
      <c r="E1622" s="461" t="s">
        <v>161</v>
      </c>
      <c r="F1622" s="461" t="s">
        <v>8328</v>
      </c>
    </row>
    <row r="1623" spans="1:6" ht="15" x14ac:dyDescent="0.25">
      <c r="A1623" s="461">
        <v>1798</v>
      </c>
      <c r="B1623" s="460" t="s">
        <v>9853</v>
      </c>
      <c r="C1623" s="461" t="s">
        <v>1104</v>
      </c>
      <c r="D1623" s="461">
        <v>142.72</v>
      </c>
      <c r="E1623" s="461" t="s">
        <v>161</v>
      </c>
      <c r="F1623" s="461" t="s">
        <v>8328</v>
      </c>
    </row>
    <row r="1624" spans="1:6" ht="15" x14ac:dyDescent="0.25">
      <c r="A1624" s="461">
        <v>1795</v>
      </c>
      <c r="B1624" s="460" t="s">
        <v>9854</v>
      </c>
      <c r="C1624" s="461" t="s">
        <v>1104</v>
      </c>
      <c r="D1624" s="461">
        <v>25.52</v>
      </c>
      <c r="E1624" s="461" t="s">
        <v>161</v>
      </c>
      <c r="F1624" s="461" t="s">
        <v>8328</v>
      </c>
    </row>
    <row r="1625" spans="1:6" ht="15" x14ac:dyDescent="0.25">
      <c r="A1625" s="461">
        <v>1799</v>
      </c>
      <c r="B1625" s="460" t="s">
        <v>9855</v>
      </c>
      <c r="C1625" s="461" t="s">
        <v>1104</v>
      </c>
      <c r="D1625" s="461">
        <v>415.42</v>
      </c>
      <c r="E1625" s="461" t="s">
        <v>161</v>
      </c>
      <c r="F1625" s="461" t="s">
        <v>8328</v>
      </c>
    </row>
    <row r="1626" spans="1:6" ht="15" x14ac:dyDescent="0.25">
      <c r="A1626" s="461">
        <v>1800</v>
      </c>
      <c r="B1626" s="460" t="s">
        <v>9856</v>
      </c>
      <c r="C1626" s="461" t="s">
        <v>1104</v>
      </c>
      <c r="D1626" s="461">
        <v>793.11</v>
      </c>
      <c r="E1626" s="461" t="s">
        <v>161</v>
      </c>
      <c r="F1626" s="461" t="s">
        <v>8328</v>
      </c>
    </row>
    <row r="1627" spans="1:6" ht="15" x14ac:dyDescent="0.25">
      <c r="A1627" s="461">
        <v>1802</v>
      </c>
      <c r="B1627" s="460" t="s">
        <v>9857</v>
      </c>
      <c r="C1627" s="461" t="s">
        <v>1104</v>
      </c>
      <c r="D1627" s="461">
        <v>1983.88</v>
      </c>
      <c r="E1627" s="461" t="s">
        <v>161</v>
      </c>
      <c r="F1627" s="461" t="s">
        <v>8328</v>
      </c>
    </row>
    <row r="1628" spans="1:6" ht="30" x14ac:dyDescent="0.25">
      <c r="A1628" s="461">
        <v>40385</v>
      </c>
      <c r="B1628" s="460" t="s">
        <v>9858</v>
      </c>
      <c r="C1628" s="461" t="s">
        <v>1104</v>
      </c>
      <c r="D1628" s="461">
        <v>89.73</v>
      </c>
      <c r="E1628" s="461" t="s">
        <v>161</v>
      </c>
      <c r="F1628" s="461" t="s">
        <v>8328</v>
      </c>
    </row>
    <row r="1629" spans="1:6" ht="30" x14ac:dyDescent="0.25">
      <c r="A1629" s="461">
        <v>40383</v>
      </c>
      <c r="B1629" s="460" t="s">
        <v>9859</v>
      </c>
      <c r="C1629" s="461" t="s">
        <v>1104</v>
      </c>
      <c r="D1629" s="461">
        <v>61.43</v>
      </c>
      <c r="E1629" s="461" t="s">
        <v>161</v>
      </c>
      <c r="F1629" s="461" t="s">
        <v>8328</v>
      </c>
    </row>
    <row r="1630" spans="1:6" ht="30" x14ac:dyDescent="0.25">
      <c r="A1630" s="461">
        <v>40378</v>
      </c>
      <c r="B1630" s="460" t="s">
        <v>9860</v>
      </c>
      <c r="C1630" s="461" t="s">
        <v>1104</v>
      </c>
      <c r="D1630" s="461">
        <v>21.24</v>
      </c>
      <c r="E1630" s="461" t="s">
        <v>161</v>
      </c>
      <c r="F1630" s="461" t="s">
        <v>8328</v>
      </c>
    </row>
    <row r="1631" spans="1:6" ht="30" x14ac:dyDescent="0.25">
      <c r="A1631" s="461">
        <v>40382</v>
      </c>
      <c r="B1631" s="460" t="s">
        <v>9861</v>
      </c>
      <c r="C1631" s="461" t="s">
        <v>1104</v>
      </c>
      <c r="D1631" s="461">
        <v>40.19</v>
      </c>
      <c r="E1631" s="461" t="s">
        <v>161</v>
      </c>
      <c r="F1631" s="461" t="s">
        <v>8328</v>
      </c>
    </row>
    <row r="1632" spans="1:6" ht="30" x14ac:dyDescent="0.25">
      <c r="A1632" s="461">
        <v>40422</v>
      </c>
      <c r="B1632" s="460" t="s">
        <v>9862</v>
      </c>
      <c r="C1632" s="461" t="s">
        <v>1104</v>
      </c>
      <c r="D1632" s="511">
        <v>273.8</v>
      </c>
      <c r="E1632" s="461" t="s">
        <v>161</v>
      </c>
      <c r="F1632" s="461" t="s">
        <v>8328</v>
      </c>
    </row>
    <row r="1633" spans="1:6" ht="30" x14ac:dyDescent="0.25">
      <c r="A1633" s="461">
        <v>40387</v>
      </c>
      <c r="B1633" s="460" t="s">
        <v>9863</v>
      </c>
      <c r="C1633" s="461" t="s">
        <v>1104</v>
      </c>
      <c r="D1633" s="461">
        <v>139.41</v>
      </c>
      <c r="E1633" s="461" t="s">
        <v>161</v>
      </c>
      <c r="F1633" s="461" t="s">
        <v>8328</v>
      </c>
    </row>
    <row r="1634" spans="1:6" ht="30" x14ac:dyDescent="0.25">
      <c r="A1634" s="461">
        <v>40380</v>
      </c>
      <c r="B1634" s="460" t="s">
        <v>9864</v>
      </c>
      <c r="C1634" s="461" t="s">
        <v>1104</v>
      </c>
      <c r="D1634" s="461">
        <v>28.32</v>
      </c>
      <c r="E1634" s="461" t="s">
        <v>161</v>
      </c>
      <c r="F1634" s="461" t="s">
        <v>8328</v>
      </c>
    </row>
    <row r="1635" spans="1:6" ht="30" x14ac:dyDescent="0.25">
      <c r="A1635" s="461">
        <v>40390</v>
      </c>
      <c r="B1635" s="460" t="s">
        <v>9865</v>
      </c>
      <c r="C1635" s="461" t="s">
        <v>1104</v>
      </c>
      <c r="D1635" s="461">
        <v>576.65</v>
      </c>
      <c r="E1635" s="461" t="s">
        <v>161</v>
      </c>
      <c r="F1635" s="461" t="s">
        <v>8328</v>
      </c>
    </row>
    <row r="1636" spans="1:6" ht="30" x14ac:dyDescent="0.25">
      <c r="A1636" s="461">
        <v>2621</v>
      </c>
      <c r="B1636" s="460" t="s">
        <v>9866</v>
      </c>
      <c r="C1636" s="461" t="s">
        <v>1104</v>
      </c>
      <c r="D1636" s="461">
        <v>152.63999999999999</v>
      </c>
      <c r="E1636" s="461" t="s">
        <v>161</v>
      </c>
      <c r="F1636" s="461" t="s">
        <v>8326</v>
      </c>
    </row>
    <row r="1637" spans="1:6" ht="30" x14ac:dyDescent="0.25">
      <c r="A1637" s="461">
        <v>2616</v>
      </c>
      <c r="B1637" s="460" t="s">
        <v>9867</v>
      </c>
      <c r="C1637" s="461" t="s">
        <v>1104</v>
      </c>
      <c r="D1637" s="461">
        <v>4.32</v>
      </c>
      <c r="E1637" s="461" t="s">
        <v>161</v>
      </c>
      <c r="F1637" s="461" t="s">
        <v>8326</v>
      </c>
    </row>
    <row r="1638" spans="1:6" ht="30" x14ac:dyDescent="0.25">
      <c r="A1638" s="461">
        <v>2633</v>
      </c>
      <c r="B1638" s="460" t="s">
        <v>9868</v>
      </c>
      <c r="C1638" s="461" t="s">
        <v>1104</v>
      </c>
      <c r="D1638" s="461">
        <v>4.88</v>
      </c>
      <c r="E1638" s="461" t="s">
        <v>161</v>
      </c>
      <c r="F1638" s="461" t="s">
        <v>8326</v>
      </c>
    </row>
    <row r="1639" spans="1:6" ht="30" x14ac:dyDescent="0.25">
      <c r="A1639" s="461">
        <v>2617</v>
      </c>
      <c r="B1639" s="460" t="s">
        <v>9869</v>
      </c>
      <c r="C1639" s="461" t="s">
        <v>1104</v>
      </c>
      <c r="D1639" s="461">
        <v>6.64</v>
      </c>
      <c r="E1639" s="461" t="s">
        <v>161</v>
      </c>
      <c r="F1639" s="461" t="s">
        <v>8326</v>
      </c>
    </row>
    <row r="1640" spans="1:6" ht="30" x14ac:dyDescent="0.25">
      <c r="A1640" s="461">
        <v>2618</v>
      </c>
      <c r="B1640" s="460" t="s">
        <v>9870</v>
      </c>
      <c r="C1640" s="461" t="s">
        <v>1104</v>
      </c>
      <c r="D1640" s="461">
        <v>15.12</v>
      </c>
      <c r="E1640" s="461" t="s">
        <v>161</v>
      </c>
      <c r="F1640" s="461" t="s">
        <v>8326</v>
      </c>
    </row>
    <row r="1641" spans="1:6" ht="30" x14ac:dyDescent="0.25">
      <c r="A1641" s="461">
        <v>2632</v>
      </c>
      <c r="B1641" s="460" t="s">
        <v>9871</v>
      </c>
      <c r="C1641" s="461" t="s">
        <v>1104</v>
      </c>
      <c r="D1641" s="461">
        <v>18.440000000000001</v>
      </c>
      <c r="E1641" s="461" t="s">
        <v>161</v>
      </c>
      <c r="F1641" s="461" t="s">
        <v>8326</v>
      </c>
    </row>
    <row r="1642" spans="1:6" ht="30" x14ac:dyDescent="0.25">
      <c r="A1642" s="461">
        <v>2631</v>
      </c>
      <c r="B1642" s="460" t="s">
        <v>9872</v>
      </c>
      <c r="C1642" s="461" t="s">
        <v>1104</v>
      </c>
      <c r="D1642" s="461">
        <v>27.07</v>
      </c>
      <c r="E1642" s="461" t="s">
        <v>161</v>
      </c>
      <c r="F1642" s="461" t="s">
        <v>8326</v>
      </c>
    </row>
    <row r="1643" spans="1:6" ht="30" x14ac:dyDescent="0.25">
      <c r="A1643" s="461">
        <v>2619</v>
      </c>
      <c r="B1643" s="460" t="s">
        <v>9873</v>
      </c>
      <c r="C1643" s="461" t="s">
        <v>1104</v>
      </c>
      <c r="D1643" s="461">
        <v>68.55</v>
      </c>
      <c r="E1643" s="461" t="s">
        <v>161</v>
      </c>
      <c r="F1643" s="461" t="s">
        <v>8326</v>
      </c>
    </row>
    <row r="1644" spans="1:6" ht="30" x14ac:dyDescent="0.25">
      <c r="A1644" s="461">
        <v>2620</v>
      </c>
      <c r="B1644" s="460" t="s">
        <v>9874</v>
      </c>
      <c r="C1644" s="461" t="s">
        <v>1104</v>
      </c>
      <c r="D1644" s="461">
        <v>90</v>
      </c>
      <c r="E1644" s="461" t="s">
        <v>161</v>
      </c>
      <c r="F1644" s="461" t="s">
        <v>8326</v>
      </c>
    </row>
    <row r="1645" spans="1:6" ht="15" x14ac:dyDescent="0.25">
      <c r="A1645" s="461">
        <v>40413</v>
      </c>
      <c r="B1645" s="460" t="s">
        <v>9875</v>
      </c>
      <c r="C1645" s="461" t="s">
        <v>1104</v>
      </c>
      <c r="D1645" s="461">
        <v>19.02</v>
      </c>
      <c r="E1645" s="461" t="s">
        <v>161</v>
      </c>
      <c r="F1645" s="461" t="s">
        <v>8328</v>
      </c>
    </row>
    <row r="1646" spans="1:6" ht="15" x14ac:dyDescent="0.25">
      <c r="A1646" s="461">
        <v>40415</v>
      </c>
      <c r="B1646" s="460" t="s">
        <v>9876</v>
      </c>
      <c r="C1646" s="461" t="s">
        <v>1104</v>
      </c>
      <c r="D1646" s="461">
        <v>27.1</v>
      </c>
      <c r="E1646" s="461" t="s">
        <v>161</v>
      </c>
      <c r="F1646" s="461" t="s">
        <v>8328</v>
      </c>
    </row>
    <row r="1647" spans="1:6" ht="15" x14ac:dyDescent="0.25">
      <c r="A1647" s="461">
        <v>40417</v>
      </c>
      <c r="B1647" s="460" t="s">
        <v>9877</v>
      </c>
      <c r="C1647" s="461" t="s">
        <v>1104</v>
      </c>
      <c r="D1647" s="461">
        <v>31.97</v>
      </c>
      <c r="E1647" s="461" t="s">
        <v>161</v>
      </c>
      <c r="F1647" s="461" t="s">
        <v>8328</v>
      </c>
    </row>
    <row r="1648" spans="1:6" ht="15" x14ac:dyDescent="0.25">
      <c r="A1648" s="461">
        <v>39271</v>
      </c>
      <c r="B1648" s="460" t="s">
        <v>9878</v>
      </c>
      <c r="C1648" s="461" t="s">
        <v>1104</v>
      </c>
      <c r="D1648" s="461">
        <v>2.3199999999999998</v>
      </c>
      <c r="E1648" s="461" t="s">
        <v>161</v>
      </c>
      <c r="F1648" s="461" t="s">
        <v>8326</v>
      </c>
    </row>
    <row r="1649" spans="1:6" ht="15" x14ac:dyDescent="0.25">
      <c r="A1649" s="461">
        <v>39273</v>
      </c>
      <c r="B1649" s="460" t="s">
        <v>9879</v>
      </c>
      <c r="C1649" s="461" t="s">
        <v>1104</v>
      </c>
      <c r="D1649" s="461">
        <v>3.93</v>
      </c>
      <c r="E1649" s="461" t="s">
        <v>161</v>
      </c>
      <c r="F1649" s="461" t="s">
        <v>8326</v>
      </c>
    </row>
    <row r="1650" spans="1:6" ht="15" x14ac:dyDescent="0.25">
      <c r="A1650" s="461">
        <v>39272</v>
      </c>
      <c r="B1650" s="460" t="s">
        <v>9880</v>
      </c>
      <c r="C1650" s="461" t="s">
        <v>1104</v>
      </c>
      <c r="D1650" s="461">
        <v>2.85</v>
      </c>
      <c r="E1650" s="461" t="s">
        <v>161</v>
      </c>
      <c r="F1650" s="461" t="s">
        <v>8326</v>
      </c>
    </row>
    <row r="1651" spans="1:6" ht="15" x14ac:dyDescent="0.25">
      <c r="A1651" s="461">
        <v>1875</v>
      </c>
      <c r="B1651" s="460" t="s">
        <v>9881</v>
      </c>
      <c r="C1651" s="461" t="s">
        <v>1104</v>
      </c>
      <c r="D1651" s="461">
        <v>6.29</v>
      </c>
      <c r="E1651" s="461" t="s">
        <v>161</v>
      </c>
      <c r="F1651" s="461" t="s">
        <v>8326</v>
      </c>
    </row>
    <row r="1652" spans="1:6" ht="15" x14ac:dyDescent="0.25">
      <c r="A1652" s="461">
        <v>1874</v>
      </c>
      <c r="B1652" s="460" t="s">
        <v>9882</v>
      </c>
      <c r="C1652" s="461" t="s">
        <v>1104</v>
      </c>
      <c r="D1652" s="461">
        <v>5.19</v>
      </c>
      <c r="E1652" s="461" t="s">
        <v>161</v>
      </c>
      <c r="F1652" s="461" t="s">
        <v>8326</v>
      </c>
    </row>
    <row r="1653" spans="1:6" ht="15" x14ac:dyDescent="0.25">
      <c r="A1653" s="461">
        <v>1870</v>
      </c>
      <c r="B1653" s="460" t="s">
        <v>9883</v>
      </c>
      <c r="C1653" s="461" t="s">
        <v>1104</v>
      </c>
      <c r="D1653" s="461">
        <v>3</v>
      </c>
      <c r="E1653" s="461" t="s">
        <v>161</v>
      </c>
      <c r="F1653" s="461" t="s">
        <v>8333</v>
      </c>
    </row>
    <row r="1654" spans="1:6" ht="15" x14ac:dyDescent="0.25">
      <c r="A1654" s="461">
        <v>1884</v>
      </c>
      <c r="B1654" s="460" t="s">
        <v>9884</v>
      </c>
      <c r="C1654" s="461" t="s">
        <v>1104</v>
      </c>
      <c r="D1654" s="461">
        <v>4.5999999999999996</v>
      </c>
      <c r="E1654" s="461" t="s">
        <v>161</v>
      </c>
      <c r="F1654" s="461" t="s">
        <v>8326</v>
      </c>
    </row>
    <row r="1655" spans="1:6" ht="15" x14ac:dyDescent="0.25">
      <c r="A1655" s="461">
        <v>1887</v>
      </c>
      <c r="B1655" s="460" t="s">
        <v>9885</v>
      </c>
      <c r="C1655" s="461" t="s">
        <v>1104</v>
      </c>
      <c r="D1655" s="461">
        <v>26.08</v>
      </c>
      <c r="E1655" s="461" t="s">
        <v>161</v>
      </c>
      <c r="F1655" s="461" t="s">
        <v>8326</v>
      </c>
    </row>
    <row r="1656" spans="1:6" ht="15" x14ac:dyDescent="0.25">
      <c r="A1656" s="461">
        <v>1876</v>
      </c>
      <c r="B1656" s="460" t="s">
        <v>9886</v>
      </c>
      <c r="C1656" s="461" t="s">
        <v>1104</v>
      </c>
      <c r="D1656" s="461">
        <v>10.220000000000001</v>
      </c>
      <c r="E1656" s="461" t="s">
        <v>161</v>
      </c>
      <c r="F1656" s="461" t="s">
        <v>8326</v>
      </c>
    </row>
    <row r="1657" spans="1:6" ht="15" x14ac:dyDescent="0.25">
      <c r="A1657" s="461">
        <v>1879</v>
      </c>
      <c r="B1657" s="460" t="s">
        <v>9887</v>
      </c>
      <c r="C1657" s="461" t="s">
        <v>1104</v>
      </c>
      <c r="D1657" s="461">
        <v>3.04</v>
      </c>
      <c r="E1657" s="461" t="s">
        <v>161</v>
      </c>
      <c r="F1657" s="461" t="s">
        <v>8326</v>
      </c>
    </row>
    <row r="1658" spans="1:6" ht="15" x14ac:dyDescent="0.25">
      <c r="A1658" s="461">
        <v>1877</v>
      </c>
      <c r="B1658" s="460" t="s">
        <v>9888</v>
      </c>
      <c r="C1658" s="461" t="s">
        <v>1104</v>
      </c>
      <c r="D1658" s="461">
        <v>26.12</v>
      </c>
      <c r="E1658" s="461" t="s">
        <v>161</v>
      </c>
      <c r="F1658" s="461" t="s">
        <v>8326</v>
      </c>
    </row>
    <row r="1659" spans="1:6" ht="15" x14ac:dyDescent="0.25">
      <c r="A1659" s="461">
        <v>1878</v>
      </c>
      <c r="B1659" s="460" t="s">
        <v>9889</v>
      </c>
      <c r="C1659" s="461" t="s">
        <v>1104</v>
      </c>
      <c r="D1659" s="461">
        <v>52.47</v>
      </c>
      <c r="E1659" s="461" t="s">
        <v>161</v>
      </c>
      <c r="F1659" s="461" t="s">
        <v>8326</v>
      </c>
    </row>
    <row r="1660" spans="1:6" ht="15" x14ac:dyDescent="0.25">
      <c r="A1660" s="461">
        <v>44472</v>
      </c>
      <c r="B1660" s="460" t="s">
        <v>9890</v>
      </c>
      <c r="C1660" s="461" t="s">
        <v>1104</v>
      </c>
      <c r="D1660" s="461">
        <v>50.42</v>
      </c>
      <c r="E1660" s="461" t="s">
        <v>161</v>
      </c>
      <c r="F1660" s="461" t="s">
        <v>8328</v>
      </c>
    </row>
    <row r="1661" spans="1:6" ht="30" x14ac:dyDescent="0.25">
      <c r="A1661" s="461">
        <v>38369</v>
      </c>
      <c r="B1661" s="460" t="s">
        <v>9891</v>
      </c>
      <c r="C1661" s="461" t="s">
        <v>1104</v>
      </c>
      <c r="D1661" s="461">
        <v>24.75</v>
      </c>
      <c r="E1661" s="461" t="s">
        <v>161</v>
      </c>
      <c r="F1661" s="461" t="s">
        <v>8326</v>
      </c>
    </row>
    <row r="1662" spans="1:6" ht="15" x14ac:dyDescent="0.25">
      <c r="A1662" s="461">
        <v>38370</v>
      </c>
      <c r="B1662" s="460" t="s">
        <v>9892</v>
      </c>
      <c r="C1662" s="461" t="s">
        <v>1104</v>
      </c>
      <c r="D1662" s="461">
        <v>24.75</v>
      </c>
      <c r="E1662" s="461" t="s">
        <v>161</v>
      </c>
      <c r="F1662" s="461" t="s">
        <v>8326</v>
      </c>
    </row>
    <row r="1663" spans="1:6" ht="15" x14ac:dyDescent="0.25">
      <c r="A1663" s="461">
        <v>38372</v>
      </c>
      <c r="B1663" s="460" t="s">
        <v>9893</v>
      </c>
      <c r="C1663" s="461" t="s">
        <v>1104</v>
      </c>
      <c r="D1663" s="461">
        <v>20.350000000000001</v>
      </c>
      <c r="E1663" s="461" t="s">
        <v>161</v>
      </c>
      <c r="F1663" s="461" t="s">
        <v>8326</v>
      </c>
    </row>
    <row r="1664" spans="1:6" ht="15" x14ac:dyDescent="0.25">
      <c r="A1664" s="461">
        <v>2358</v>
      </c>
      <c r="B1664" s="460" t="s">
        <v>9894</v>
      </c>
      <c r="C1664" s="461" t="s">
        <v>1103</v>
      </c>
      <c r="D1664" s="461">
        <v>15.97</v>
      </c>
      <c r="E1664" s="461" t="s">
        <v>4455</v>
      </c>
      <c r="F1664" s="461" t="s">
        <v>8326</v>
      </c>
    </row>
    <row r="1665" spans="1:6" ht="15" x14ac:dyDescent="0.25">
      <c r="A1665" s="461">
        <v>40807</v>
      </c>
      <c r="B1665" s="460" t="s">
        <v>9895</v>
      </c>
      <c r="C1665" s="461" t="s">
        <v>1110</v>
      </c>
      <c r="D1665" s="461">
        <v>2845.46</v>
      </c>
      <c r="E1665" s="461" t="s">
        <v>4455</v>
      </c>
      <c r="F1665" s="461" t="s">
        <v>8326</v>
      </c>
    </row>
    <row r="1666" spans="1:6" ht="15" x14ac:dyDescent="0.25">
      <c r="A1666" s="461">
        <v>44330</v>
      </c>
      <c r="B1666" s="460" t="s">
        <v>9896</v>
      </c>
      <c r="C1666" s="461" t="s">
        <v>1109</v>
      </c>
      <c r="D1666" s="461">
        <v>8.73</v>
      </c>
      <c r="E1666" s="461" t="s">
        <v>161</v>
      </c>
      <c r="F1666" s="461" t="s">
        <v>8326</v>
      </c>
    </row>
    <row r="1667" spans="1:6" ht="15" x14ac:dyDescent="0.25">
      <c r="A1667" s="461">
        <v>43144</v>
      </c>
      <c r="B1667" s="460" t="s">
        <v>9897</v>
      </c>
      <c r="C1667" s="461" t="s">
        <v>1108</v>
      </c>
      <c r="D1667" s="461">
        <v>41.86</v>
      </c>
      <c r="E1667" s="461" t="s">
        <v>161</v>
      </c>
      <c r="F1667" s="461" t="s">
        <v>8326</v>
      </c>
    </row>
    <row r="1668" spans="1:6" ht="15" x14ac:dyDescent="0.25">
      <c r="A1668" s="461">
        <v>39397</v>
      </c>
      <c r="B1668" s="460" t="s">
        <v>9898</v>
      </c>
      <c r="C1668" s="461" t="s">
        <v>1109</v>
      </c>
      <c r="D1668" s="461">
        <v>19.079999999999998</v>
      </c>
      <c r="E1668" s="461" t="s">
        <v>161</v>
      </c>
      <c r="F1668" s="461" t="s">
        <v>8326</v>
      </c>
    </row>
    <row r="1669" spans="1:6" ht="30" x14ac:dyDescent="0.25">
      <c r="A1669" s="461">
        <v>2692</v>
      </c>
      <c r="B1669" s="460" t="s">
        <v>9899</v>
      </c>
      <c r="C1669" s="461" t="s">
        <v>1109</v>
      </c>
      <c r="D1669" s="461">
        <v>7.7</v>
      </c>
      <c r="E1669" s="461" t="s">
        <v>161</v>
      </c>
      <c r="F1669" s="461" t="s">
        <v>8326</v>
      </c>
    </row>
    <row r="1670" spans="1:6" ht="15" x14ac:dyDescent="0.25">
      <c r="A1670" s="461">
        <v>44329</v>
      </c>
      <c r="B1670" s="460" t="s">
        <v>9900</v>
      </c>
      <c r="C1670" s="461" t="s">
        <v>1109</v>
      </c>
      <c r="D1670" s="511">
        <v>11.45</v>
      </c>
      <c r="E1670" s="461" t="s">
        <v>161</v>
      </c>
      <c r="F1670" s="461" t="s">
        <v>8326</v>
      </c>
    </row>
    <row r="1671" spans="1:6" ht="15" x14ac:dyDescent="0.25">
      <c r="A1671" s="461">
        <v>5318</v>
      </c>
      <c r="B1671" s="460" t="s">
        <v>9901</v>
      </c>
      <c r="C1671" s="461" t="s">
        <v>1109</v>
      </c>
      <c r="D1671" s="461">
        <v>18.510000000000002</v>
      </c>
      <c r="E1671" s="461" t="s">
        <v>161</v>
      </c>
      <c r="F1671" s="461" t="s">
        <v>8333</v>
      </c>
    </row>
    <row r="1672" spans="1:6" ht="15" x14ac:dyDescent="0.25">
      <c r="A1672" s="461">
        <v>5330</v>
      </c>
      <c r="B1672" s="460" t="s">
        <v>9902</v>
      </c>
      <c r="C1672" s="461" t="s">
        <v>1109</v>
      </c>
      <c r="D1672" s="461">
        <v>42.19</v>
      </c>
      <c r="E1672" s="461" t="s">
        <v>161</v>
      </c>
      <c r="F1672" s="461" t="s">
        <v>8326</v>
      </c>
    </row>
    <row r="1673" spans="1:6" ht="15" x14ac:dyDescent="0.25">
      <c r="A1673" s="461">
        <v>44532</v>
      </c>
      <c r="B1673" s="460" t="s">
        <v>13154</v>
      </c>
      <c r="C1673" s="461" t="s">
        <v>1104</v>
      </c>
      <c r="D1673" s="461">
        <v>23.09</v>
      </c>
      <c r="E1673" s="461" t="s">
        <v>161</v>
      </c>
      <c r="F1673" s="461" t="s">
        <v>8326</v>
      </c>
    </row>
    <row r="1674" spans="1:6" ht="30" x14ac:dyDescent="0.25">
      <c r="A1674" s="461">
        <v>44531</v>
      </c>
      <c r="B1674" s="460" t="s">
        <v>13155</v>
      </c>
      <c r="C1674" s="461" t="s">
        <v>1104</v>
      </c>
      <c r="D1674" s="461">
        <v>73.400000000000006</v>
      </c>
      <c r="E1674" s="461" t="s">
        <v>161</v>
      </c>
      <c r="F1674" s="461" t="s">
        <v>8326</v>
      </c>
    </row>
    <row r="1675" spans="1:6" ht="30" x14ac:dyDescent="0.25">
      <c r="A1675" s="461">
        <v>38140</v>
      </c>
      <c r="B1675" s="460" t="s">
        <v>9903</v>
      </c>
      <c r="C1675" s="461" t="s">
        <v>1104</v>
      </c>
      <c r="D1675" s="461">
        <v>17.8</v>
      </c>
      <c r="E1675" s="461" t="s">
        <v>161</v>
      </c>
      <c r="F1675" s="461" t="s">
        <v>8333</v>
      </c>
    </row>
    <row r="1676" spans="1:6" ht="30" x14ac:dyDescent="0.25">
      <c r="A1676" s="461">
        <v>13887</v>
      </c>
      <c r="B1676" s="460" t="s">
        <v>13156</v>
      </c>
      <c r="C1676" s="461" t="s">
        <v>1104</v>
      </c>
      <c r="D1676" s="461">
        <v>421.42</v>
      </c>
      <c r="E1676" s="461" t="s">
        <v>161</v>
      </c>
      <c r="F1676" s="461" t="s">
        <v>8326</v>
      </c>
    </row>
    <row r="1677" spans="1:6" ht="15" x14ac:dyDescent="0.25">
      <c r="A1677" s="461">
        <v>44495</v>
      </c>
      <c r="B1677" s="460" t="s">
        <v>13157</v>
      </c>
      <c r="C1677" s="461" t="s">
        <v>1104</v>
      </c>
      <c r="D1677" s="461">
        <v>18.760000000000002</v>
      </c>
      <c r="E1677" s="461" t="s">
        <v>161</v>
      </c>
      <c r="F1677" s="461" t="s">
        <v>8326</v>
      </c>
    </row>
    <row r="1678" spans="1:6" ht="30" x14ac:dyDescent="0.25">
      <c r="A1678" s="461">
        <v>44533</v>
      </c>
      <c r="B1678" s="460" t="s">
        <v>13158</v>
      </c>
      <c r="C1678" s="461" t="s">
        <v>1104</v>
      </c>
      <c r="D1678" s="461">
        <v>17.71</v>
      </c>
      <c r="E1678" s="461" t="s">
        <v>161</v>
      </c>
      <c r="F1678" s="461" t="s">
        <v>8326</v>
      </c>
    </row>
    <row r="1679" spans="1:6" ht="15" x14ac:dyDescent="0.25">
      <c r="A1679" s="461">
        <v>44534</v>
      </c>
      <c r="B1679" s="460" t="s">
        <v>9904</v>
      </c>
      <c r="C1679" s="461" t="s">
        <v>1104</v>
      </c>
      <c r="D1679" s="461">
        <v>4.6100000000000003</v>
      </c>
      <c r="E1679" s="461" t="s">
        <v>161</v>
      </c>
      <c r="F1679" s="461" t="s">
        <v>8326</v>
      </c>
    </row>
    <row r="1680" spans="1:6" ht="30" x14ac:dyDescent="0.25">
      <c r="A1680" s="461">
        <v>34729</v>
      </c>
      <c r="B1680" s="460" t="s">
        <v>9905</v>
      </c>
      <c r="C1680" s="461" t="s">
        <v>1104</v>
      </c>
      <c r="D1680" s="461">
        <v>1608.52</v>
      </c>
      <c r="E1680" s="461" t="s">
        <v>161</v>
      </c>
      <c r="F1680" s="461" t="s">
        <v>8326</v>
      </c>
    </row>
    <row r="1681" spans="1:6" ht="30" x14ac:dyDescent="0.25">
      <c r="A1681" s="461">
        <v>34734</v>
      </c>
      <c r="B1681" s="460" t="s">
        <v>9906</v>
      </c>
      <c r="C1681" s="461" t="s">
        <v>1104</v>
      </c>
      <c r="D1681" s="461">
        <v>2490.5</v>
      </c>
      <c r="E1681" s="461" t="s">
        <v>161</v>
      </c>
      <c r="F1681" s="461" t="s">
        <v>8326</v>
      </c>
    </row>
    <row r="1682" spans="1:6" ht="30" x14ac:dyDescent="0.25">
      <c r="A1682" s="461">
        <v>34738</v>
      </c>
      <c r="B1682" s="460" t="s">
        <v>9907</v>
      </c>
      <c r="C1682" s="461" t="s">
        <v>1104</v>
      </c>
      <c r="D1682" s="461">
        <v>5818.58</v>
      </c>
      <c r="E1682" s="461" t="s">
        <v>161</v>
      </c>
      <c r="F1682" s="461" t="s">
        <v>8326</v>
      </c>
    </row>
    <row r="1683" spans="1:6" ht="15" x14ac:dyDescent="0.25">
      <c r="A1683" s="461">
        <v>34623</v>
      </c>
      <c r="B1683" s="460" t="s">
        <v>9908</v>
      </c>
      <c r="C1683" s="461" t="s">
        <v>1104</v>
      </c>
      <c r="D1683" s="461">
        <v>69.73</v>
      </c>
      <c r="E1683" s="461" t="s">
        <v>161</v>
      </c>
      <c r="F1683" s="461" t="s">
        <v>8326</v>
      </c>
    </row>
    <row r="1684" spans="1:6" ht="15" x14ac:dyDescent="0.25">
      <c r="A1684" s="461">
        <v>34616</v>
      </c>
      <c r="B1684" s="460" t="s">
        <v>9909</v>
      </c>
      <c r="C1684" s="461" t="s">
        <v>1104</v>
      </c>
      <c r="D1684" s="461">
        <v>70.81</v>
      </c>
      <c r="E1684" s="461" t="s">
        <v>161</v>
      </c>
      <c r="F1684" s="461" t="s">
        <v>8326</v>
      </c>
    </row>
    <row r="1685" spans="1:6" ht="15" x14ac:dyDescent="0.25">
      <c r="A1685" s="461">
        <v>34628</v>
      </c>
      <c r="B1685" s="460" t="s">
        <v>9910</v>
      </c>
      <c r="C1685" s="461" t="s">
        <v>1104</v>
      </c>
      <c r="D1685" s="511">
        <v>99.87</v>
      </c>
      <c r="E1685" s="461" t="s">
        <v>161</v>
      </c>
      <c r="F1685" s="461" t="s">
        <v>8326</v>
      </c>
    </row>
    <row r="1686" spans="1:6" ht="30" x14ac:dyDescent="0.25">
      <c r="A1686" s="461">
        <v>34686</v>
      </c>
      <c r="B1686" s="460" t="s">
        <v>9911</v>
      </c>
      <c r="C1686" s="461" t="s">
        <v>1104</v>
      </c>
      <c r="D1686" s="511">
        <v>18.32</v>
      </c>
      <c r="E1686" s="461" t="s">
        <v>161</v>
      </c>
      <c r="F1686" s="461" t="s">
        <v>8326</v>
      </c>
    </row>
    <row r="1687" spans="1:6" ht="15" x14ac:dyDescent="0.25">
      <c r="A1687" s="461">
        <v>34653</v>
      </c>
      <c r="B1687" s="460" t="s">
        <v>9912</v>
      </c>
      <c r="C1687" s="461" t="s">
        <v>1104</v>
      </c>
      <c r="D1687" s="511">
        <v>12.35</v>
      </c>
      <c r="E1687" s="461" t="s">
        <v>161</v>
      </c>
      <c r="F1687" s="461" t="s">
        <v>8326</v>
      </c>
    </row>
    <row r="1688" spans="1:6" ht="15" x14ac:dyDescent="0.25">
      <c r="A1688" s="461">
        <v>34688</v>
      </c>
      <c r="B1688" s="460" t="s">
        <v>9913</v>
      </c>
      <c r="C1688" s="461" t="s">
        <v>1104</v>
      </c>
      <c r="D1688" s="511">
        <v>22.39</v>
      </c>
      <c r="E1688" s="461" t="s">
        <v>161</v>
      </c>
      <c r="F1688" s="461" t="s">
        <v>8326</v>
      </c>
    </row>
    <row r="1689" spans="1:6" ht="15" x14ac:dyDescent="0.25">
      <c r="A1689" s="461">
        <v>34709</v>
      </c>
      <c r="B1689" s="460" t="s">
        <v>9914</v>
      </c>
      <c r="C1689" s="461" t="s">
        <v>1104</v>
      </c>
      <c r="D1689" s="461">
        <v>86.76</v>
      </c>
      <c r="E1689" s="461" t="s">
        <v>161</v>
      </c>
      <c r="F1689" s="461" t="s">
        <v>8326</v>
      </c>
    </row>
    <row r="1690" spans="1:6" ht="15" x14ac:dyDescent="0.25">
      <c r="A1690" s="461">
        <v>34714</v>
      </c>
      <c r="B1690" s="460" t="s">
        <v>9915</v>
      </c>
      <c r="C1690" s="461" t="s">
        <v>1104</v>
      </c>
      <c r="D1690" s="461">
        <v>103.62</v>
      </c>
      <c r="E1690" s="461" t="s">
        <v>161</v>
      </c>
      <c r="F1690" s="461" t="s">
        <v>8326</v>
      </c>
    </row>
    <row r="1691" spans="1:6" ht="15" x14ac:dyDescent="0.25">
      <c r="A1691" s="461">
        <v>2391</v>
      </c>
      <c r="B1691" s="460" t="s">
        <v>9916</v>
      </c>
      <c r="C1691" s="461" t="s">
        <v>1104</v>
      </c>
      <c r="D1691" s="461">
        <v>473.24</v>
      </c>
      <c r="E1691" s="461" t="s">
        <v>161</v>
      </c>
      <c r="F1691" s="461" t="s">
        <v>8326</v>
      </c>
    </row>
    <row r="1692" spans="1:6" ht="15" x14ac:dyDescent="0.25">
      <c r="A1692" s="461">
        <v>2374</v>
      </c>
      <c r="B1692" s="460" t="s">
        <v>9917</v>
      </c>
      <c r="C1692" s="461" t="s">
        <v>1104</v>
      </c>
      <c r="D1692" s="461">
        <v>536.88</v>
      </c>
      <c r="E1692" s="461" t="s">
        <v>161</v>
      </c>
      <c r="F1692" s="461" t="s">
        <v>8326</v>
      </c>
    </row>
    <row r="1693" spans="1:6" ht="15" x14ac:dyDescent="0.25">
      <c r="A1693" s="461">
        <v>2377</v>
      </c>
      <c r="B1693" s="460" t="s">
        <v>9918</v>
      </c>
      <c r="C1693" s="461" t="s">
        <v>1104</v>
      </c>
      <c r="D1693" s="461">
        <v>753.45</v>
      </c>
      <c r="E1693" s="461" t="s">
        <v>161</v>
      </c>
      <c r="F1693" s="461" t="s">
        <v>8326</v>
      </c>
    </row>
    <row r="1694" spans="1:6" ht="15" x14ac:dyDescent="0.25">
      <c r="A1694" s="461">
        <v>2393</v>
      </c>
      <c r="B1694" s="460" t="s">
        <v>9919</v>
      </c>
      <c r="C1694" s="461" t="s">
        <v>1104</v>
      </c>
      <c r="D1694" s="461">
        <v>1261.76</v>
      </c>
      <c r="E1694" s="461" t="s">
        <v>161</v>
      </c>
      <c r="F1694" s="461" t="s">
        <v>8326</v>
      </c>
    </row>
    <row r="1695" spans="1:6" ht="15" x14ac:dyDescent="0.25">
      <c r="A1695" s="461">
        <v>34705</v>
      </c>
      <c r="B1695" s="460" t="s">
        <v>13159</v>
      </c>
      <c r="C1695" s="461" t="s">
        <v>1104</v>
      </c>
      <c r="D1695" s="461">
        <v>1103.5899999999999</v>
      </c>
      <c r="E1695" s="461" t="s">
        <v>161</v>
      </c>
      <c r="F1695" s="461" t="s">
        <v>8326</v>
      </c>
    </row>
    <row r="1696" spans="1:6" ht="15" x14ac:dyDescent="0.25">
      <c r="A1696" s="461">
        <v>34707</v>
      </c>
      <c r="B1696" s="460" t="s">
        <v>9920</v>
      </c>
      <c r="C1696" s="461" t="s">
        <v>1104</v>
      </c>
      <c r="D1696" s="461">
        <v>2044.97</v>
      </c>
      <c r="E1696" s="461" t="s">
        <v>161</v>
      </c>
      <c r="F1696" s="461" t="s">
        <v>8326</v>
      </c>
    </row>
    <row r="1697" spans="1:6" ht="15" x14ac:dyDescent="0.25">
      <c r="A1697" s="461">
        <v>34544</v>
      </c>
      <c r="B1697" s="460" t="s">
        <v>13160</v>
      </c>
      <c r="C1697" s="461" t="s">
        <v>1104</v>
      </c>
      <c r="D1697" s="461">
        <v>2044.76</v>
      </c>
      <c r="E1697" s="461" t="s">
        <v>161</v>
      </c>
      <c r="F1697" s="461" t="s">
        <v>8326</v>
      </c>
    </row>
    <row r="1698" spans="1:6" ht="15" x14ac:dyDescent="0.25">
      <c r="A1698" s="461">
        <v>2378</v>
      </c>
      <c r="B1698" s="460" t="s">
        <v>9921</v>
      </c>
      <c r="C1698" s="461" t="s">
        <v>1104</v>
      </c>
      <c r="D1698" s="461">
        <v>1733.19</v>
      </c>
      <c r="E1698" s="461" t="s">
        <v>161</v>
      </c>
      <c r="F1698" s="461" t="s">
        <v>8326</v>
      </c>
    </row>
    <row r="1699" spans="1:6" ht="15" x14ac:dyDescent="0.25">
      <c r="A1699" s="461">
        <v>2379</v>
      </c>
      <c r="B1699" s="460" t="s">
        <v>9922</v>
      </c>
      <c r="C1699" s="461" t="s">
        <v>1104</v>
      </c>
      <c r="D1699" s="461">
        <v>1733.19</v>
      </c>
      <c r="E1699" s="461" t="s">
        <v>161</v>
      </c>
      <c r="F1699" s="461" t="s">
        <v>8326</v>
      </c>
    </row>
    <row r="1700" spans="1:6" ht="15" x14ac:dyDescent="0.25">
      <c r="A1700" s="461">
        <v>2376</v>
      </c>
      <c r="B1700" s="460" t="s">
        <v>9923</v>
      </c>
      <c r="C1700" s="461" t="s">
        <v>1104</v>
      </c>
      <c r="D1700" s="511">
        <v>2854.56</v>
      </c>
      <c r="E1700" s="461" t="s">
        <v>161</v>
      </c>
      <c r="F1700" s="461" t="s">
        <v>8326</v>
      </c>
    </row>
    <row r="1701" spans="1:6" ht="15" x14ac:dyDescent="0.25">
      <c r="A1701" s="461">
        <v>2394</v>
      </c>
      <c r="B1701" s="460" t="s">
        <v>9924</v>
      </c>
      <c r="C1701" s="461" t="s">
        <v>1104</v>
      </c>
      <c r="D1701" s="511">
        <v>6102.52</v>
      </c>
      <c r="E1701" s="461" t="s">
        <v>161</v>
      </c>
      <c r="F1701" s="461" t="s">
        <v>8326</v>
      </c>
    </row>
    <row r="1702" spans="1:6" ht="15" x14ac:dyDescent="0.25">
      <c r="A1702" s="461">
        <v>2388</v>
      </c>
      <c r="B1702" s="460" t="s">
        <v>13161</v>
      </c>
      <c r="C1702" s="461" t="s">
        <v>1104</v>
      </c>
      <c r="D1702" s="511">
        <v>86.11</v>
      </c>
      <c r="E1702" s="461" t="s">
        <v>161</v>
      </c>
      <c r="F1702" s="461" t="s">
        <v>8326</v>
      </c>
    </row>
    <row r="1703" spans="1:6" ht="15" x14ac:dyDescent="0.25">
      <c r="A1703" s="461">
        <v>34606</v>
      </c>
      <c r="B1703" s="460" t="s">
        <v>9925</v>
      </c>
      <c r="C1703" s="461" t="s">
        <v>1104</v>
      </c>
      <c r="D1703" s="511">
        <v>132.09</v>
      </c>
      <c r="E1703" s="461" t="s">
        <v>161</v>
      </c>
      <c r="F1703" s="461" t="s">
        <v>8326</v>
      </c>
    </row>
    <row r="1704" spans="1:6" ht="15" x14ac:dyDescent="0.25">
      <c r="A1704" s="461">
        <v>34689</v>
      </c>
      <c r="B1704" s="460" t="s">
        <v>9926</v>
      </c>
      <c r="C1704" s="461" t="s">
        <v>1104</v>
      </c>
      <c r="D1704" s="511">
        <v>42.05</v>
      </c>
      <c r="E1704" s="461" t="s">
        <v>161</v>
      </c>
      <c r="F1704" s="461" t="s">
        <v>8326</v>
      </c>
    </row>
    <row r="1705" spans="1:6" ht="15" x14ac:dyDescent="0.25">
      <c r="A1705" s="461">
        <v>2370</v>
      </c>
      <c r="B1705" s="460" t="s">
        <v>9927</v>
      </c>
      <c r="C1705" s="461" t="s">
        <v>1104</v>
      </c>
      <c r="D1705" s="511">
        <v>16</v>
      </c>
      <c r="E1705" s="461" t="s">
        <v>161</v>
      </c>
      <c r="F1705" s="461" t="s">
        <v>8333</v>
      </c>
    </row>
    <row r="1706" spans="1:6" ht="15" x14ac:dyDescent="0.25">
      <c r="A1706" s="461">
        <v>2386</v>
      </c>
      <c r="B1706" s="460" t="s">
        <v>13162</v>
      </c>
      <c r="C1706" s="461" t="s">
        <v>1104</v>
      </c>
      <c r="D1706" s="511">
        <v>26.84</v>
      </c>
      <c r="E1706" s="461" t="s">
        <v>161</v>
      </c>
      <c r="F1706" s="461" t="s">
        <v>8326</v>
      </c>
    </row>
    <row r="1707" spans="1:6" ht="15" x14ac:dyDescent="0.25">
      <c r="A1707" s="461">
        <v>2392</v>
      </c>
      <c r="B1707" s="460" t="s">
        <v>13163</v>
      </c>
      <c r="C1707" s="461" t="s">
        <v>1104</v>
      </c>
      <c r="D1707" s="461">
        <v>107.4</v>
      </c>
      <c r="E1707" s="461" t="s">
        <v>161</v>
      </c>
      <c r="F1707" s="461" t="s">
        <v>8326</v>
      </c>
    </row>
    <row r="1708" spans="1:6" ht="15" x14ac:dyDescent="0.25">
      <c r="A1708" s="461">
        <v>2373</v>
      </c>
      <c r="B1708" s="460" t="s">
        <v>9928</v>
      </c>
      <c r="C1708" s="461" t="s">
        <v>1104</v>
      </c>
      <c r="D1708" s="461">
        <v>151.32</v>
      </c>
      <c r="E1708" s="461" t="s">
        <v>161</v>
      </c>
      <c r="F1708" s="461" t="s">
        <v>8326</v>
      </c>
    </row>
    <row r="1709" spans="1:6" ht="30" x14ac:dyDescent="0.25">
      <c r="A1709" s="461">
        <v>39465</v>
      </c>
      <c r="B1709" s="460" t="s">
        <v>9929</v>
      </c>
      <c r="C1709" s="461" t="s">
        <v>1104</v>
      </c>
      <c r="D1709" s="461">
        <v>92.44</v>
      </c>
      <c r="E1709" s="461" t="s">
        <v>161</v>
      </c>
      <c r="F1709" s="461" t="s">
        <v>8326</v>
      </c>
    </row>
    <row r="1710" spans="1:6" ht="30" x14ac:dyDescent="0.25">
      <c r="A1710" s="461">
        <v>39466</v>
      </c>
      <c r="B1710" s="460" t="s">
        <v>9930</v>
      </c>
      <c r="C1710" s="461" t="s">
        <v>1104</v>
      </c>
      <c r="D1710" s="461">
        <v>104</v>
      </c>
      <c r="E1710" s="461" t="s">
        <v>161</v>
      </c>
      <c r="F1710" s="461" t="s">
        <v>8326</v>
      </c>
    </row>
    <row r="1711" spans="1:6" ht="30" x14ac:dyDescent="0.25">
      <c r="A1711" s="461">
        <v>39467</v>
      </c>
      <c r="B1711" s="460" t="s">
        <v>9931</v>
      </c>
      <c r="C1711" s="461" t="s">
        <v>1104</v>
      </c>
      <c r="D1711" s="461">
        <v>133.03</v>
      </c>
      <c r="E1711" s="461" t="s">
        <v>161</v>
      </c>
      <c r="F1711" s="461" t="s">
        <v>8326</v>
      </c>
    </row>
    <row r="1712" spans="1:6" ht="30" x14ac:dyDescent="0.25">
      <c r="A1712" s="461">
        <v>39468</v>
      </c>
      <c r="B1712" s="460" t="s">
        <v>9932</v>
      </c>
      <c r="C1712" s="461" t="s">
        <v>1104</v>
      </c>
      <c r="D1712" s="461">
        <v>236.45</v>
      </c>
      <c r="E1712" s="461" t="s">
        <v>161</v>
      </c>
      <c r="F1712" s="461" t="s">
        <v>8326</v>
      </c>
    </row>
    <row r="1713" spans="1:6" ht="30" x14ac:dyDescent="0.25">
      <c r="A1713" s="461">
        <v>39469</v>
      </c>
      <c r="B1713" s="460" t="s">
        <v>9933</v>
      </c>
      <c r="C1713" s="461" t="s">
        <v>1104</v>
      </c>
      <c r="D1713" s="461">
        <v>96.32</v>
      </c>
      <c r="E1713" s="461" t="s">
        <v>161</v>
      </c>
      <c r="F1713" s="461" t="s">
        <v>8326</v>
      </c>
    </row>
    <row r="1714" spans="1:6" ht="30" x14ac:dyDescent="0.25">
      <c r="A1714" s="461">
        <v>39470</v>
      </c>
      <c r="B1714" s="460" t="s">
        <v>9934</v>
      </c>
      <c r="C1714" s="461" t="s">
        <v>1104</v>
      </c>
      <c r="D1714" s="461">
        <v>118.34</v>
      </c>
      <c r="E1714" s="461" t="s">
        <v>161</v>
      </c>
      <c r="F1714" s="461" t="s">
        <v>8326</v>
      </c>
    </row>
    <row r="1715" spans="1:6" ht="30" x14ac:dyDescent="0.25">
      <c r="A1715" s="461">
        <v>39471</v>
      </c>
      <c r="B1715" s="460" t="s">
        <v>9935</v>
      </c>
      <c r="C1715" s="461" t="s">
        <v>1104</v>
      </c>
      <c r="D1715" s="461">
        <v>142.22</v>
      </c>
      <c r="E1715" s="461" t="s">
        <v>161</v>
      </c>
      <c r="F1715" s="461" t="s">
        <v>8326</v>
      </c>
    </row>
    <row r="1716" spans="1:6" ht="30" x14ac:dyDescent="0.25">
      <c r="A1716" s="461">
        <v>39472</v>
      </c>
      <c r="B1716" s="460" t="s">
        <v>9936</v>
      </c>
      <c r="C1716" s="461" t="s">
        <v>1104</v>
      </c>
      <c r="D1716" s="461">
        <v>247.11</v>
      </c>
      <c r="E1716" s="461" t="s">
        <v>161</v>
      </c>
      <c r="F1716" s="461" t="s">
        <v>8326</v>
      </c>
    </row>
    <row r="1717" spans="1:6" ht="30" x14ac:dyDescent="0.25">
      <c r="A1717" s="461">
        <v>39473</v>
      </c>
      <c r="B1717" s="460" t="s">
        <v>9937</v>
      </c>
      <c r="C1717" s="461" t="s">
        <v>1104</v>
      </c>
      <c r="D1717" s="461">
        <v>159.63</v>
      </c>
      <c r="E1717" s="461" t="s">
        <v>161</v>
      </c>
      <c r="F1717" s="461" t="s">
        <v>8326</v>
      </c>
    </row>
    <row r="1718" spans="1:6" ht="30" x14ac:dyDescent="0.25">
      <c r="A1718" s="461">
        <v>39474</v>
      </c>
      <c r="B1718" s="460" t="s">
        <v>9938</v>
      </c>
      <c r="C1718" s="461" t="s">
        <v>1104</v>
      </c>
      <c r="D1718" s="461">
        <v>170.17</v>
      </c>
      <c r="E1718" s="461" t="s">
        <v>161</v>
      </c>
      <c r="F1718" s="461" t="s">
        <v>8326</v>
      </c>
    </row>
    <row r="1719" spans="1:6" ht="30" x14ac:dyDescent="0.25">
      <c r="A1719" s="461">
        <v>39475</v>
      </c>
      <c r="B1719" s="460" t="s">
        <v>9939</v>
      </c>
      <c r="C1719" s="461" t="s">
        <v>1104</v>
      </c>
      <c r="D1719" s="461">
        <v>193.08</v>
      </c>
      <c r="E1719" s="461" t="s">
        <v>161</v>
      </c>
      <c r="F1719" s="461" t="s">
        <v>8326</v>
      </c>
    </row>
    <row r="1720" spans="1:6" ht="30" x14ac:dyDescent="0.25">
      <c r="A1720" s="461">
        <v>39476</v>
      </c>
      <c r="B1720" s="460" t="s">
        <v>9940</v>
      </c>
      <c r="C1720" s="461" t="s">
        <v>1104</v>
      </c>
      <c r="D1720" s="461">
        <v>363.46</v>
      </c>
      <c r="E1720" s="461" t="s">
        <v>161</v>
      </c>
      <c r="F1720" s="461" t="s">
        <v>8326</v>
      </c>
    </row>
    <row r="1721" spans="1:6" ht="30" x14ac:dyDescent="0.25">
      <c r="A1721" s="461">
        <v>39477</v>
      </c>
      <c r="B1721" s="460" t="s">
        <v>9941</v>
      </c>
      <c r="C1721" s="461" t="s">
        <v>1104</v>
      </c>
      <c r="D1721" s="461">
        <v>178.08</v>
      </c>
      <c r="E1721" s="461" t="s">
        <v>161</v>
      </c>
      <c r="F1721" s="461" t="s">
        <v>8326</v>
      </c>
    </row>
    <row r="1722" spans="1:6" ht="30" x14ac:dyDescent="0.25">
      <c r="A1722" s="461">
        <v>39478</v>
      </c>
      <c r="B1722" s="460" t="s">
        <v>9942</v>
      </c>
      <c r="C1722" s="461" t="s">
        <v>1104</v>
      </c>
      <c r="D1722" s="461">
        <v>183.6</v>
      </c>
      <c r="E1722" s="461" t="s">
        <v>161</v>
      </c>
      <c r="F1722" s="461" t="s">
        <v>8326</v>
      </c>
    </row>
    <row r="1723" spans="1:6" ht="30" x14ac:dyDescent="0.25">
      <c r="A1723" s="461">
        <v>39479</v>
      </c>
      <c r="B1723" s="460" t="s">
        <v>9943</v>
      </c>
      <c r="C1723" s="461" t="s">
        <v>1104</v>
      </c>
      <c r="D1723" s="461">
        <v>216.32</v>
      </c>
      <c r="E1723" s="461" t="s">
        <v>161</v>
      </c>
      <c r="F1723" s="461" t="s">
        <v>8326</v>
      </c>
    </row>
    <row r="1724" spans="1:6" ht="30" x14ac:dyDescent="0.25">
      <c r="A1724" s="461">
        <v>39480</v>
      </c>
      <c r="B1724" s="460" t="s">
        <v>9944</v>
      </c>
      <c r="C1724" s="461" t="s">
        <v>1104</v>
      </c>
      <c r="D1724" s="461">
        <v>446.36</v>
      </c>
      <c r="E1724" s="461" t="s">
        <v>161</v>
      </c>
      <c r="F1724" s="461" t="s">
        <v>8326</v>
      </c>
    </row>
    <row r="1725" spans="1:6" ht="15" x14ac:dyDescent="0.25">
      <c r="A1725" s="461">
        <v>39459</v>
      </c>
      <c r="B1725" s="460" t="s">
        <v>9945</v>
      </c>
      <c r="C1725" s="461" t="s">
        <v>1104</v>
      </c>
      <c r="D1725" s="461">
        <v>378.85</v>
      </c>
      <c r="E1725" s="461" t="s">
        <v>161</v>
      </c>
      <c r="F1725" s="461" t="s">
        <v>8326</v>
      </c>
    </row>
    <row r="1726" spans="1:6" ht="15" x14ac:dyDescent="0.25">
      <c r="A1726" s="461">
        <v>39445</v>
      </c>
      <c r="B1726" s="460" t="s">
        <v>9946</v>
      </c>
      <c r="C1726" s="461" t="s">
        <v>1104</v>
      </c>
      <c r="D1726" s="461">
        <v>190.22</v>
      </c>
      <c r="E1726" s="461" t="s">
        <v>161</v>
      </c>
      <c r="F1726" s="461" t="s">
        <v>8326</v>
      </c>
    </row>
    <row r="1727" spans="1:6" ht="15" x14ac:dyDescent="0.25">
      <c r="A1727" s="461">
        <v>39446</v>
      </c>
      <c r="B1727" s="460" t="s">
        <v>9947</v>
      </c>
      <c r="C1727" s="461" t="s">
        <v>1104</v>
      </c>
      <c r="D1727" s="461">
        <v>193.6</v>
      </c>
      <c r="E1727" s="461" t="s">
        <v>161</v>
      </c>
      <c r="F1727" s="461" t="s">
        <v>8326</v>
      </c>
    </row>
    <row r="1728" spans="1:6" ht="15" x14ac:dyDescent="0.25">
      <c r="A1728" s="461">
        <v>39447</v>
      </c>
      <c r="B1728" s="460" t="s">
        <v>9948</v>
      </c>
      <c r="C1728" s="461" t="s">
        <v>1104</v>
      </c>
      <c r="D1728" s="461">
        <v>207.04</v>
      </c>
      <c r="E1728" s="461" t="s">
        <v>161</v>
      </c>
      <c r="F1728" s="461" t="s">
        <v>8326</v>
      </c>
    </row>
    <row r="1729" spans="1:6" ht="15" x14ac:dyDescent="0.25">
      <c r="A1729" s="461">
        <v>39448</v>
      </c>
      <c r="B1729" s="460" t="s">
        <v>9949</v>
      </c>
      <c r="C1729" s="461" t="s">
        <v>1104</v>
      </c>
      <c r="D1729" s="461">
        <v>353.04</v>
      </c>
      <c r="E1729" s="461" t="s">
        <v>161</v>
      </c>
      <c r="F1729" s="461" t="s">
        <v>8326</v>
      </c>
    </row>
    <row r="1730" spans="1:6" ht="15" x14ac:dyDescent="0.25">
      <c r="A1730" s="461">
        <v>39450</v>
      </c>
      <c r="B1730" s="460" t="s">
        <v>9950</v>
      </c>
      <c r="C1730" s="461" t="s">
        <v>1104</v>
      </c>
      <c r="D1730" s="461">
        <v>215.39</v>
      </c>
      <c r="E1730" s="461" t="s">
        <v>161</v>
      </c>
      <c r="F1730" s="461" t="s">
        <v>8326</v>
      </c>
    </row>
    <row r="1731" spans="1:6" ht="15" x14ac:dyDescent="0.25">
      <c r="A1731" s="461">
        <v>39451</v>
      </c>
      <c r="B1731" s="460" t="s">
        <v>9951</v>
      </c>
      <c r="C1731" s="461" t="s">
        <v>1104</v>
      </c>
      <c r="D1731" s="461">
        <v>234.93</v>
      </c>
      <c r="E1731" s="461" t="s">
        <v>161</v>
      </c>
      <c r="F1731" s="461" t="s">
        <v>8326</v>
      </c>
    </row>
    <row r="1732" spans="1:6" ht="15" x14ac:dyDescent="0.25">
      <c r="A1732" s="461">
        <v>39452</v>
      </c>
      <c r="B1732" s="460" t="s">
        <v>9952</v>
      </c>
      <c r="C1732" s="461" t="s">
        <v>1104</v>
      </c>
      <c r="D1732" s="461">
        <v>236.33</v>
      </c>
      <c r="E1732" s="461" t="s">
        <v>161</v>
      </c>
      <c r="F1732" s="461" t="s">
        <v>8326</v>
      </c>
    </row>
    <row r="1733" spans="1:6" ht="15" x14ac:dyDescent="0.25">
      <c r="A1733" s="461">
        <v>39523</v>
      </c>
      <c r="B1733" s="460" t="s">
        <v>9953</v>
      </c>
      <c r="C1733" s="461" t="s">
        <v>1104</v>
      </c>
      <c r="D1733" s="461">
        <v>395.5</v>
      </c>
      <c r="E1733" s="461" t="s">
        <v>161</v>
      </c>
      <c r="F1733" s="461" t="s">
        <v>8326</v>
      </c>
    </row>
    <row r="1734" spans="1:6" ht="15" x14ac:dyDescent="0.25">
      <c r="A1734" s="461">
        <v>39449</v>
      </c>
      <c r="B1734" s="460" t="s">
        <v>9954</v>
      </c>
      <c r="C1734" s="461" t="s">
        <v>1104</v>
      </c>
      <c r="D1734" s="461">
        <v>437.99</v>
      </c>
      <c r="E1734" s="461" t="s">
        <v>161</v>
      </c>
      <c r="F1734" s="461" t="s">
        <v>8326</v>
      </c>
    </row>
    <row r="1735" spans="1:6" ht="15" x14ac:dyDescent="0.25">
      <c r="A1735" s="461">
        <v>39455</v>
      </c>
      <c r="B1735" s="460" t="s">
        <v>9955</v>
      </c>
      <c r="C1735" s="461" t="s">
        <v>1104</v>
      </c>
      <c r="D1735" s="461">
        <v>216.72</v>
      </c>
      <c r="E1735" s="461" t="s">
        <v>161</v>
      </c>
      <c r="F1735" s="461" t="s">
        <v>8326</v>
      </c>
    </row>
    <row r="1736" spans="1:6" ht="15" x14ac:dyDescent="0.25">
      <c r="A1736" s="461">
        <v>39456</v>
      </c>
      <c r="B1736" s="460" t="s">
        <v>9956</v>
      </c>
      <c r="C1736" s="461" t="s">
        <v>1104</v>
      </c>
      <c r="D1736" s="461">
        <v>216.88</v>
      </c>
      <c r="E1736" s="461" t="s">
        <v>161</v>
      </c>
      <c r="F1736" s="461" t="s">
        <v>8326</v>
      </c>
    </row>
    <row r="1737" spans="1:6" ht="15" x14ac:dyDescent="0.25">
      <c r="A1737" s="461">
        <v>39457</v>
      </c>
      <c r="B1737" s="460" t="s">
        <v>9957</v>
      </c>
      <c r="C1737" s="461" t="s">
        <v>1104</v>
      </c>
      <c r="D1737" s="461">
        <v>236.44</v>
      </c>
      <c r="E1737" s="461" t="s">
        <v>161</v>
      </c>
      <c r="F1737" s="461" t="s">
        <v>8326</v>
      </c>
    </row>
    <row r="1738" spans="1:6" ht="15" x14ac:dyDescent="0.25">
      <c r="A1738" s="461">
        <v>39458</v>
      </c>
      <c r="B1738" s="460" t="s">
        <v>9958</v>
      </c>
      <c r="C1738" s="461" t="s">
        <v>1104</v>
      </c>
      <c r="D1738" s="461">
        <v>441.21</v>
      </c>
      <c r="E1738" s="461" t="s">
        <v>161</v>
      </c>
      <c r="F1738" s="461" t="s">
        <v>8326</v>
      </c>
    </row>
    <row r="1739" spans="1:6" ht="15" x14ac:dyDescent="0.25">
      <c r="A1739" s="461">
        <v>39464</v>
      </c>
      <c r="B1739" s="460" t="s">
        <v>9959</v>
      </c>
      <c r="C1739" s="461" t="s">
        <v>1104</v>
      </c>
      <c r="D1739" s="461">
        <v>709.51</v>
      </c>
      <c r="E1739" s="461" t="s">
        <v>161</v>
      </c>
      <c r="F1739" s="461" t="s">
        <v>8326</v>
      </c>
    </row>
    <row r="1740" spans="1:6" ht="15" x14ac:dyDescent="0.25">
      <c r="A1740" s="461">
        <v>39460</v>
      </c>
      <c r="B1740" s="460" t="s">
        <v>9960</v>
      </c>
      <c r="C1740" s="461" t="s">
        <v>1104</v>
      </c>
      <c r="D1740" s="461">
        <v>269.10000000000002</v>
      </c>
      <c r="E1740" s="461" t="s">
        <v>161</v>
      </c>
      <c r="F1740" s="461" t="s">
        <v>8326</v>
      </c>
    </row>
    <row r="1741" spans="1:6" ht="15" x14ac:dyDescent="0.25">
      <c r="A1741" s="461">
        <v>39461</v>
      </c>
      <c r="B1741" s="460" t="s">
        <v>9961</v>
      </c>
      <c r="C1741" s="461" t="s">
        <v>1104</v>
      </c>
      <c r="D1741" s="461">
        <v>315.32</v>
      </c>
      <c r="E1741" s="461" t="s">
        <v>161</v>
      </c>
      <c r="F1741" s="461" t="s">
        <v>8326</v>
      </c>
    </row>
    <row r="1742" spans="1:6" ht="15" x14ac:dyDescent="0.25">
      <c r="A1742" s="461">
        <v>39462</v>
      </c>
      <c r="B1742" s="460" t="s">
        <v>9962</v>
      </c>
      <c r="C1742" s="461" t="s">
        <v>1104</v>
      </c>
      <c r="D1742" s="461">
        <v>303.89</v>
      </c>
      <c r="E1742" s="461" t="s">
        <v>161</v>
      </c>
      <c r="F1742" s="461" t="s">
        <v>8326</v>
      </c>
    </row>
    <row r="1743" spans="1:6" ht="15" x14ac:dyDescent="0.25">
      <c r="A1743" s="461">
        <v>39463</v>
      </c>
      <c r="B1743" s="460" t="s">
        <v>9963</v>
      </c>
      <c r="C1743" s="461" t="s">
        <v>1104</v>
      </c>
      <c r="D1743" s="461">
        <v>704</v>
      </c>
      <c r="E1743" s="461" t="s">
        <v>161</v>
      </c>
      <c r="F1743" s="461" t="s">
        <v>8326</v>
      </c>
    </row>
    <row r="1744" spans="1:6" ht="15" x14ac:dyDescent="0.25">
      <c r="A1744" s="461">
        <v>26039</v>
      </c>
      <c r="B1744" s="460" t="s">
        <v>9964</v>
      </c>
      <c r="C1744" s="461" t="s">
        <v>1104</v>
      </c>
      <c r="D1744" s="461">
        <v>391246.87</v>
      </c>
      <c r="E1744" s="461" t="s">
        <v>1497</v>
      </c>
      <c r="F1744" s="461" t="s">
        <v>8328</v>
      </c>
    </row>
    <row r="1745" spans="1:6" ht="30" x14ac:dyDescent="0.25">
      <c r="A1745" s="461">
        <v>2401</v>
      </c>
      <c r="B1745" s="460" t="s">
        <v>9965</v>
      </c>
      <c r="C1745" s="461" t="s">
        <v>1104</v>
      </c>
      <c r="D1745" s="461">
        <v>89991.11</v>
      </c>
      <c r="E1745" s="461" t="s">
        <v>1497</v>
      </c>
      <c r="F1745" s="461" t="s">
        <v>8328</v>
      </c>
    </row>
    <row r="1746" spans="1:6" ht="30" x14ac:dyDescent="0.25">
      <c r="A1746" s="461">
        <v>38870</v>
      </c>
      <c r="B1746" s="460" t="s">
        <v>9966</v>
      </c>
      <c r="C1746" s="461" t="s">
        <v>1104</v>
      </c>
      <c r="D1746" s="461">
        <v>30.1</v>
      </c>
      <c r="E1746" s="461" t="s">
        <v>161</v>
      </c>
      <c r="F1746" s="461" t="s">
        <v>8328</v>
      </c>
    </row>
    <row r="1747" spans="1:6" ht="30" x14ac:dyDescent="0.25">
      <c r="A1747" s="461">
        <v>38869</v>
      </c>
      <c r="B1747" s="460" t="s">
        <v>9967</v>
      </c>
      <c r="C1747" s="461" t="s">
        <v>1104</v>
      </c>
      <c r="D1747" s="461">
        <v>20.309999999999999</v>
      </c>
      <c r="E1747" s="461" t="s">
        <v>161</v>
      </c>
      <c r="F1747" s="461" t="s">
        <v>8328</v>
      </c>
    </row>
    <row r="1748" spans="1:6" ht="30" x14ac:dyDescent="0.25">
      <c r="A1748" s="461">
        <v>38872</v>
      </c>
      <c r="B1748" s="460" t="s">
        <v>9968</v>
      </c>
      <c r="C1748" s="461" t="s">
        <v>1104</v>
      </c>
      <c r="D1748" s="461">
        <v>38.35</v>
      </c>
      <c r="E1748" s="461" t="s">
        <v>161</v>
      </c>
      <c r="F1748" s="461" t="s">
        <v>8328</v>
      </c>
    </row>
    <row r="1749" spans="1:6" ht="30" x14ac:dyDescent="0.25">
      <c r="A1749" s="461">
        <v>38871</v>
      </c>
      <c r="B1749" s="460" t="s">
        <v>9969</v>
      </c>
      <c r="C1749" s="461" t="s">
        <v>1104</v>
      </c>
      <c r="D1749" s="511">
        <v>26.51</v>
      </c>
      <c r="E1749" s="461" t="s">
        <v>161</v>
      </c>
      <c r="F1749" s="461" t="s">
        <v>8328</v>
      </c>
    </row>
    <row r="1750" spans="1:6" ht="30" x14ac:dyDescent="0.25">
      <c r="A1750" s="461">
        <v>39283</v>
      </c>
      <c r="B1750" s="460" t="s">
        <v>9970</v>
      </c>
      <c r="C1750" s="461" t="s">
        <v>1104</v>
      </c>
      <c r="D1750" s="511">
        <v>124.21</v>
      </c>
      <c r="E1750" s="461" t="s">
        <v>161</v>
      </c>
      <c r="F1750" s="461" t="s">
        <v>8328</v>
      </c>
    </row>
    <row r="1751" spans="1:6" ht="30" x14ac:dyDescent="0.25">
      <c r="A1751" s="461">
        <v>39285</v>
      </c>
      <c r="B1751" s="460" t="s">
        <v>9971</v>
      </c>
      <c r="C1751" s="461" t="s">
        <v>1104</v>
      </c>
      <c r="D1751" s="461">
        <v>141.94999999999999</v>
      </c>
      <c r="E1751" s="461" t="s">
        <v>161</v>
      </c>
      <c r="F1751" s="461" t="s">
        <v>8328</v>
      </c>
    </row>
    <row r="1752" spans="1:6" ht="30" x14ac:dyDescent="0.25">
      <c r="A1752" s="461">
        <v>39286</v>
      </c>
      <c r="B1752" s="460" t="s">
        <v>9972</v>
      </c>
      <c r="C1752" s="461" t="s">
        <v>1104</v>
      </c>
      <c r="D1752" s="461">
        <v>136.05000000000001</v>
      </c>
      <c r="E1752" s="461" t="s">
        <v>161</v>
      </c>
      <c r="F1752" s="461" t="s">
        <v>8328</v>
      </c>
    </row>
    <row r="1753" spans="1:6" ht="30" x14ac:dyDescent="0.25">
      <c r="A1753" s="461">
        <v>39288</v>
      </c>
      <c r="B1753" s="460" t="s">
        <v>9973</v>
      </c>
      <c r="C1753" s="461" t="s">
        <v>1104</v>
      </c>
      <c r="D1753" s="461">
        <v>165.6</v>
      </c>
      <c r="E1753" s="461" t="s">
        <v>161</v>
      </c>
      <c r="F1753" s="461" t="s">
        <v>8328</v>
      </c>
    </row>
    <row r="1754" spans="1:6" ht="30" x14ac:dyDescent="0.25">
      <c r="A1754" s="461">
        <v>44476</v>
      </c>
      <c r="B1754" s="460" t="s">
        <v>13164</v>
      </c>
      <c r="C1754" s="461" t="s">
        <v>1106</v>
      </c>
      <c r="D1754" s="461">
        <v>574.04999999999995</v>
      </c>
      <c r="E1754" s="461" t="s">
        <v>161</v>
      </c>
      <c r="F1754" s="461" t="s">
        <v>8326</v>
      </c>
    </row>
    <row r="1755" spans="1:6" ht="15" x14ac:dyDescent="0.25">
      <c r="A1755" s="461">
        <v>10629</v>
      </c>
      <c r="B1755" s="460" t="s">
        <v>13165</v>
      </c>
      <c r="C1755" s="461" t="s">
        <v>1106</v>
      </c>
      <c r="D1755" s="461">
        <v>533.5</v>
      </c>
      <c r="E1755" s="461" t="s">
        <v>161</v>
      </c>
      <c r="F1755" s="461" t="s">
        <v>8326</v>
      </c>
    </row>
    <row r="1756" spans="1:6" ht="30" x14ac:dyDescent="0.25">
      <c r="A1756" s="461">
        <v>10698</v>
      </c>
      <c r="B1756" s="460" t="s">
        <v>13166</v>
      </c>
      <c r="C1756" s="461" t="s">
        <v>1106</v>
      </c>
      <c r="D1756" s="461">
        <v>226.69</v>
      </c>
      <c r="E1756" s="461" t="s">
        <v>161</v>
      </c>
      <c r="F1756" s="461" t="s">
        <v>8328</v>
      </c>
    </row>
    <row r="1757" spans="1:6" ht="30" x14ac:dyDescent="0.25">
      <c r="A1757" s="461">
        <v>40521</v>
      </c>
      <c r="B1757" s="460" t="s">
        <v>9974</v>
      </c>
      <c r="C1757" s="461" t="s">
        <v>1104</v>
      </c>
      <c r="D1757" s="461">
        <v>123392.79</v>
      </c>
      <c r="E1757" s="461" t="s">
        <v>1497</v>
      </c>
      <c r="F1757" s="461" t="s">
        <v>8326</v>
      </c>
    </row>
    <row r="1758" spans="1:6" ht="30" x14ac:dyDescent="0.25">
      <c r="A1758" s="461">
        <v>2432</v>
      </c>
      <c r="B1758" s="460" t="s">
        <v>13167</v>
      </c>
      <c r="C1758" s="461" t="s">
        <v>1104</v>
      </c>
      <c r="D1758" s="461">
        <v>18.77</v>
      </c>
      <c r="E1758" s="461" t="s">
        <v>161</v>
      </c>
      <c r="F1758" s="461" t="s">
        <v>8326</v>
      </c>
    </row>
    <row r="1759" spans="1:6" ht="30" x14ac:dyDescent="0.25">
      <c r="A1759" s="461">
        <v>2418</v>
      </c>
      <c r="B1759" s="460" t="s">
        <v>9975</v>
      </c>
      <c r="C1759" s="461" t="s">
        <v>1104</v>
      </c>
      <c r="D1759" s="461">
        <v>8.7100000000000009</v>
      </c>
      <c r="E1759" s="461" t="s">
        <v>161</v>
      </c>
      <c r="F1759" s="461" t="s">
        <v>8333</v>
      </c>
    </row>
    <row r="1760" spans="1:6" ht="30" x14ac:dyDescent="0.25">
      <c r="A1760" s="461">
        <v>2433</v>
      </c>
      <c r="B1760" s="460" t="s">
        <v>13168</v>
      </c>
      <c r="C1760" s="461" t="s">
        <v>1104</v>
      </c>
      <c r="D1760" s="461">
        <v>6.36</v>
      </c>
      <c r="E1760" s="461" t="s">
        <v>161</v>
      </c>
      <c r="F1760" s="461" t="s">
        <v>8326</v>
      </c>
    </row>
    <row r="1761" spans="1:6" ht="30" x14ac:dyDescent="0.25">
      <c r="A1761" s="461">
        <v>2420</v>
      </c>
      <c r="B1761" s="460" t="s">
        <v>13169</v>
      </c>
      <c r="C1761" s="461" t="s">
        <v>1104</v>
      </c>
      <c r="D1761" s="461">
        <v>10.92</v>
      </c>
      <c r="E1761" s="461" t="s">
        <v>161</v>
      </c>
      <c r="F1761" s="461" t="s">
        <v>8326</v>
      </c>
    </row>
    <row r="1762" spans="1:6" ht="30" x14ac:dyDescent="0.25">
      <c r="A1762" s="461">
        <v>11447</v>
      </c>
      <c r="B1762" s="460" t="s">
        <v>13170</v>
      </c>
      <c r="C1762" s="461" t="s">
        <v>1104</v>
      </c>
      <c r="D1762" s="511">
        <v>21.59</v>
      </c>
      <c r="E1762" s="461" t="s">
        <v>161</v>
      </c>
      <c r="F1762" s="461" t="s">
        <v>8326</v>
      </c>
    </row>
    <row r="1763" spans="1:6" ht="30" x14ac:dyDescent="0.25">
      <c r="A1763" s="461">
        <v>11451</v>
      </c>
      <c r="B1763" s="460" t="s">
        <v>13171</v>
      </c>
      <c r="C1763" s="461" t="s">
        <v>1104</v>
      </c>
      <c r="D1763" s="461">
        <v>57.87</v>
      </c>
      <c r="E1763" s="461" t="s">
        <v>161</v>
      </c>
      <c r="F1763" s="461" t="s">
        <v>8326</v>
      </c>
    </row>
    <row r="1764" spans="1:6" ht="15" x14ac:dyDescent="0.25">
      <c r="A1764" s="461">
        <v>11116</v>
      </c>
      <c r="B1764" s="460" t="s">
        <v>9976</v>
      </c>
      <c r="C1764" s="461" t="s">
        <v>1104</v>
      </c>
      <c r="D1764" s="461">
        <v>838.13</v>
      </c>
      <c r="E1764" s="461" t="s">
        <v>161</v>
      </c>
      <c r="F1764" s="461" t="s">
        <v>8328</v>
      </c>
    </row>
    <row r="1765" spans="1:6" ht="15" x14ac:dyDescent="0.25">
      <c r="A1765" s="461">
        <v>38411</v>
      </c>
      <c r="B1765" s="460" t="s">
        <v>9977</v>
      </c>
      <c r="C1765" s="461" t="s">
        <v>1104</v>
      </c>
      <c r="D1765" s="461">
        <v>1792.54</v>
      </c>
      <c r="E1765" s="461" t="s">
        <v>161</v>
      </c>
      <c r="F1765" s="461" t="s">
        <v>8326</v>
      </c>
    </row>
    <row r="1766" spans="1:6" ht="30" x14ac:dyDescent="0.25">
      <c r="A1766" s="461">
        <v>38189</v>
      </c>
      <c r="B1766" s="460" t="s">
        <v>9978</v>
      </c>
      <c r="C1766" s="461" t="s">
        <v>1104</v>
      </c>
      <c r="D1766" s="461">
        <v>163.84</v>
      </c>
      <c r="E1766" s="461" t="s">
        <v>161</v>
      </c>
      <c r="F1766" s="461" t="s">
        <v>8326</v>
      </c>
    </row>
    <row r="1767" spans="1:6" ht="30" x14ac:dyDescent="0.25">
      <c r="A1767" s="461">
        <v>38190</v>
      </c>
      <c r="B1767" s="460" t="s">
        <v>9979</v>
      </c>
      <c r="C1767" s="461" t="s">
        <v>1104</v>
      </c>
      <c r="D1767" s="461">
        <v>345.18</v>
      </c>
      <c r="E1767" s="461" t="s">
        <v>161</v>
      </c>
      <c r="F1767" s="461" t="s">
        <v>8326</v>
      </c>
    </row>
    <row r="1768" spans="1:6" ht="30" x14ac:dyDescent="0.25">
      <c r="A1768" s="461">
        <v>7608</v>
      </c>
      <c r="B1768" s="460" t="s">
        <v>13172</v>
      </c>
      <c r="C1768" s="461" t="s">
        <v>1104</v>
      </c>
      <c r="D1768" s="461">
        <v>16.13</v>
      </c>
      <c r="E1768" s="461" t="s">
        <v>161</v>
      </c>
      <c r="F1768" s="461" t="s">
        <v>8326</v>
      </c>
    </row>
    <row r="1769" spans="1:6" ht="15" x14ac:dyDescent="0.25">
      <c r="A1769" s="461">
        <v>1370</v>
      </c>
      <c r="B1769" s="460" t="s">
        <v>13173</v>
      </c>
      <c r="C1769" s="461" t="s">
        <v>1104</v>
      </c>
      <c r="D1769" s="461">
        <v>114.25</v>
      </c>
      <c r="E1769" s="461" t="s">
        <v>161</v>
      </c>
      <c r="F1769" s="461" t="s">
        <v>8326</v>
      </c>
    </row>
    <row r="1770" spans="1:6" ht="30" x14ac:dyDescent="0.25">
      <c r="A1770" s="461">
        <v>36516</v>
      </c>
      <c r="B1770" s="460" t="s">
        <v>9980</v>
      </c>
      <c r="C1770" s="461" t="s">
        <v>1104</v>
      </c>
      <c r="D1770" s="511">
        <v>131056.21</v>
      </c>
      <c r="E1770" s="461" t="s">
        <v>161</v>
      </c>
      <c r="F1770" s="461" t="s">
        <v>8328</v>
      </c>
    </row>
    <row r="1771" spans="1:6" ht="30" x14ac:dyDescent="0.25">
      <c r="A1771" s="461">
        <v>34777</v>
      </c>
      <c r="B1771" s="460" t="s">
        <v>9981</v>
      </c>
      <c r="C1771" s="461" t="s">
        <v>1104</v>
      </c>
      <c r="D1771" s="461">
        <v>2.9</v>
      </c>
      <c r="E1771" s="461" t="s">
        <v>161</v>
      </c>
      <c r="F1771" s="461" t="s">
        <v>8326</v>
      </c>
    </row>
    <row r="1772" spans="1:6" ht="30" x14ac:dyDescent="0.25">
      <c r="A1772" s="461">
        <v>7272</v>
      </c>
      <c r="B1772" s="460" t="s">
        <v>9982</v>
      </c>
      <c r="C1772" s="461" t="s">
        <v>1104</v>
      </c>
      <c r="D1772" s="461">
        <v>2.4500000000000002</v>
      </c>
      <c r="E1772" s="461" t="s">
        <v>161</v>
      </c>
      <c r="F1772" s="461" t="s">
        <v>8326</v>
      </c>
    </row>
    <row r="1773" spans="1:6" ht="15" x14ac:dyDescent="0.25">
      <c r="A1773" s="461">
        <v>10605</v>
      </c>
      <c r="B1773" s="460" t="s">
        <v>9983</v>
      </c>
      <c r="C1773" s="461" t="s">
        <v>1104</v>
      </c>
      <c r="D1773" s="461">
        <v>5.65</v>
      </c>
      <c r="E1773" s="461" t="s">
        <v>161</v>
      </c>
      <c r="F1773" s="461" t="s">
        <v>8326</v>
      </c>
    </row>
    <row r="1774" spans="1:6" ht="15" x14ac:dyDescent="0.25">
      <c r="A1774" s="461">
        <v>10604</v>
      </c>
      <c r="B1774" s="460" t="s">
        <v>9984</v>
      </c>
      <c r="C1774" s="461" t="s">
        <v>1104</v>
      </c>
      <c r="D1774" s="461">
        <v>13.18</v>
      </c>
      <c r="E1774" s="461" t="s">
        <v>161</v>
      </c>
      <c r="F1774" s="461" t="s">
        <v>8326</v>
      </c>
    </row>
    <row r="1775" spans="1:6" ht="15" x14ac:dyDescent="0.25">
      <c r="A1775" s="461">
        <v>672</v>
      </c>
      <c r="B1775" s="460" t="s">
        <v>9985</v>
      </c>
      <c r="C1775" s="461" t="s">
        <v>1104</v>
      </c>
      <c r="D1775" s="511">
        <v>18.12</v>
      </c>
      <c r="E1775" s="461" t="s">
        <v>161</v>
      </c>
      <c r="F1775" s="461" t="s">
        <v>8326</v>
      </c>
    </row>
    <row r="1776" spans="1:6" ht="15" x14ac:dyDescent="0.25">
      <c r="A1776" s="461">
        <v>668</v>
      </c>
      <c r="B1776" s="460" t="s">
        <v>9986</v>
      </c>
      <c r="C1776" s="461" t="s">
        <v>1104</v>
      </c>
      <c r="D1776" s="461">
        <v>21.88</v>
      </c>
      <c r="E1776" s="461" t="s">
        <v>161</v>
      </c>
      <c r="F1776" s="461" t="s">
        <v>8326</v>
      </c>
    </row>
    <row r="1777" spans="1:6" ht="15" x14ac:dyDescent="0.25">
      <c r="A1777" s="461">
        <v>10578</v>
      </c>
      <c r="B1777" s="460" t="s">
        <v>9987</v>
      </c>
      <c r="C1777" s="461" t="s">
        <v>1104</v>
      </c>
      <c r="D1777" s="461">
        <v>25.48</v>
      </c>
      <c r="E1777" s="461" t="s">
        <v>161</v>
      </c>
      <c r="F1777" s="461" t="s">
        <v>8326</v>
      </c>
    </row>
    <row r="1778" spans="1:6" ht="15" x14ac:dyDescent="0.25">
      <c r="A1778" s="461">
        <v>666</v>
      </c>
      <c r="B1778" s="460" t="s">
        <v>9988</v>
      </c>
      <c r="C1778" s="461" t="s">
        <v>1104</v>
      </c>
      <c r="D1778" s="461">
        <v>28.34</v>
      </c>
      <c r="E1778" s="461" t="s">
        <v>161</v>
      </c>
      <c r="F1778" s="461" t="s">
        <v>8326</v>
      </c>
    </row>
    <row r="1779" spans="1:6" ht="15" x14ac:dyDescent="0.25">
      <c r="A1779" s="461">
        <v>665</v>
      </c>
      <c r="B1779" s="460" t="s">
        <v>9989</v>
      </c>
      <c r="C1779" s="461" t="s">
        <v>1104</v>
      </c>
      <c r="D1779" s="461">
        <v>37.9</v>
      </c>
      <c r="E1779" s="461" t="s">
        <v>161</v>
      </c>
      <c r="F1779" s="461" t="s">
        <v>8326</v>
      </c>
    </row>
    <row r="1780" spans="1:6" ht="15" x14ac:dyDescent="0.25">
      <c r="A1780" s="461">
        <v>10577</v>
      </c>
      <c r="B1780" s="460" t="s">
        <v>9990</v>
      </c>
      <c r="C1780" s="461" t="s">
        <v>1104</v>
      </c>
      <c r="D1780" s="461">
        <v>33.61</v>
      </c>
      <c r="E1780" s="461" t="s">
        <v>161</v>
      </c>
      <c r="F1780" s="461" t="s">
        <v>8326</v>
      </c>
    </row>
    <row r="1781" spans="1:6" ht="15" x14ac:dyDescent="0.25">
      <c r="A1781" s="461">
        <v>10583</v>
      </c>
      <c r="B1781" s="460" t="s">
        <v>9991</v>
      </c>
      <c r="C1781" s="461" t="s">
        <v>1104</v>
      </c>
      <c r="D1781" s="461">
        <v>17.46</v>
      </c>
      <c r="E1781" s="461" t="s">
        <v>161</v>
      </c>
      <c r="F1781" s="461" t="s">
        <v>8326</v>
      </c>
    </row>
    <row r="1782" spans="1:6" ht="15" x14ac:dyDescent="0.25">
      <c r="A1782" s="461">
        <v>10579</v>
      </c>
      <c r="B1782" s="460" t="s">
        <v>9992</v>
      </c>
      <c r="C1782" s="461" t="s">
        <v>1104</v>
      </c>
      <c r="D1782" s="461">
        <v>30.44</v>
      </c>
      <c r="E1782" s="461" t="s">
        <v>161</v>
      </c>
      <c r="F1782" s="461" t="s">
        <v>8326</v>
      </c>
    </row>
    <row r="1783" spans="1:6" ht="15" x14ac:dyDescent="0.25">
      <c r="A1783" s="461">
        <v>10582</v>
      </c>
      <c r="B1783" s="460" t="s">
        <v>9993</v>
      </c>
      <c r="C1783" s="461" t="s">
        <v>1104</v>
      </c>
      <c r="D1783" s="461">
        <v>15.38</v>
      </c>
      <c r="E1783" s="461" t="s">
        <v>161</v>
      </c>
      <c r="F1783" s="461" t="s">
        <v>8326</v>
      </c>
    </row>
    <row r="1784" spans="1:6" ht="15" x14ac:dyDescent="0.25">
      <c r="A1784" s="461">
        <v>2436</v>
      </c>
      <c r="B1784" s="460" t="s">
        <v>9994</v>
      </c>
      <c r="C1784" s="461" t="s">
        <v>1103</v>
      </c>
      <c r="D1784" s="461">
        <v>21.83</v>
      </c>
      <c r="E1784" s="461" t="s">
        <v>4455</v>
      </c>
      <c r="F1784" s="461" t="s">
        <v>8333</v>
      </c>
    </row>
    <row r="1785" spans="1:6" ht="15" x14ac:dyDescent="0.25">
      <c r="A1785" s="461">
        <v>40918</v>
      </c>
      <c r="B1785" s="460" t="s">
        <v>9995</v>
      </c>
      <c r="C1785" s="461" t="s">
        <v>1110</v>
      </c>
      <c r="D1785" s="461">
        <v>3886.77</v>
      </c>
      <c r="E1785" s="461" t="s">
        <v>4455</v>
      </c>
      <c r="F1785" s="461" t="s">
        <v>8326</v>
      </c>
    </row>
    <row r="1786" spans="1:6" ht="15" x14ac:dyDescent="0.25">
      <c r="A1786" s="461">
        <v>10998</v>
      </c>
      <c r="B1786" s="460" t="s">
        <v>9996</v>
      </c>
      <c r="C1786" s="461" t="s">
        <v>1108</v>
      </c>
      <c r="D1786" s="461">
        <v>41.93</v>
      </c>
      <c r="E1786" s="461" t="s">
        <v>161</v>
      </c>
      <c r="F1786" s="461" t="s">
        <v>8326</v>
      </c>
    </row>
    <row r="1787" spans="1:6" ht="15" x14ac:dyDescent="0.25">
      <c r="A1787" s="461">
        <v>11002</v>
      </c>
      <c r="B1787" s="460" t="s">
        <v>9997</v>
      </c>
      <c r="C1787" s="461" t="s">
        <v>1108</v>
      </c>
      <c r="D1787" s="461">
        <v>38.409999999999997</v>
      </c>
      <c r="E1787" s="461" t="s">
        <v>161</v>
      </c>
      <c r="F1787" s="461" t="s">
        <v>8326</v>
      </c>
    </row>
    <row r="1788" spans="1:6" ht="15" x14ac:dyDescent="0.25">
      <c r="A1788" s="461">
        <v>10999</v>
      </c>
      <c r="B1788" s="460" t="s">
        <v>9998</v>
      </c>
      <c r="C1788" s="461" t="s">
        <v>1108</v>
      </c>
      <c r="D1788" s="461">
        <v>36.9</v>
      </c>
      <c r="E1788" s="461" t="s">
        <v>161</v>
      </c>
      <c r="F1788" s="461" t="s">
        <v>8326</v>
      </c>
    </row>
    <row r="1789" spans="1:6" ht="15" x14ac:dyDescent="0.25">
      <c r="A1789" s="461">
        <v>10997</v>
      </c>
      <c r="B1789" s="460" t="s">
        <v>9999</v>
      </c>
      <c r="C1789" s="461" t="s">
        <v>1108</v>
      </c>
      <c r="D1789" s="461">
        <v>40</v>
      </c>
      <c r="E1789" s="461" t="s">
        <v>161</v>
      </c>
      <c r="F1789" s="461" t="s">
        <v>8333</v>
      </c>
    </row>
    <row r="1790" spans="1:6" ht="15" x14ac:dyDescent="0.25">
      <c r="A1790" s="461">
        <v>2685</v>
      </c>
      <c r="B1790" s="460" t="s">
        <v>10000</v>
      </c>
      <c r="C1790" s="461" t="s">
        <v>1107</v>
      </c>
      <c r="D1790" s="511">
        <v>9.3800000000000008</v>
      </c>
      <c r="E1790" s="461" t="s">
        <v>161</v>
      </c>
      <c r="F1790" s="461" t="s">
        <v>8326</v>
      </c>
    </row>
    <row r="1791" spans="1:6" ht="15" x14ac:dyDescent="0.25">
      <c r="A1791" s="461">
        <v>2680</v>
      </c>
      <c r="B1791" s="460" t="s">
        <v>10001</v>
      </c>
      <c r="C1791" s="461" t="s">
        <v>1107</v>
      </c>
      <c r="D1791" s="461">
        <v>13.72</v>
      </c>
      <c r="E1791" s="461" t="s">
        <v>161</v>
      </c>
      <c r="F1791" s="461" t="s">
        <v>8326</v>
      </c>
    </row>
    <row r="1792" spans="1:6" ht="15" x14ac:dyDescent="0.25">
      <c r="A1792" s="461">
        <v>2684</v>
      </c>
      <c r="B1792" s="460" t="s">
        <v>10002</v>
      </c>
      <c r="C1792" s="461" t="s">
        <v>1107</v>
      </c>
      <c r="D1792" s="461">
        <v>12.49</v>
      </c>
      <c r="E1792" s="461" t="s">
        <v>161</v>
      </c>
      <c r="F1792" s="461" t="s">
        <v>8326</v>
      </c>
    </row>
    <row r="1793" spans="1:6" ht="15" x14ac:dyDescent="0.25">
      <c r="A1793" s="461">
        <v>2673</v>
      </c>
      <c r="B1793" s="460" t="s">
        <v>10003</v>
      </c>
      <c r="C1793" s="461" t="s">
        <v>1107</v>
      </c>
      <c r="D1793" s="461">
        <v>4.82</v>
      </c>
      <c r="E1793" s="461" t="s">
        <v>161</v>
      </c>
      <c r="F1793" s="461" t="s">
        <v>8333</v>
      </c>
    </row>
    <row r="1794" spans="1:6" ht="15" x14ac:dyDescent="0.25">
      <c r="A1794" s="461">
        <v>2681</v>
      </c>
      <c r="B1794" s="460" t="s">
        <v>10004</v>
      </c>
      <c r="C1794" s="461" t="s">
        <v>1107</v>
      </c>
      <c r="D1794" s="461">
        <v>22.43</v>
      </c>
      <c r="E1794" s="461" t="s">
        <v>161</v>
      </c>
      <c r="F1794" s="461" t="s">
        <v>8326</v>
      </c>
    </row>
    <row r="1795" spans="1:6" ht="15" x14ac:dyDescent="0.25">
      <c r="A1795" s="461">
        <v>2682</v>
      </c>
      <c r="B1795" s="460" t="s">
        <v>10005</v>
      </c>
      <c r="C1795" s="461" t="s">
        <v>1107</v>
      </c>
      <c r="D1795" s="461">
        <v>32.72</v>
      </c>
      <c r="E1795" s="461" t="s">
        <v>161</v>
      </c>
      <c r="F1795" s="461" t="s">
        <v>8326</v>
      </c>
    </row>
    <row r="1796" spans="1:6" ht="15" x14ac:dyDescent="0.25">
      <c r="A1796" s="461">
        <v>2686</v>
      </c>
      <c r="B1796" s="460" t="s">
        <v>10006</v>
      </c>
      <c r="C1796" s="461" t="s">
        <v>1107</v>
      </c>
      <c r="D1796" s="461">
        <v>41.03</v>
      </c>
      <c r="E1796" s="461" t="s">
        <v>161</v>
      </c>
      <c r="F1796" s="461" t="s">
        <v>8326</v>
      </c>
    </row>
    <row r="1797" spans="1:6" ht="15" x14ac:dyDescent="0.25">
      <c r="A1797" s="461">
        <v>2674</v>
      </c>
      <c r="B1797" s="460" t="s">
        <v>10007</v>
      </c>
      <c r="C1797" s="461" t="s">
        <v>1107</v>
      </c>
      <c r="D1797" s="461">
        <v>6</v>
      </c>
      <c r="E1797" s="461" t="s">
        <v>161</v>
      </c>
      <c r="F1797" s="461" t="s">
        <v>8326</v>
      </c>
    </row>
    <row r="1798" spans="1:6" ht="15" x14ac:dyDescent="0.25">
      <c r="A1798" s="461">
        <v>2683</v>
      </c>
      <c r="B1798" s="460" t="s">
        <v>10008</v>
      </c>
      <c r="C1798" s="461" t="s">
        <v>1107</v>
      </c>
      <c r="D1798" s="461">
        <v>64.66</v>
      </c>
      <c r="E1798" s="461" t="s">
        <v>161</v>
      </c>
      <c r="F1798" s="461" t="s">
        <v>8326</v>
      </c>
    </row>
    <row r="1799" spans="1:6" ht="15" x14ac:dyDescent="0.25">
      <c r="A1799" s="461">
        <v>2676</v>
      </c>
      <c r="B1799" s="460" t="s">
        <v>10009</v>
      </c>
      <c r="C1799" s="461" t="s">
        <v>1107</v>
      </c>
      <c r="D1799" s="461">
        <v>2.8</v>
      </c>
      <c r="E1799" s="461" t="s">
        <v>161</v>
      </c>
      <c r="F1799" s="461" t="s">
        <v>8326</v>
      </c>
    </row>
    <row r="1800" spans="1:6" ht="15" x14ac:dyDescent="0.25">
      <c r="A1800" s="461">
        <v>2678</v>
      </c>
      <c r="B1800" s="460" t="s">
        <v>10010</v>
      </c>
      <c r="C1800" s="461" t="s">
        <v>1107</v>
      </c>
      <c r="D1800" s="461">
        <v>3.51</v>
      </c>
      <c r="E1800" s="461" t="s">
        <v>161</v>
      </c>
      <c r="F1800" s="461" t="s">
        <v>8326</v>
      </c>
    </row>
    <row r="1801" spans="1:6" ht="15" x14ac:dyDescent="0.25">
      <c r="A1801" s="461">
        <v>2679</v>
      </c>
      <c r="B1801" s="460" t="s">
        <v>10011</v>
      </c>
      <c r="C1801" s="461" t="s">
        <v>1107</v>
      </c>
      <c r="D1801" s="461">
        <v>5.41</v>
      </c>
      <c r="E1801" s="461" t="s">
        <v>161</v>
      </c>
      <c r="F1801" s="461" t="s">
        <v>8326</v>
      </c>
    </row>
    <row r="1802" spans="1:6" ht="15" x14ac:dyDescent="0.25">
      <c r="A1802" s="461">
        <v>12070</v>
      </c>
      <c r="B1802" s="460" t="s">
        <v>10012</v>
      </c>
      <c r="C1802" s="461" t="s">
        <v>1107</v>
      </c>
      <c r="D1802" s="461">
        <v>7.53</v>
      </c>
      <c r="E1802" s="461" t="s">
        <v>161</v>
      </c>
      <c r="F1802" s="461" t="s">
        <v>8326</v>
      </c>
    </row>
    <row r="1803" spans="1:6" ht="15" x14ac:dyDescent="0.25">
      <c r="A1803" s="461">
        <v>2675</v>
      </c>
      <c r="B1803" s="460" t="s">
        <v>10013</v>
      </c>
      <c r="C1803" s="461" t="s">
        <v>1107</v>
      </c>
      <c r="D1803" s="461">
        <v>9.7899999999999991</v>
      </c>
      <c r="E1803" s="461" t="s">
        <v>161</v>
      </c>
      <c r="F1803" s="461" t="s">
        <v>8326</v>
      </c>
    </row>
    <row r="1804" spans="1:6" ht="15" x14ac:dyDescent="0.25">
      <c r="A1804" s="461">
        <v>12067</v>
      </c>
      <c r="B1804" s="460" t="s">
        <v>10014</v>
      </c>
      <c r="C1804" s="461" t="s">
        <v>1107</v>
      </c>
      <c r="D1804" s="461">
        <v>13.28</v>
      </c>
      <c r="E1804" s="461" t="s">
        <v>161</v>
      </c>
      <c r="F1804" s="461" t="s">
        <v>8326</v>
      </c>
    </row>
    <row r="1805" spans="1:6" ht="30" x14ac:dyDescent="0.25">
      <c r="A1805" s="461">
        <v>21128</v>
      </c>
      <c r="B1805" s="460" t="s">
        <v>10015</v>
      </c>
      <c r="C1805" s="461" t="s">
        <v>1107</v>
      </c>
      <c r="D1805" s="461">
        <v>10</v>
      </c>
      <c r="E1805" s="461" t="s">
        <v>161</v>
      </c>
      <c r="F1805" s="461" t="s">
        <v>8333</v>
      </c>
    </row>
    <row r="1806" spans="1:6" ht="15" x14ac:dyDescent="0.25">
      <c r="A1806" s="461">
        <v>40400</v>
      </c>
      <c r="B1806" s="460" t="s">
        <v>10016</v>
      </c>
      <c r="C1806" s="461" t="s">
        <v>1107</v>
      </c>
      <c r="D1806" s="461">
        <v>1.67</v>
      </c>
      <c r="E1806" s="461" t="s">
        <v>161</v>
      </c>
      <c r="F1806" s="461" t="s">
        <v>8326</v>
      </c>
    </row>
    <row r="1807" spans="1:6" ht="15" x14ac:dyDescent="0.25">
      <c r="A1807" s="461">
        <v>40401</v>
      </c>
      <c r="B1807" s="460" t="s">
        <v>13174</v>
      </c>
      <c r="C1807" s="461" t="s">
        <v>1107</v>
      </c>
      <c r="D1807" s="461">
        <v>2.46</v>
      </c>
      <c r="E1807" s="461" t="s">
        <v>161</v>
      </c>
      <c r="F1807" s="461" t="s">
        <v>8326</v>
      </c>
    </row>
    <row r="1808" spans="1:6" ht="15" x14ac:dyDescent="0.25">
      <c r="A1808" s="461">
        <v>40402</v>
      </c>
      <c r="B1808" s="460" t="s">
        <v>13175</v>
      </c>
      <c r="C1808" s="461" t="s">
        <v>1107</v>
      </c>
      <c r="D1808" s="461">
        <v>3.16</v>
      </c>
      <c r="E1808" s="461" t="s">
        <v>161</v>
      </c>
      <c r="F1808" s="461" t="s">
        <v>8326</v>
      </c>
    </row>
    <row r="1809" spans="1:6" ht="30" x14ac:dyDescent="0.25">
      <c r="A1809" s="461">
        <v>21137</v>
      </c>
      <c r="B1809" s="460" t="s">
        <v>10017</v>
      </c>
      <c r="C1809" s="461" t="s">
        <v>1107</v>
      </c>
      <c r="D1809" s="461">
        <v>10.23</v>
      </c>
      <c r="E1809" s="461" t="s">
        <v>161</v>
      </c>
      <c r="F1809" s="461" t="s">
        <v>8326</v>
      </c>
    </row>
    <row r="1810" spans="1:6" ht="30" x14ac:dyDescent="0.25">
      <c r="A1810" s="461">
        <v>2504</v>
      </c>
      <c r="B1810" s="460" t="s">
        <v>10018</v>
      </c>
      <c r="C1810" s="461" t="s">
        <v>1107</v>
      </c>
      <c r="D1810" s="461">
        <v>11.09</v>
      </c>
      <c r="E1810" s="461" t="s">
        <v>161</v>
      </c>
      <c r="F1810" s="461" t="s">
        <v>8326</v>
      </c>
    </row>
    <row r="1811" spans="1:6" ht="30" x14ac:dyDescent="0.25">
      <c r="A1811" s="461">
        <v>2501</v>
      </c>
      <c r="B1811" s="460" t="s">
        <v>10019</v>
      </c>
      <c r="C1811" s="461" t="s">
        <v>1107</v>
      </c>
      <c r="D1811" s="461">
        <v>14.55</v>
      </c>
      <c r="E1811" s="461" t="s">
        <v>161</v>
      </c>
      <c r="F1811" s="461" t="s">
        <v>8326</v>
      </c>
    </row>
    <row r="1812" spans="1:6" ht="30" x14ac:dyDescent="0.25">
      <c r="A1812" s="461">
        <v>2502</v>
      </c>
      <c r="B1812" s="460" t="s">
        <v>10020</v>
      </c>
      <c r="C1812" s="461" t="s">
        <v>1107</v>
      </c>
      <c r="D1812" s="461">
        <v>21.95</v>
      </c>
      <c r="E1812" s="461" t="s">
        <v>161</v>
      </c>
      <c r="F1812" s="461" t="s">
        <v>8326</v>
      </c>
    </row>
    <row r="1813" spans="1:6" ht="30" x14ac:dyDescent="0.25">
      <c r="A1813" s="461">
        <v>2503</v>
      </c>
      <c r="B1813" s="460" t="s">
        <v>10021</v>
      </c>
      <c r="C1813" s="461" t="s">
        <v>1107</v>
      </c>
      <c r="D1813" s="461">
        <v>28.26</v>
      </c>
      <c r="E1813" s="461" t="s">
        <v>161</v>
      </c>
      <c r="F1813" s="461" t="s">
        <v>8326</v>
      </c>
    </row>
    <row r="1814" spans="1:6" ht="30" x14ac:dyDescent="0.25">
      <c r="A1814" s="461">
        <v>2500</v>
      </c>
      <c r="B1814" s="460" t="s">
        <v>10022</v>
      </c>
      <c r="C1814" s="461" t="s">
        <v>1107</v>
      </c>
      <c r="D1814" s="461">
        <v>37.64</v>
      </c>
      <c r="E1814" s="461" t="s">
        <v>161</v>
      </c>
      <c r="F1814" s="461" t="s">
        <v>8326</v>
      </c>
    </row>
    <row r="1815" spans="1:6" ht="30" x14ac:dyDescent="0.25">
      <c r="A1815" s="461">
        <v>2505</v>
      </c>
      <c r="B1815" s="460" t="s">
        <v>10023</v>
      </c>
      <c r="C1815" s="461" t="s">
        <v>1107</v>
      </c>
      <c r="D1815" s="461">
        <v>58.66</v>
      </c>
      <c r="E1815" s="461" t="s">
        <v>161</v>
      </c>
      <c r="F1815" s="461" t="s">
        <v>8326</v>
      </c>
    </row>
    <row r="1816" spans="1:6" ht="30" x14ac:dyDescent="0.25">
      <c r="A1816" s="461">
        <v>12056</v>
      </c>
      <c r="B1816" s="460" t="s">
        <v>10024</v>
      </c>
      <c r="C1816" s="461" t="s">
        <v>1107</v>
      </c>
      <c r="D1816" s="461">
        <v>23.7</v>
      </c>
      <c r="E1816" s="461" t="s">
        <v>161</v>
      </c>
      <c r="F1816" s="461" t="s">
        <v>8326</v>
      </c>
    </row>
    <row r="1817" spans="1:6" ht="30" x14ac:dyDescent="0.25">
      <c r="A1817" s="461">
        <v>12057</v>
      </c>
      <c r="B1817" s="460" t="s">
        <v>10025</v>
      </c>
      <c r="C1817" s="461" t="s">
        <v>1107</v>
      </c>
      <c r="D1817" s="461">
        <v>20.13</v>
      </c>
      <c r="E1817" s="461" t="s">
        <v>161</v>
      </c>
      <c r="F1817" s="461" t="s">
        <v>8326</v>
      </c>
    </row>
    <row r="1818" spans="1:6" ht="30" x14ac:dyDescent="0.25">
      <c r="A1818" s="461">
        <v>12059</v>
      </c>
      <c r="B1818" s="460" t="s">
        <v>10026</v>
      </c>
      <c r="C1818" s="461" t="s">
        <v>1107</v>
      </c>
      <c r="D1818" s="461">
        <v>7.06</v>
      </c>
      <c r="E1818" s="461" t="s">
        <v>161</v>
      </c>
      <c r="F1818" s="461" t="s">
        <v>8326</v>
      </c>
    </row>
    <row r="1819" spans="1:6" ht="30" x14ac:dyDescent="0.25">
      <c r="A1819" s="461">
        <v>12058</v>
      </c>
      <c r="B1819" s="460" t="s">
        <v>13176</v>
      </c>
      <c r="C1819" s="461" t="s">
        <v>1107</v>
      </c>
      <c r="D1819" s="461">
        <v>12.55</v>
      </c>
      <c r="E1819" s="461" t="s">
        <v>161</v>
      </c>
      <c r="F1819" s="461" t="s">
        <v>8326</v>
      </c>
    </row>
    <row r="1820" spans="1:6" ht="30" x14ac:dyDescent="0.25">
      <c r="A1820" s="461">
        <v>12060</v>
      </c>
      <c r="B1820" s="460" t="s">
        <v>10027</v>
      </c>
      <c r="C1820" s="461" t="s">
        <v>1107</v>
      </c>
      <c r="D1820" s="461">
        <v>52.3</v>
      </c>
      <c r="E1820" s="461" t="s">
        <v>161</v>
      </c>
      <c r="F1820" s="461" t="s">
        <v>8326</v>
      </c>
    </row>
    <row r="1821" spans="1:6" ht="30" x14ac:dyDescent="0.25">
      <c r="A1821" s="461">
        <v>12061</v>
      </c>
      <c r="B1821" s="460" t="s">
        <v>10028</v>
      </c>
      <c r="C1821" s="461" t="s">
        <v>1107</v>
      </c>
      <c r="D1821" s="461">
        <v>31.94</v>
      </c>
      <c r="E1821" s="461" t="s">
        <v>161</v>
      </c>
      <c r="F1821" s="461" t="s">
        <v>8326</v>
      </c>
    </row>
    <row r="1822" spans="1:6" ht="30" x14ac:dyDescent="0.25">
      <c r="A1822" s="461">
        <v>12062</v>
      </c>
      <c r="B1822" s="460" t="s">
        <v>10029</v>
      </c>
      <c r="C1822" s="461" t="s">
        <v>1107</v>
      </c>
      <c r="D1822" s="461">
        <v>58.9</v>
      </c>
      <c r="E1822" s="461" t="s">
        <v>161</v>
      </c>
      <c r="F1822" s="461" t="s">
        <v>8326</v>
      </c>
    </row>
    <row r="1823" spans="1:6" ht="15" x14ac:dyDescent="0.25">
      <c r="A1823" s="461">
        <v>2687</v>
      </c>
      <c r="B1823" s="460" t="s">
        <v>10030</v>
      </c>
      <c r="C1823" s="461" t="s">
        <v>1107</v>
      </c>
      <c r="D1823" s="461">
        <v>2.4500000000000002</v>
      </c>
      <c r="E1823" s="461" t="s">
        <v>161</v>
      </c>
      <c r="F1823" s="461" t="s">
        <v>8326</v>
      </c>
    </row>
    <row r="1824" spans="1:6" ht="15" x14ac:dyDescent="0.25">
      <c r="A1824" s="461">
        <v>2689</v>
      </c>
      <c r="B1824" s="460" t="s">
        <v>10031</v>
      </c>
      <c r="C1824" s="461" t="s">
        <v>1107</v>
      </c>
      <c r="D1824" s="461">
        <v>2.91</v>
      </c>
      <c r="E1824" s="461" t="s">
        <v>161</v>
      </c>
      <c r="F1824" s="461" t="s">
        <v>8326</v>
      </c>
    </row>
    <row r="1825" spans="1:6" ht="15" x14ac:dyDescent="0.25">
      <c r="A1825" s="461">
        <v>2688</v>
      </c>
      <c r="B1825" s="460" t="s">
        <v>10032</v>
      </c>
      <c r="C1825" s="461" t="s">
        <v>1107</v>
      </c>
      <c r="D1825" s="461">
        <v>3.15</v>
      </c>
      <c r="E1825" s="461" t="s">
        <v>161</v>
      </c>
      <c r="F1825" s="461" t="s">
        <v>8326</v>
      </c>
    </row>
    <row r="1826" spans="1:6" ht="15" x14ac:dyDescent="0.25">
      <c r="A1826" s="461">
        <v>2690</v>
      </c>
      <c r="B1826" s="460" t="s">
        <v>10033</v>
      </c>
      <c r="C1826" s="461" t="s">
        <v>1107</v>
      </c>
      <c r="D1826" s="461">
        <v>5.4</v>
      </c>
      <c r="E1826" s="461" t="s">
        <v>161</v>
      </c>
      <c r="F1826" s="461" t="s">
        <v>8326</v>
      </c>
    </row>
    <row r="1827" spans="1:6" ht="30" x14ac:dyDescent="0.25">
      <c r="A1827" s="461">
        <v>39243</v>
      </c>
      <c r="B1827" s="460" t="s">
        <v>10034</v>
      </c>
      <c r="C1827" s="461" t="s">
        <v>1107</v>
      </c>
      <c r="D1827" s="461">
        <v>3.56</v>
      </c>
      <c r="E1827" s="461" t="s">
        <v>161</v>
      </c>
      <c r="F1827" s="461" t="s">
        <v>8326</v>
      </c>
    </row>
    <row r="1828" spans="1:6" ht="30" x14ac:dyDescent="0.25">
      <c r="A1828" s="461">
        <v>39244</v>
      </c>
      <c r="B1828" s="460" t="s">
        <v>10035</v>
      </c>
      <c r="C1828" s="461" t="s">
        <v>1107</v>
      </c>
      <c r="D1828" s="461">
        <v>4.8099999999999996</v>
      </c>
      <c r="E1828" s="461" t="s">
        <v>161</v>
      </c>
      <c r="F1828" s="461" t="s">
        <v>8326</v>
      </c>
    </row>
    <row r="1829" spans="1:6" ht="30" x14ac:dyDescent="0.25">
      <c r="A1829" s="461">
        <v>39245</v>
      </c>
      <c r="B1829" s="460" t="s">
        <v>10036</v>
      </c>
      <c r="C1829" s="461" t="s">
        <v>1107</v>
      </c>
      <c r="D1829" s="461">
        <v>9.25</v>
      </c>
      <c r="E1829" s="461" t="s">
        <v>161</v>
      </c>
      <c r="F1829" s="461" t="s">
        <v>8326</v>
      </c>
    </row>
    <row r="1830" spans="1:6" ht="30" x14ac:dyDescent="0.25">
      <c r="A1830" s="461">
        <v>39254</v>
      </c>
      <c r="B1830" s="460" t="s">
        <v>10037</v>
      </c>
      <c r="C1830" s="461" t="s">
        <v>1107</v>
      </c>
      <c r="D1830" s="461">
        <v>13.84</v>
      </c>
      <c r="E1830" s="461" t="s">
        <v>161</v>
      </c>
      <c r="F1830" s="461" t="s">
        <v>8326</v>
      </c>
    </row>
    <row r="1831" spans="1:6" ht="30" x14ac:dyDescent="0.25">
      <c r="A1831" s="461">
        <v>39255</v>
      </c>
      <c r="B1831" s="460" t="s">
        <v>10038</v>
      </c>
      <c r="C1831" s="461" t="s">
        <v>1107</v>
      </c>
      <c r="D1831" s="461">
        <v>25.61</v>
      </c>
      <c r="E1831" s="461" t="s">
        <v>161</v>
      </c>
      <c r="F1831" s="461" t="s">
        <v>8326</v>
      </c>
    </row>
    <row r="1832" spans="1:6" ht="30" x14ac:dyDescent="0.25">
      <c r="A1832" s="461">
        <v>39253</v>
      </c>
      <c r="B1832" s="460" t="s">
        <v>10039</v>
      </c>
      <c r="C1832" s="461" t="s">
        <v>1107</v>
      </c>
      <c r="D1832" s="461">
        <v>17.64</v>
      </c>
      <c r="E1832" s="461" t="s">
        <v>161</v>
      </c>
      <c r="F1832" s="461" t="s">
        <v>8326</v>
      </c>
    </row>
    <row r="1833" spans="1:6" ht="45" x14ac:dyDescent="0.25">
      <c r="A1833" s="461">
        <v>39246</v>
      </c>
      <c r="B1833" s="460" t="s">
        <v>10040</v>
      </c>
      <c r="C1833" s="461" t="s">
        <v>1107</v>
      </c>
      <c r="D1833" s="461">
        <v>4.2699999999999996</v>
      </c>
      <c r="E1833" s="461" t="s">
        <v>161</v>
      </c>
      <c r="F1833" s="461" t="s">
        <v>8326</v>
      </c>
    </row>
    <row r="1834" spans="1:6" ht="45" x14ac:dyDescent="0.25">
      <c r="A1834" s="461">
        <v>39247</v>
      </c>
      <c r="B1834" s="460" t="s">
        <v>10041</v>
      </c>
      <c r="C1834" s="461" t="s">
        <v>1107</v>
      </c>
      <c r="D1834" s="461">
        <v>3.73</v>
      </c>
      <c r="E1834" s="461" t="s">
        <v>161</v>
      </c>
      <c r="F1834" s="461" t="s">
        <v>8326</v>
      </c>
    </row>
    <row r="1835" spans="1:6" ht="45" x14ac:dyDescent="0.25">
      <c r="A1835" s="461">
        <v>2446</v>
      </c>
      <c r="B1835" s="460" t="s">
        <v>10042</v>
      </c>
      <c r="C1835" s="461" t="s">
        <v>1107</v>
      </c>
      <c r="D1835" s="461">
        <v>6.14</v>
      </c>
      <c r="E1835" s="461" t="s">
        <v>161</v>
      </c>
      <c r="F1835" s="461" t="s">
        <v>8333</v>
      </c>
    </row>
    <row r="1836" spans="1:6" ht="45" x14ac:dyDescent="0.25">
      <c r="A1836" s="461">
        <v>2442</v>
      </c>
      <c r="B1836" s="460" t="s">
        <v>10043</v>
      </c>
      <c r="C1836" s="461" t="s">
        <v>1107</v>
      </c>
      <c r="D1836" s="461">
        <v>8.6</v>
      </c>
      <c r="E1836" s="461" t="s">
        <v>161</v>
      </c>
      <c r="F1836" s="461" t="s">
        <v>8326</v>
      </c>
    </row>
    <row r="1837" spans="1:6" ht="45" x14ac:dyDescent="0.25">
      <c r="A1837" s="461">
        <v>39248</v>
      </c>
      <c r="B1837" s="460" t="s">
        <v>10044</v>
      </c>
      <c r="C1837" s="461" t="s">
        <v>1107</v>
      </c>
      <c r="D1837" s="461">
        <v>11.99</v>
      </c>
      <c r="E1837" s="461" t="s">
        <v>161</v>
      </c>
      <c r="F1837" s="461" t="s">
        <v>8326</v>
      </c>
    </row>
    <row r="1838" spans="1:6" ht="15" x14ac:dyDescent="0.25">
      <c r="A1838" s="461">
        <v>2438</v>
      </c>
      <c r="B1838" s="460" t="s">
        <v>10045</v>
      </c>
      <c r="C1838" s="461" t="s">
        <v>1103</v>
      </c>
      <c r="D1838" s="461">
        <v>28.32</v>
      </c>
      <c r="E1838" s="461" t="s">
        <v>4455</v>
      </c>
      <c r="F1838" s="461" t="s">
        <v>8326</v>
      </c>
    </row>
    <row r="1839" spans="1:6" ht="15" x14ac:dyDescent="0.25">
      <c r="A1839" s="461">
        <v>40922</v>
      </c>
      <c r="B1839" s="460" t="s">
        <v>10046</v>
      </c>
      <c r="C1839" s="461" t="s">
        <v>1110</v>
      </c>
      <c r="D1839" s="461">
        <v>5045.74</v>
      </c>
      <c r="E1839" s="461" t="s">
        <v>4455</v>
      </c>
      <c r="F1839" s="461" t="s">
        <v>8326</v>
      </c>
    </row>
    <row r="1840" spans="1:6" ht="45" x14ac:dyDescent="0.25">
      <c r="A1840" s="461">
        <v>36486</v>
      </c>
      <c r="B1840" s="460" t="s">
        <v>13177</v>
      </c>
      <c r="C1840" s="461" t="s">
        <v>1104</v>
      </c>
      <c r="D1840" s="461">
        <v>70127.199999999997</v>
      </c>
      <c r="E1840" s="461" t="s">
        <v>1497</v>
      </c>
      <c r="F1840" s="461" t="s">
        <v>8328</v>
      </c>
    </row>
    <row r="1841" spans="1:6" ht="45" x14ac:dyDescent="0.25">
      <c r="A1841" s="461">
        <v>37777</v>
      </c>
      <c r="B1841" s="460" t="s">
        <v>13178</v>
      </c>
      <c r="C1841" s="461" t="s">
        <v>1104</v>
      </c>
      <c r="D1841" s="461">
        <v>330157.49</v>
      </c>
      <c r="E1841" s="461" t="s">
        <v>1497</v>
      </c>
      <c r="F1841" s="461" t="s">
        <v>8328</v>
      </c>
    </row>
    <row r="1842" spans="1:6" ht="30" x14ac:dyDescent="0.25">
      <c r="A1842" s="461">
        <v>12624</v>
      </c>
      <c r="B1842" s="460" t="s">
        <v>10047</v>
      </c>
      <c r="C1842" s="461" t="s">
        <v>1104</v>
      </c>
      <c r="D1842" s="461">
        <v>26.87</v>
      </c>
      <c r="E1842" s="461" t="s">
        <v>161</v>
      </c>
      <c r="F1842" s="461" t="s">
        <v>8326</v>
      </c>
    </row>
    <row r="1843" spans="1:6" ht="15" x14ac:dyDescent="0.25">
      <c r="A1843" s="461">
        <v>517</v>
      </c>
      <c r="B1843" s="460" t="s">
        <v>10048</v>
      </c>
      <c r="C1843" s="461" t="s">
        <v>1109</v>
      </c>
      <c r="D1843" s="461">
        <v>9.2899999999999991</v>
      </c>
      <c r="E1843" s="461" t="s">
        <v>161</v>
      </c>
      <c r="F1843" s="461" t="s">
        <v>8326</v>
      </c>
    </row>
    <row r="1844" spans="1:6" ht="30" x14ac:dyDescent="0.25">
      <c r="A1844" s="461">
        <v>37534</v>
      </c>
      <c r="B1844" s="460" t="s">
        <v>10049</v>
      </c>
      <c r="C1844" s="461" t="s">
        <v>1108</v>
      </c>
      <c r="D1844" s="511">
        <v>19</v>
      </c>
      <c r="E1844" s="461" t="s">
        <v>161</v>
      </c>
      <c r="F1844" s="461" t="s">
        <v>8328</v>
      </c>
    </row>
    <row r="1845" spans="1:6" ht="30" x14ac:dyDescent="0.25">
      <c r="A1845" s="461">
        <v>37535</v>
      </c>
      <c r="B1845" s="460" t="s">
        <v>10050</v>
      </c>
      <c r="C1845" s="461" t="s">
        <v>1108</v>
      </c>
      <c r="D1845" s="511">
        <v>19</v>
      </c>
      <c r="E1845" s="461" t="s">
        <v>161</v>
      </c>
      <c r="F1845" s="461" t="s">
        <v>8328</v>
      </c>
    </row>
    <row r="1846" spans="1:6" ht="30" x14ac:dyDescent="0.25">
      <c r="A1846" s="461">
        <v>37533</v>
      </c>
      <c r="B1846" s="460" t="s">
        <v>10051</v>
      </c>
      <c r="C1846" s="461" t="s">
        <v>1108</v>
      </c>
      <c r="D1846" s="511">
        <v>19</v>
      </c>
      <c r="E1846" s="461" t="s">
        <v>161</v>
      </c>
      <c r="F1846" s="461" t="s">
        <v>8328</v>
      </c>
    </row>
    <row r="1847" spans="1:6" ht="30" x14ac:dyDescent="0.25">
      <c r="A1847" s="461">
        <v>37537</v>
      </c>
      <c r="B1847" s="460" t="s">
        <v>10052</v>
      </c>
      <c r="C1847" s="461" t="s">
        <v>1108</v>
      </c>
      <c r="D1847" s="461">
        <v>14.38</v>
      </c>
      <c r="E1847" s="461" t="s">
        <v>161</v>
      </c>
      <c r="F1847" s="461" t="s">
        <v>8328</v>
      </c>
    </row>
    <row r="1848" spans="1:6" ht="30" x14ac:dyDescent="0.25">
      <c r="A1848" s="461">
        <v>37536</v>
      </c>
      <c r="B1848" s="460" t="s">
        <v>10053</v>
      </c>
      <c r="C1848" s="461" t="s">
        <v>1108</v>
      </c>
      <c r="D1848" s="461">
        <v>14.38</v>
      </c>
      <c r="E1848" s="461" t="s">
        <v>161</v>
      </c>
      <c r="F1848" s="461" t="s">
        <v>8328</v>
      </c>
    </row>
    <row r="1849" spans="1:6" ht="30" x14ac:dyDescent="0.25">
      <c r="A1849" s="461">
        <v>37532</v>
      </c>
      <c r="B1849" s="460" t="s">
        <v>10054</v>
      </c>
      <c r="C1849" s="461" t="s">
        <v>1108</v>
      </c>
      <c r="D1849" s="461">
        <v>14.38</v>
      </c>
      <c r="E1849" s="461" t="s">
        <v>161</v>
      </c>
      <c r="F1849" s="461" t="s">
        <v>8328</v>
      </c>
    </row>
    <row r="1850" spans="1:6" ht="15" x14ac:dyDescent="0.25">
      <c r="A1850" s="461">
        <v>2696</v>
      </c>
      <c r="B1850" s="460" t="s">
        <v>10055</v>
      </c>
      <c r="C1850" s="461" t="s">
        <v>1103</v>
      </c>
      <c r="D1850" s="461">
        <v>21.83</v>
      </c>
      <c r="E1850" s="461" t="s">
        <v>4455</v>
      </c>
      <c r="F1850" s="461" t="s">
        <v>8333</v>
      </c>
    </row>
    <row r="1851" spans="1:6" ht="15" x14ac:dyDescent="0.25">
      <c r="A1851" s="461">
        <v>40928</v>
      </c>
      <c r="B1851" s="460" t="s">
        <v>10056</v>
      </c>
      <c r="C1851" s="461" t="s">
        <v>1110</v>
      </c>
      <c r="D1851" s="461">
        <v>3886.77</v>
      </c>
      <c r="E1851" s="461" t="s">
        <v>4455</v>
      </c>
      <c r="F1851" s="461" t="s">
        <v>8326</v>
      </c>
    </row>
    <row r="1852" spans="1:6" ht="15" x14ac:dyDescent="0.25">
      <c r="A1852" s="461">
        <v>4083</v>
      </c>
      <c r="B1852" s="460" t="s">
        <v>10057</v>
      </c>
      <c r="C1852" s="461" t="s">
        <v>1103</v>
      </c>
      <c r="D1852" s="461">
        <v>21.83</v>
      </c>
      <c r="E1852" s="461" t="s">
        <v>4455</v>
      </c>
      <c r="F1852" s="461" t="s">
        <v>8333</v>
      </c>
    </row>
    <row r="1853" spans="1:6" ht="15" x14ac:dyDescent="0.25">
      <c r="A1853" s="461">
        <v>40818</v>
      </c>
      <c r="B1853" s="460" t="s">
        <v>10058</v>
      </c>
      <c r="C1853" s="461" t="s">
        <v>1110</v>
      </c>
      <c r="D1853" s="461">
        <v>3886.77</v>
      </c>
      <c r="E1853" s="461" t="s">
        <v>4455</v>
      </c>
      <c r="F1853" s="461" t="s">
        <v>8326</v>
      </c>
    </row>
    <row r="1854" spans="1:6" ht="15" x14ac:dyDescent="0.25">
      <c r="A1854" s="461">
        <v>43146</v>
      </c>
      <c r="B1854" s="460" t="s">
        <v>10059</v>
      </c>
      <c r="C1854" s="461" t="s">
        <v>1108</v>
      </c>
      <c r="D1854" s="461">
        <v>9.86</v>
      </c>
      <c r="E1854" s="461" t="s">
        <v>161</v>
      </c>
      <c r="F1854" s="461" t="s">
        <v>8326</v>
      </c>
    </row>
    <row r="1855" spans="1:6" ht="15" x14ac:dyDescent="0.25">
      <c r="A1855" s="461">
        <v>2705</v>
      </c>
      <c r="B1855" s="460" t="s">
        <v>10060</v>
      </c>
      <c r="C1855" s="461" t="s">
        <v>10061</v>
      </c>
      <c r="D1855" s="461">
        <v>0.74</v>
      </c>
      <c r="E1855" s="461" t="s">
        <v>161</v>
      </c>
      <c r="F1855" s="461" t="s">
        <v>8326</v>
      </c>
    </row>
    <row r="1856" spans="1:6" ht="30" x14ac:dyDescent="0.25">
      <c r="A1856" s="461">
        <v>14250</v>
      </c>
      <c r="B1856" s="460" t="s">
        <v>10062</v>
      </c>
      <c r="C1856" s="461" t="s">
        <v>10061</v>
      </c>
      <c r="D1856" s="511">
        <v>0.76</v>
      </c>
      <c r="E1856" s="461" t="s">
        <v>161</v>
      </c>
      <c r="F1856" s="461" t="s">
        <v>8333</v>
      </c>
    </row>
    <row r="1857" spans="1:6" ht="15" x14ac:dyDescent="0.25">
      <c r="A1857" s="461">
        <v>11683</v>
      </c>
      <c r="B1857" s="460" t="s">
        <v>13179</v>
      </c>
      <c r="C1857" s="461" t="s">
        <v>1104</v>
      </c>
      <c r="D1857" s="461">
        <v>37.479999999999997</v>
      </c>
      <c r="E1857" s="461" t="s">
        <v>161</v>
      </c>
      <c r="F1857" s="461" t="s">
        <v>8326</v>
      </c>
    </row>
    <row r="1858" spans="1:6" ht="15" x14ac:dyDescent="0.25">
      <c r="A1858" s="461">
        <v>11684</v>
      </c>
      <c r="B1858" s="460" t="s">
        <v>13180</v>
      </c>
      <c r="C1858" s="461" t="s">
        <v>1104</v>
      </c>
      <c r="D1858" s="511">
        <v>41.02</v>
      </c>
      <c r="E1858" s="461" t="s">
        <v>161</v>
      </c>
      <c r="F1858" s="461" t="s">
        <v>8326</v>
      </c>
    </row>
    <row r="1859" spans="1:6" ht="15" x14ac:dyDescent="0.25">
      <c r="A1859" s="461">
        <v>6141</v>
      </c>
      <c r="B1859" s="460" t="s">
        <v>13181</v>
      </c>
      <c r="C1859" s="461" t="s">
        <v>1104</v>
      </c>
      <c r="D1859" s="461">
        <v>5.38</v>
      </c>
      <c r="E1859" s="461" t="s">
        <v>161</v>
      </c>
      <c r="F1859" s="461" t="s">
        <v>8326</v>
      </c>
    </row>
    <row r="1860" spans="1:6" ht="15" x14ac:dyDescent="0.25">
      <c r="A1860" s="461">
        <v>11681</v>
      </c>
      <c r="B1860" s="460" t="s">
        <v>13182</v>
      </c>
      <c r="C1860" s="461" t="s">
        <v>1104</v>
      </c>
      <c r="D1860" s="461">
        <v>6.79</v>
      </c>
      <c r="E1860" s="461" t="s">
        <v>161</v>
      </c>
      <c r="F1860" s="461" t="s">
        <v>8326</v>
      </c>
    </row>
    <row r="1861" spans="1:6" ht="15" x14ac:dyDescent="0.25">
      <c r="A1861" s="461">
        <v>2706</v>
      </c>
      <c r="B1861" s="460" t="s">
        <v>10063</v>
      </c>
      <c r="C1861" s="461" t="s">
        <v>1103</v>
      </c>
      <c r="D1861" s="461">
        <v>114.63</v>
      </c>
      <c r="E1861" s="461" t="s">
        <v>4455</v>
      </c>
      <c r="F1861" s="461" t="s">
        <v>8333</v>
      </c>
    </row>
    <row r="1862" spans="1:6" ht="15" x14ac:dyDescent="0.25">
      <c r="A1862" s="461">
        <v>40811</v>
      </c>
      <c r="B1862" s="460" t="s">
        <v>10064</v>
      </c>
      <c r="C1862" s="461" t="s">
        <v>1110</v>
      </c>
      <c r="D1862" s="461">
        <v>20406.5</v>
      </c>
      <c r="E1862" s="461" t="s">
        <v>4455</v>
      </c>
      <c r="F1862" s="461" t="s">
        <v>8326</v>
      </c>
    </row>
    <row r="1863" spans="1:6" ht="15" x14ac:dyDescent="0.25">
      <c r="A1863" s="461">
        <v>2707</v>
      </c>
      <c r="B1863" s="460" t="s">
        <v>10065</v>
      </c>
      <c r="C1863" s="461" t="s">
        <v>1103</v>
      </c>
      <c r="D1863" s="461">
        <v>135.63999999999999</v>
      </c>
      <c r="E1863" s="461" t="s">
        <v>4455</v>
      </c>
      <c r="F1863" s="461" t="s">
        <v>8326</v>
      </c>
    </row>
    <row r="1864" spans="1:6" ht="15" x14ac:dyDescent="0.25">
      <c r="A1864" s="461">
        <v>40813</v>
      </c>
      <c r="B1864" s="460" t="s">
        <v>10066</v>
      </c>
      <c r="C1864" s="461" t="s">
        <v>1110</v>
      </c>
      <c r="D1864" s="461">
        <v>24150.62</v>
      </c>
      <c r="E1864" s="461" t="s">
        <v>4455</v>
      </c>
      <c r="F1864" s="461" t="s">
        <v>8326</v>
      </c>
    </row>
    <row r="1865" spans="1:6" ht="15" x14ac:dyDescent="0.25">
      <c r="A1865" s="461">
        <v>2708</v>
      </c>
      <c r="B1865" s="460" t="s">
        <v>10067</v>
      </c>
      <c r="C1865" s="461" t="s">
        <v>1103</v>
      </c>
      <c r="D1865" s="461">
        <v>190.87</v>
      </c>
      <c r="E1865" s="461" t="s">
        <v>4455</v>
      </c>
      <c r="F1865" s="461" t="s">
        <v>8326</v>
      </c>
    </row>
    <row r="1866" spans="1:6" ht="15" x14ac:dyDescent="0.25">
      <c r="A1866" s="461">
        <v>40814</v>
      </c>
      <c r="B1866" s="460" t="s">
        <v>10068</v>
      </c>
      <c r="C1866" s="461" t="s">
        <v>1110</v>
      </c>
      <c r="D1866" s="461">
        <v>33978.99</v>
      </c>
      <c r="E1866" s="461" t="s">
        <v>4455</v>
      </c>
      <c r="F1866" s="461" t="s">
        <v>8326</v>
      </c>
    </row>
    <row r="1867" spans="1:6" ht="15" x14ac:dyDescent="0.25">
      <c r="A1867" s="461">
        <v>38403</v>
      </c>
      <c r="B1867" s="460" t="s">
        <v>10069</v>
      </c>
      <c r="C1867" s="461" t="s">
        <v>1104</v>
      </c>
      <c r="D1867" s="511">
        <v>61.26</v>
      </c>
      <c r="E1867" s="461" t="s">
        <v>161</v>
      </c>
      <c r="F1867" s="461" t="s">
        <v>8326</v>
      </c>
    </row>
    <row r="1868" spans="1:6" ht="30" x14ac:dyDescent="0.25">
      <c r="A1868" s="461">
        <v>43482</v>
      </c>
      <c r="B1868" s="460" t="s">
        <v>10070</v>
      </c>
      <c r="C1868" s="461" t="s">
        <v>1103</v>
      </c>
      <c r="D1868" s="461">
        <v>0.79</v>
      </c>
      <c r="E1868" s="461" t="s">
        <v>13526</v>
      </c>
      <c r="F1868" s="461" t="s">
        <v>8333</v>
      </c>
    </row>
    <row r="1869" spans="1:6" ht="30" x14ac:dyDescent="0.25">
      <c r="A1869" s="461">
        <v>43494</v>
      </c>
      <c r="B1869" s="460" t="s">
        <v>10071</v>
      </c>
      <c r="C1869" s="461" t="s">
        <v>1110</v>
      </c>
      <c r="D1869" s="511">
        <v>148.04</v>
      </c>
      <c r="E1869" s="461" t="s">
        <v>13526</v>
      </c>
      <c r="F1869" s="461" t="s">
        <v>8333</v>
      </c>
    </row>
    <row r="1870" spans="1:6" ht="30" x14ac:dyDescent="0.25">
      <c r="A1870" s="461">
        <v>43483</v>
      </c>
      <c r="B1870" s="460" t="s">
        <v>10072</v>
      </c>
      <c r="C1870" s="461" t="s">
        <v>1103</v>
      </c>
      <c r="D1870" s="461">
        <v>1.43</v>
      </c>
      <c r="E1870" s="461" t="s">
        <v>13526</v>
      </c>
      <c r="F1870" s="461" t="s">
        <v>8333</v>
      </c>
    </row>
    <row r="1871" spans="1:6" ht="30" x14ac:dyDescent="0.25">
      <c r="A1871" s="461">
        <v>43495</v>
      </c>
      <c r="B1871" s="460" t="s">
        <v>10073</v>
      </c>
      <c r="C1871" s="461" t="s">
        <v>1110</v>
      </c>
      <c r="D1871" s="511">
        <v>269.97000000000003</v>
      </c>
      <c r="E1871" s="461" t="s">
        <v>13526</v>
      </c>
      <c r="F1871" s="461" t="s">
        <v>8333</v>
      </c>
    </row>
    <row r="1872" spans="1:6" ht="30" x14ac:dyDescent="0.25">
      <c r="A1872" s="461">
        <v>43484</v>
      </c>
      <c r="B1872" s="460" t="s">
        <v>10074</v>
      </c>
      <c r="C1872" s="461" t="s">
        <v>1103</v>
      </c>
      <c r="D1872" s="461">
        <v>1.2</v>
      </c>
      <c r="E1872" s="461" t="s">
        <v>13526</v>
      </c>
      <c r="F1872" s="461" t="s">
        <v>8333</v>
      </c>
    </row>
    <row r="1873" spans="1:6" ht="30" x14ac:dyDescent="0.25">
      <c r="A1873" s="461">
        <v>43496</v>
      </c>
      <c r="B1873" s="460" t="s">
        <v>10075</v>
      </c>
      <c r="C1873" s="461" t="s">
        <v>1110</v>
      </c>
      <c r="D1873" s="461">
        <v>226.41</v>
      </c>
      <c r="E1873" s="461" t="s">
        <v>13526</v>
      </c>
      <c r="F1873" s="461" t="s">
        <v>8333</v>
      </c>
    </row>
    <row r="1874" spans="1:6" ht="30" x14ac:dyDescent="0.25">
      <c r="A1874" s="461">
        <v>43485</v>
      </c>
      <c r="B1874" s="460" t="s">
        <v>10076</v>
      </c>
      <c r="C1874" s="461" t="s">
        <v>1103</v>
      </c>
      <c r="D1874" s="461">
        <v>1.06</v>
      </c>
      <c r="E1874" s="461" t="s">
        <v>13526</v>
      </c>
      <c r="F1874" s="461" t="s">
        <v>8333</v>
      </c>
    </row>
    <row r="1875" spans="1:6" ht="30" x14ac:dyDescent="0.25">
      <c r="A1875" s="461">
        <v>43497</v>
      </c>
      <c r="B1875" s="460" t="s">
        <v>10077</v>
      </c>
      <c r="C1875" s="461" t="s">
        <v>1110</v>
      </c>
      <c r="D1875" s="461">
        <v>199.2</v>
      </c>
      <c r="E1875" s="461" t="s">
        <v>13526</v>
      </c>
      <c r="F1875" s="461" t="s">
        <v>8333</v>
      </c>
    </row>
    <row r="1876" spans="1:6" ht="30" x14ac:dyDescent="0.25">
      <c r="A1876" s="461">
        <v>43487</v>
      </c>
      <c r="B1876" s="460" t="s">
        <v>10078</v>
      </c>
      <c r="C1876" s="461" t="s">
        <v>1103</v>
      </c>
      <c r="D1876" s="461">
        <v>1.25</v>
      </c>
      <c r="E1876" s="461" t="s">
        <v>13526</v>
      </c>
      <c r="F1876" s="461" t="s">
        <v>8333</v>
      </c>
    </row>
    <row r="1877" spans="1:6" ht="30" x14ac:dyDescent="0.25">
      <c r="A1877" s="461">
        <v>43499</v>
      </c>
      <c r="B1877" s="460" t="s">
        <v>10079</v>
      </c>
      <c r="C1877" s="461" t="s">
        <v>1110</v>
      </c>
      <c r="D1877" s="461">
        <v>236.16</v>
      </c>
      <c r="E1877" s="461" t="s">
        <v>13526</v>
      </c>
      <c r="F1877" s="461" t="s">
        <v>8333</v>
      </c>
    </row>
    <row r="1878" spans="1:6" ht="30" x14ac:dyDescent="0.25">
      <c r="A1878" s="461">
        <v>43486</v>
      </c>
      <c r="B1878" s="460" t="s">
        <v>10080</v>
      </c>
      <c r="C1878" s="461" t="s">
        <v>1103</v>
      </c>
      <c r="D1878" s="461">
        <v>0.74</v>
      </c>
      <c r="E1878" s="461" t="s">
        <v>13526</v>
      </c>
      <c r="F1878" s="461" t="s">
        <v>8333</v>
      </c>
    </row>
    <row r="1879" spans="1:6" ht="30" x14ac:dyDescent="0.25">
      <c r="A1879" s="461">
        <v>43498</v>
      </c>
      <c r="B1879" s="460" t="s">
        <v>10081</v>
      </c>
      <c r="C1879" s="461" t="s">
        <v>1110</v>
      </c>
      <c r="D1879" s="461">
        <v>140.22999999999999</v>
      </c>
      <c r="E1879" s="461" t="s">
        <v>13526</v>
      </c>
      <c r="F1879" s="461" t="s">
        <v>8333</v>
      </c>
    </row>
    <row r="1880" spans="1:6" ht="30" x14ac:dyDescent="0.25">
      <c r="A1880" s="461">
        <v>43488</v>
      </c>
      <c r="B1880" s="460" t="s">
        <v>10082</v>
      </c>
      <c r="C1880" s="461" t="s">
        <v>1103</v>
      </c>
      <c r="D1880" s="461">
        <v>0.86</v>
      </c>
      <c r="E1880" s="461" t="s">
        <v>13526</v>
      </c>
      <c r="F1880" s="461" t="s">
        <v>8333</v>
      </c>
    </row>
    <row r="1881" spans="1:6" ht="30" x14ac:dyDescent="0.25">
      <c r="A1881" s="461">
        <v>43500</v>
      </c>
      <c r="B1881" s="460" t="s">
        <v>10083</v>
      </c>
      <c r="C1881" s="461" t="s">
        <v>1110</v>
      </c>
      <c r="D1881" s="461">
        <v>162.97</v>
      </c>
      <c r="E1881" s="461" t="s">
        <v>13526</v>
      </c>
      <c r="F1881" s="461" t="s">
        <v>8333</v>
      </c>
    </row>
    <row r="1882" spans="1:6" ht="30" x14ac:dyDescent="0.25">
      <c r="A1882" s="461">
        <v>43489</v>
      </c>
      <c r="B1882" s="460" t="s">
        <v>10084</v>
      </c>
      <c r="C1882" s="461" t="s">
        <v>1103</v>
      </c>
      <c r="D1882" s="461">
        <v>1.24</v>
      </c>
      <c r="E1882" s="461" t="s">
        <v>13526</v>
      </c>
      <c r="F1882" s="461" t="s">
        <v>8333</v>
      </c>
    </row>
    <row r="1883" spans="1:6" ht="30" x14ac:dyDescent="0.25">
      <c r="A1883" s="461">
        <v>43501</v>
      </c>
      <c r="B1883" s="460" t="s">
        <v>10085</v>
      </c>
      <c r="C1883" s="461" t="s">
        <v>1110</v>
      </c>
      <c r="D1883" s="461">
        <v>233.35</v>
      </c>
      <c r="E1883" s="461" t="s">
        <v>13526</v>
      </c>
      <c r="F1883" s="461" t="s">
        <v>8333</v>
      </c>
    </row>
    <row r="1884" spans="1:6" ht="15" x14ac:dyDescent="0.25">
      <c r="A1884" s="461">
        <v>43490</v>
      </c>
      <c r="B1884" s="460" t="s">
        <v>10086</v>
      </c>
      <c r="C1884" s="461" t="s">
        <v>1103</v>
      </c>
      <c r="D1884" s="461">
        <v>1.73</v>
      </c>
      <c r="E1884" s="461" t="s">
        <v>13526</v>
      </c>
      <c r="F1884" s="461" t="s">
        <v>8333</v>
      </c>
    </row>
    <row r="1885" spans="1:6" ht="30" x14ac:dyDescent="0.25">
      <c r="A1885" s="461">
        <v>43502</v>
      </c>
      <c r="B1885" s="460" t="s">
        <v>10087</v>
      </c>
      <c r="C1885" s="461" t="s">
        <v>1110</v>
      </c>
      <c r="D1885" s="461">
        <v>325.51</v>
      </c>
      <c r="E1885" s="461" t="s">
        <v>13526</v>
      </c>
      <c r="F1885" s="461" t="s">
        <v>8333</v>
      </c>
    </row>
    <row r="1886" spans="1:6" ht="30" x14ac:dyDescent="0.25">
      <c r="A1886" s="461">
        <v>43491</v>
      </c>
      <c r="B1886" s="460" t="s">
        <v>10088</v>
      </c>
      <c r="C1886" s="461" t="s">
        <v>1103</v>
      </c>
      <c r="D1886" s="461">
        <v>1.33</v>
      </c>
      <c r="E1886" s="461" t="s">
        <v>13526</v>
      </c>
      <c r="F1886" s="461" t="s">
        <v>8333</v>
      </c>
    </row>
    <row r="1887" spans="1:6" ht="30" x14ac:dyDescent="0.25">
      <c r="A1887" s="461">
        <v>43503</v>
      </c>
      <c r="B1887" s="460" t="s">
        <v>10089</v>
      </c>
      <c r="C1887" s="461" t="s">
        <v>1110</v>
      </c>
      <c r="D1887" s="461">
        <v>250.24</v>
      </c>
      <c r="E1887" s="461" t="s">
        <v>13526</v>
      </c>
      <c r="F1887" s="461" t="s">
        <v>8333</v>
      </c>
    </row>
    <row r="1888" spans="1:6" ht="30" x14ac:dyDescent="0.25">
      <c r="A1888" s="461">
        <v>43492</v>
      </c>
      <c r="B1888" s="460" t="s">
        <v>10090</v>
      </c>
      <c r="C1888" s="461" t="s">
        <v>1103</v>
      </c>
      <c r="D1888" s="461">
        <v>1.79</v>
      </c>
      <c r="E1888" s="461" t="s">
        <v>13526</v>
      </c>
      <c r="F1888" s="461" t="s">
        <v>8333</v>
      </c>
    </row>
    <row r="1889" spans="1:6" ht="30" x14ac:dyDescent="0.25">
      <c r="A1889" s="461">
        <v>43504</v>
      </c>
      <c r="B1889" s="460" t="s">
        <v>10091</v>
      </c>
      <c r="C1889" s="461" t="s">
        <v>1110</v>
      </c>
      <c r="D1889" s="461">
        <v>337.87</v>
      </c>
      <c r="E1889" s="461" t="s">
        <v>13526</v>
      </c>
      <c r="F1889" s="461" t="s">
        <v>8333</v>
      </c>
    </row>
    <row r="1890" spans="1:6" ht="30" x14ac:dyDescent="0.25">
      <c r="A1890" s="461">
        <v>43493</v>
      </c>
      <c r="B1890" s="460" t="s">
        <v>10092</v>
      </c>
      <c r="C1890" s="461" t="s">
        <v>1103</v>
      </c>
      <c r="D1890" s="461">
        <v>0.71</v>
      </c>
      <c r="E1890" s="461" t="s">
        <v>13526</v>
      </c>
      <c r="F1890" s="461" t="s">
        <v>8333</v>
      </c>
    </row>
    <row r="1891" spans="1:6" ht="30" x14ac:dyDescent="0.25">
      <c r="A1891" s="461">
        <v>43505</v>
      </c>
      <c r="B1891" s="460" t="s">
        <v>10093</v>
      </c>
      <c r="C1891" s="461" t="s">
        <v>1110</v>
      </c>
      <c r="D1891" s="461">
        <v>132.94</v>
      </c>
      <c r="E1891" s="461" t="s">
        <v>13526</v>
      </c>
      <c r="F1891" s="461" t="s">
        <v>8333</v>
      </c>
    </row>
    <row r="1892" spans="1:6" ht="45" x14ac:dyDescent="0.25">
      <c r="A1892" s="461">
        <v>37774</v>
      </c>
      <c r="B1892" s="460" t="s">
        <v>10094</v>
      </c>
      <c r="C1892" s="461" t="s">
        <v>1104</v>
      </c>
      <c r="D1892" s="461">
        <v>565124.71</v>
      </c>
      <c r="E1892" s="461" t="s">
        <v>1497</v>
      </c>
      <c r="F1892" s="461" t="s">
        <v>8328</v>
      </c>
    </row>
    <row r="1893" spans="1:6" ht="60" x14ac:dyDescent="0.25">
      <c r="A1893" s="461">
        <v>38629</v>
      </c>
      <c r="B1893" s="460" t="s">
        <v>10095</v>
      </c>
      <c r="C1893" s="461" t="s">
        <v>1104</v>
      </c>
      <c r="D1893" s="461">
        <v>2640878.9</v>
      </c>
      <c r="E1893" s="461" t="s">
        <v>1497</v>
      </c>
      <c r="F1893" s="461" t="s">
        <v>8328</v>
      </c>
    </row>
    <row r="1894" spans="1:6" ht="45" x14ac:dyDescent="0.25">
      <c r="A1894" s="461">
        <v>38630</v>
      </c>
      <c r="B1894" s="460" t="s">
        <v>10096</v>
      </c>
      <c r="C1894" s="461" t="s">
        <v>1104</v>
      </c>
      <c r="D1894" s="461">
        <v>1774128.9</v>
      </c>
      <c r="E1894" s="461" t="s">
        <v>1497</v>
      </c>
      <c r="F1894" s="461" t="s">
        <v>8328</v>
      </c>
    </row>
    <row r="1895" spans="1:6" ht="15" x14ac:dyDescent="0.25">
      <c r="A1895" s="461">
        <v>38476</v>
      </c>
      <c r="B1895" s="460" t="s">
        <v>10097</v>
      </c>
      <c r="C1895" s="461" t="s">
        <v>1104</v>
      </c>
      <c r="D1895" s="461">
        <v>460.4</v>
      </c>
      <c r="E1895" s="461" t="s">
        <v>161</v>
      </c>
      <c r="F1895" s="461" t="s">
        <v>8326</v>
      </c>
    </row>
    <row r="1896" spans="1:6" ht="15" x14ac:dyDescent="0.25">
      <c r="A1896" s="461">
        <v>38477</v>
      </c>
      <c r="B1896" s="460" t="s">
        <v>10098</v>
      </c>
      <c r="C1896" s="461" t="s">
        <v>1104</v>
      </c>
      <c r="D1896" s="461">
        <v>1303.8499999999999</v>
      </c>
      <c r="E1896" s="461" t="s">
        <v>161</v>
      </c>
      <c r="F1896" s="461" t="s">
        <v>8326</v>
      </c>
    </row>
    <row r="1897" spans="1:6" ht="30" x14ac:dyDescent="0.25">
      <c r="A1897" s="461">
        <v>40635</v>
      </c>
      <c r="B1897" s="460" t="s">
        <v>10099</v>
      </c>
      <c r="C1897" s="461" t="s">
        <v>1104</v>
      </c>
      <c r="D1897" s="511">
        <v>949749.3</v>
      </c>
      <c r="E1897" s="461" t="s">
        <v>1497</v>
      </c>
      <c r="F1897" s="461" t="s">
        <v>8328</v>
      </c>
    </row>
    <row r="1898" spans="1:6" ht="30" x14ac:dyDescent="0.25">
      <c r="A1898" s="461">
        <v>36483</v>
      </c>
      <c r="B1898" s="460" t="s">
        <v>10100</v>
      </c>
      <c r="C1898" s="461" t="s">
        <v>1104</v>
      </c>
      <c r="D1898" s="511">
        <v>860625</v>
      </c>
      <c r="E1898" s="461" t="s">
        <v>1497</v>
      </c>
      <c r="F1898" s="461" t="s">
        <v>8328</v>
      </c>
    </row>
    <row r="1899" spans="1:6" ht="30" x14ac:dyDescent="0.25">
      <c r="A1899" s="461">
        <v>14525</v>
      </c>
      <c r="B1899" s="460" t="s">
        <v>10101</v>
      </c>
      <c r="C1899" s="461" t="s">
        <v>1104</v>
      </c>
      <c r="D1899" s="511">
        <v>901125</v>
      </c>
      <c r="E1899" s="461" t="s">
        <v>1497</v>
      </c>
      <c r="F1899" s="461" t="s">
        <v>8328</v>
      </c>
    </row>
    <row r="1900" spans="1:6" ht="30" x14ac:dyDescent="0.25">
      <c r="A1900" s="461">
        <v>36408</v>
      </c>
      <c r="B1900" s="460" t="s">
        <v>10102</v>
      </c>
      <c r="C1900" s="461" t="s">
        <v>1104</v>
      </c>
      <c r="D1900" s="461">
        <v>923400</v>
      </c>
      <c r="E1900" s="461" t="s">
        <v>1497</v>
      </c>
      <c r="F1900" s="461" t="s">
        <v>8328</v>
      </c>
    </row>
    <row r="1901" spans="1:6" ht="30" x14ac:dyDescent="0.25">
      <c r="A1901" s="461">
        <v>2723</v>
      </c>
      <c r="B1901" s="460" t="s">
        <v>10103</v>
      </c>
      <c r="C1901" s="461" t="s">
        <v>1104</v>
      </c>
      <c r="D1901" s="511">
        <v>708750</v>
      </c>
      <c r="E1901" s="461" t="s">
        <v>1497</v>
      </c>
      <c r="F1901" s="461" t="s">
        <v>8328</v>
      </c>
    </row>
    <row r="1902" spans="1:6" ht="30" x14ac:dyDescent="0.25">
      <c r="A1902" s="461">
        <v>36481</v>
      </c>
      <c r="B1902" s="460" t="s">
        <v>10104</v>
      </c>
      <c r="C1902" s="461" t="s">
        <v>1104</v>
      </c>
      <c r="D1902" s="511">
        <v>845437.5</v>
      </c>
      <c r="E1902" s="461" t="s">
        <v>1497</v>
      </c>
      <c r="F1902" s="461" t="s">
        <v>8328</v>
      </c>
    </row>
    <row r="1903" spans="1:6" ht="30" x14ac:dyDescent="0.25">
      <c r="A1903" s="461">
        <v>36482</v>
      </c>
      <c r="B1903" s="460" t="s">
        <v>13183</v>
      </c>
      <c r="C1903" s="461" t="s">
        <v>1104</v>
      </c>
      <c r="D1903" s="511">
        <v>772840.19</v>
      </c>
      <c r="E1903" s="461" t="s">
        <v>1497</v>
      </c>
      <c r="F1903" s="461" t="s">
        <v>8328</v>
      </c>
    </row>
    <row r="1904" spans="1:6" ht="30" x14ac:dyDescent="0.25">
      <c r="A1904" s="461">
        <v>10685</v>
      </c>
      <c r="B1904" s="460" t="s">
        <v>10105</v>
      </c>
      <c r="C1904" s="461" t="s">
        <v>1104</v>
      </c>
      <c r="D1904" s="511">
        <v>810000</v>
      </c>
      <c r="E1904" s="461" t="s">
        <v>1497</v>
      </c>
      <c r="F1904" s="461" t="s">
        <v>8328</v>
      </c>
    </row>
    <row r="1905" spans="1:6" ht="45" x14ac:dyDescent="0.25">
      <c r="A1905" s="461">
        <v>40636</v>
      </c>
      <c r="B1905" s="460" t="s">
        <v>10106</v>
      </c>
      <c r="C1905" s="461" t="s">
        <v>1104</v>
      </c>
      <c r="D1905" s="511">
        <v>914311.8</v>
      </c>
      <c r="E1905" s="461" t="s">
        <v>1497</v>
      </c>
      <c r="F1905" s="461" t="s">
        <v>8328</v>
      </c>
    </row>
    <row r="1906" spans="1:6" ht="15" x14ac:dyDescent="0.25">
      <c r="A1906" s="461">
        <v>4111</v>
      </c>
      <c r="B1906" s="460" t="s">
        <v>10107</v>
      </c>
      <c r="C1906" s="461" t="s">
        <v>1104</v>
      </c>
      <c r="D1906" s="511">
        <v>52.41</v>
      </c>
      <c r="E1906" s="461" t="s">
        <v>161</v>
      </c>
      <c r="F1906" s="461" t="s">
        <v>8326</v>
      </c>
    </row>
    <row r="1907" spans="1:6" ht="30" x14ac:dyDescent="0.25">
      <c r="A1907" s="461">
        <v>44538</v>
      </c>
      <c r="B1907" s="460" t="s">
        <v>13184</v>
      </c>
      <c r="C1907" s="461" t="s">
        <v>1104</v>
      </c>
      <c r="D1907" s="511">
        <v>42.64</v>
      </c>
      <c r="E1907" s="461" t="s">
        <v>161</v>
      </c>
      <c r="F1907" s="461" t="s">
        <v>8326</v>
      </c>
    </row>
    <row r="1908" spans="1:6" ht="15" x14ac:dyDescent="0.25">
      <c r="A1908" s="461">
        <v>12</v>
      </c>
      <c r="B1908" s="460" t="s">
        <v>13185</v>
      </c>
      <c r="C1908" s="461" t="s">
        <v>1104</v>
      </c>
      <c r="D1908" s="511">
        <v>10.220000000000001</v>
      </c>
      <c r="E1908" s="461" t="s">
        <v>161</v>
      </c>
      <c r="F1908" s="461" t="s">
        <v>8333</v>
      </c>
    </row>
    <row r="1909" spans="1:6" ht="30" x14ac:dyDescent="0.25">
      <c r="A1909" s="461">
        <v>37554</v>
      </c>
      <c r="B1909" s="460" t="s">
        <v>10108</v>
      </c>
      <c r="C1909" s="461" t="s">
        <v>1104</v>
      </c>
      <c r="D1909" s="511">
        <v>234.87</v>
      </c>
      <c r="E1909" s="461" t="s">
        <v>161</v>
      </c>
      <c r="F1909" s="461" t="s">
        <v>8326</v>
      </c>
    </row>
    <row r="1910" spans="1:6" ht="30" x14ac:dyDescent="0.25">
      <c r="A1910" s="461">
        <v>37555</v>
      </c>
      <c r="B1910" s="460" t="s">
        <v>10109</v>
      </c>
      <c r="C1910" s="461" t="s">
        <v>1104</v>
      </c>
      <c r="D1910" s="511">
        <v>285.70999999999998</v>
      </c>
      <c r="E1910" s="461" t="s">
        <v>161</v>
      </c>
      <c r="F1910" s="461" t="s">
        <v>8326</v>
      </c>
    </row>
    <row r="1911" spans="1:6" ht="30" x14ac:dyDescent="0.25">
      <c r="A1911" s="461">
        <v>10902</v>
      </c>
      <c r="B1911" s="460" t="s">
        <v>10110</v>
      </c>
      <c r="C1911" s="461" t="s">
        <v>1104</v>
      </c>
      <c r="D1911" s="461">
        <v>71.69</v>
      </c>
      <c r="E1911" s="461" t="s">
        <v>161</v>
      </c>
      <c r="F1911" s="461" t="s">
        <v>8326</v>
      </c>
    </row>
    <row r="1912" spans="1:6" ht="30" x14ac:dyDescent="0.25">
      <c r="A1912" s="461">
        <v>20965</v>
      </c>
      <c r="B1912" s="460" t="s">
        <v>10111</v>
      </c>
      <c r="C1912" s="461" t="s">
        <v>1104</v>
      </c>
      <c r="D1912" s="461">
        <v>72.36</v>
      </c>
      <c r="E1912" s="461" t="s">
        <v>161</v>
      </c>
      <c r="F1912" s="461" t="s">
        <v>8326</v>
      </c>
    </row>
    <row r="1913" spans="1:6" ht="30" x14ac:dyDescent="0.25">
      <c r="A1913" s="461">
        <v>20966</v>
      </c>
      <c r="B1913" s="460" t="s">
        <v>10112</v>
      </c>
      <c r="C1913" s="461" t="s">
        <v>1104</v>
      </c>
      <c r="D1913" s="461">
        <v>77.91</v>
      </c>
      <c r="E1913" s="461" t="s">
        <v>161</v>
      </c>
      <c r="F1913" s="461" t="s">
        <v>8326</v>
      </c>
    </row>
    <row r="1914" spans="1:6" ht="30" x14ac:dyDescent="0.25">
      <c r="A1914" s="461">
        <v>10903</v>
      </c>
      <c r="B1914" s="460" t="s">
        <v>10113</v>
      </c>
      <c r="C1914" s="461" t="s">
        <v>1104</v>
      </c>
      <c r="D1914" s="461">
        <v>118.09</v>
      </c>
      <c r="E1914" s="461" t="s">
        <v>161</v>
      </c>
      <c r="F1914" s="461" t="s">
        <v>8326</v>
      </c>
    </row>
    <row r="1915" spans="1:6" ht="30" x14ac:dyDescent="0.25">
      <c r="A1915" s="461">
        <v>20967</v>
      </c>
      <c r="B1915" s="460" t="s">
        <v>10114</v>
      </c>
      <c r="C1915" s="461" t="s">
        <v>1104</v>
      </c>
      <c r="D1915" s="461">
        <v>118.09</v>
      </c>
      <c r="E1915" s="461" t="s">
        <v>161</v>
      </c>
      <c r="F1915" s="461" t="s">
        <v>8326</v>
      </c>
    </row>
    <row r="1916" spans="1:6" ht="30" x14ac:dyDescent="0.25">
      <c r="A1916" s="461">
        <v>20968</v>
      </c>
      <c r="B1916" s="460" t="s">
        <v>10115</v>
      </c>
      <c r="C1916" s="461" t="s">
        <v>1104</v>
      </c>
      <c r="D1916" s="461">
        <v>129.52000000000001</v>
      </c>
      <c r="E1916" s="461" t="s">
        <v>161</v>
      </c>
      <c r="F1916" s="461" t="s">
        <v>8326</v>
      </c>
    </row>
    <row r="1917" spans="1:6" ht="30" x14ac:dyDescent="0.25">
      <c r="A1917" s="461">
        <v>11359</v>
      </c>
      <c r="B1917" s="460" t="s">
        <v>10116</v>
      </c>
      <c r="C1917" s="461" t="s">
        <v>1104</v>
      </c>
      <c r="D1917" s="461">
        <v>1022.26</v>
      </c>
      <c r="E1917" s="461" t="s">
        <v>161</v>
      </c>
      <c r="F1917" s="461" t="s">
        <v>8333</v>
      </c>
    </row>
    <row r="1918" spans="1:6" ht="30" x14ac:dyDescent="0.25">
      <c r="A1918" s="461">
        <v>39017</v>
      </c>
      <c r="B1918" s="460" t="s">
        <v>10117</v>
      </c>
      <c r="C1918" s="461" t="s">
        <v>1104</v>
      </c>
      <c r="D1918" s="461">
        <v>0.22</v>
      </c>
      <c r="E1918" s="461" t="s">
        <v>161</v>
      </c>
      <c r="F1918" s="461" t="s">
        <v>8328</v>
      </c>
    </row>
    <row r="1919" spans="1:6" ht="30" x14ac:dyDescent="0.25">
      <c r="A1919" s="461">
        <v>39315</v>
      </c>
      <c r="B1919" s="460" t="s">
        <v>10118</v>
      </c>
      <c r="C1919" s="461" t="s">
        <v>1104</v>
      </c>
      <c r="D1919" s="461">
        <v>0.35</v>
      </c>
      <c r="E1919" s="461" t="s">
        <v>161</v>
      </c>
      <c r="F1919" s="461" t="s">
        <v>8328</v>
      </c>
    </row>
    <row r="1920" spans="1:6" ht="30" x14ac:dyDescent="0.25">
      <c r="A1920" s="461">
        <v>39016</v>
      </c>
      <c r="B1920" s="460" t="s">
        <v>10119</v>
      </c>
      <c r="C1920" s="461" t="s">
        <v>1104</v>
      </c>
      <c r="D1920" s="461">
        <v>0.36</v>
      </c>
      <c r="E1920" s="461" t="s">
        <v>161</v>
      </c>
      <c r="F1920" s="461" t="s">
        <v>8328</v>
      </c>
    </row>
    <row r="1921" spans="1:6" ht="30" x14ac:dyDescent="0.25">
      <c r="A1921" s="461">
        <v>39481</v>
      </c>
      <c r="B1921" s="460" t="s">
        <v>10120</v>
      </c>
      <c r="C1921" s="461" t="s">
        <v>1104</v>
      </c>
      <c r="D1921" s="461">
        <v>1.74</v>
      </c>
      <c r="E1921" s="461" t="s">
        <v>161</v>
      </c>
      <c r="F1921" s="461" t="s">
        <v>8328</v>
      </c>
    </row>
    <row r="1922" spans="1:6" ht="30" x14ac:dyDescent="0.25">
      <c r="A1922" s="461">
        <v>39013</v>
      </c>
      <c r="B1922" s="460" t="s">
        <v>10121</v>
      </c>
      <c r="C1922" s="461" t="s">
        <v>1104</v>
      </c>
      <c r="D1922" s="461">
        <v>1.48</v>
      </c>
      <c r="E1922" s="461" t="s">
        <v>161</v>
      </c>
      <c r="F1922" s="461" t="s">
        <v>8328</v>
      </c>
    </row>
    <row r="1923" spans="1:6" ht="30" x14ac:dyDescent="0.25">
      <c r="A1923" s="461">
        <v>44919</v>
      </c>
      <c r="B1923" s="460" t="s">
        <v>10122</v>
      </c>
      <c r="C1923" s="461" t="s">
        <v>1104</v>
      </c>
      <c r="D1923" s="461">
        <v>2.77</v>
      </c>
      <c r="E1923" s="461" t="s">
        <v>161</v>
      </c>
      <c r="F1923" s="461" t="s">
        <v>8328</v>
      </c>
    </row>
    <row r="1924" spans="1:6" ht="30" x14ac:dyDescent="0.25">
      <c r="A1924" s="461">
        <v>40433</v>
      </c>
      <c r="B1924" s="460" t="s">
        <v>10123</v>
      </c>
      <c r="C1924" s="461" t="s">
        <v>1104</v>
      </c>
      <c r="D1924" s="461">
        <v>1.53</v>
      </c>
      <c r="E1924" s="461" t="s">
        <v>161</v>
      </c>
      <c r="F1924" s="461" t="s">
        <v>8328</v>
      </c>
    </row>
    <row r="1925" spans="1:6" ht="30" x14ac:dyDescent="0.25">
      <c r="A1925" s="461">
        <v>20219</v>
      </c>
      <c r="B1925" s="460" t="s">
        <v>13186</v>
      </c>
      <c r="C1925" s="461" t="s">
        <v>1104</v>
      </c>
      <c r="D1925" s="461">
        <v>116000</v>
      </c>
      <c r="E1925" s="461" t="s">
        <v>1497</v>
      </c>
      <c r="F1925" s="461" t="s">
        <v>8328</v>
      </c>
    </row>
    <row r="1926" spans="1:6" ht="45" x14ac:dyDescent="0.25">
      <c r="A1926" s="461">
        <v>36484</v>
      </c>
      <c r="B1926" s="460" t="s">
        <v>10124</v>
      </c>
      <c r="C1926" s="461" t="s">
        <v>1104</v>
      </c>
      <c r="D1926" s="461">
        <v>246246.87</v>
      </c>
      <c r="E1926" s="461" t="s">
        <v>1497</v>
      </c>
      <c r="F1926" s="461" t="s">
        <v>8328</v>
      </c>
    </row>
    <row r="1927" spans="1:6" ht="15" x14ac:dyDescent="0.25">
      <c r="A1927" s="461">
        <v>38367</v>
      </c>
      <c r="B1927" s="460" t="s">
        <v>10125</v>
      </c>
      <c r="C1927" s="461" t="s">
        <v>1104</v>
      </c>
      <c r="D1927" s="461">
        <v>24.74</v>
      </c>
      <c r="E1927" s="461" t="s">
        <v>161</v>
      </c>
      <c r="F1927" s="461" t="s">
        <v>8326</v>
      </c>
    </row>
    <row r="1928" spans="1:6" ht="15" x14ac:dyDescent="0.25">
      <c r="A1928" s="461">
        <v>38368</v>
      </c>
      <c r="B1928" s="460" t="s">
        <v>10126</v>
      </c>
      <c r="C1928" s="461" t="s">
        <v>1104</v>
      </c>
      <c r="D1928" s="461">
        <v>7.91</v>
      </c>
      <c r="E1928" s="461" t="s">
        <v>161</v>
      </c>
      <c r="F1928" s="461" t="s">
        <v>8326</v>
      </c>
    </row>
    <row r="1929" spans="1:6" ht="15" x14ac:dyDescent="0.25">
      <c r="A1929" s="461">
        <v>38091</v>
      </c>
      <c r="B1929" s="460" t="s">
        <v>10127</v>
      </c>
      <c r="C1929" s="461" t="s">
        <v>1104</v>
      </c>
      <c r="D1929" s="461">
        <v>3.14</v>
      </c>
      <c r="E1929" s="461" t="s">
        <v>161</v>
      </c>
      <c r="F1929" s="461" t="s">
        <v>8326</v>
      </c>
    </row>
    <row r="1930" spans="1:6" ht="15" x14ac:dyDescent="0.25">
      <c r="A1930" s="461">
        <v>38095</v>
      </c>
      <c r="B1930" s="460" t="s">
        <v>10128</v>
      </c>
      <c r="C1930" s="461" t="s">
        <v>1104</v>
      </c>
      <c r="D1930" s="511">
        <v>6.64</v>
      </c>
      <c r="E1930" s="461" t="s">
        <v>161</v>
      </c>
      <c r="F1930" s="461" t="s">
        <v>8326</v>
      </c>
    </row>
    <row r="1931" spans="1:6" ht="30" x14ac:dyDescent="0.25">
      <c r="A1931" s="461">
        <v>38092</v>
      </c>
      <c r="B1931" s="460" t="s">
        <v>10129</v>
      </c>
      <c r="C1931" s="461" t="s">
        <v>1104</v>
      </c>
      <c r="D1931" s="511">
        <v>2.98</v>
      </c>
      <c r="E1931" s="461" t="s">
        <v>161</v>
      </c>
      <c r="F1931" s="461" t="s">
        <v>8326</v>
      </c>
    </row>
    <row r="1932" spans="1:6" ht="30" x14ac:dyDescent="0.25">
      <c r="A1932" s="461">
        <v>38093</v>
      </c>
      <c r="B1932" s="460" t="s">
        <v>10130</v>
      </c>
      <c r="C1932" s="461" t="s">
        <v>1104</v>
      </c>
      <c r="D1932" s="461">
        <v>3.08</v>
      </c>
      <c r="E1932" s="461" t="s">
        <v>161</v>
      </c>
      <c r="F1932" s="461" t="s">
        <v>8326</v>
      </c>
    </row>
    <row r="1933" spans="1:6" ht="30" x14ac:dyDescent="0.25">
      <c r="A1933" s="461">
        <v>38096</v>
      </c>
      <c r="B1933" s="460" t="s">
        <v>10131</v>
      </c>
      <c r="C1933" s="461" t="s">
        <v>1104</v>
      </c>
      <c r="D1933" s="461">
        <v>7.15</v>
      </c>
      <c r="E1933" s="461" t="s">
        <v>161</v>
      </c>
      <c r="F1933" s="461" t="s">
        <v>8326</v>
      </c>
    </row>
    <row r="1934" spans="1:6" ht="30" x14ac:dyDescent="0.25">
      <c r="A1934" s="461">
        <v>38094</v>
      </c>
      <c r="B1934" s="460" t="s">
        <v>10132</v>
      </c>
      <c r="C1934" s="461" t="s">
        <v>1104</v>
      </c>
      <c r="D1934" s="461">
        <v>3.77</v>
      </c>
      <c r="E1934" s="461" t="s">
        <v>161</v>
      </c>
      <c r="F1934" s="461" t="s">
        <v>8326</v>
      </c>
    </row>
    <row r="1935" spans="1:6" ht="30" x14ac:dyDescent="0.25">
      <c r="A1935" s="461">
        <v>38097</v>
      </c>
      <c r="B1935" s="460" t="s">
        <v>10133</v>
      </c>
      <c r="C1935" s="461" t="s">
        <v>1104</v>
      </c>
      <c r="D1935" s="461">
        <v>7.66</v>
      </c>
      <c r="E1935" s="461" t="s">
        <v>161</v>
      </c>
      <c r="F1935" s="461" t="s">
        <v>8326</v>
      </c>
    </row>
    <row r="1936" spans="1:6" ht="30" x14ac:dyDescent="0.25">
      <c r="A1936" s="461">
        <v>38098</v>
      </c>
      <c r="B1936" s="460" t="s">
        <v>10134</v>
      </c>
      <c r="C1936" s="461" t="s">
        <v>1104</v>
      </c>
      <c r="D1936" s="461">
        <v>7.66</v>
      </c>
      <c r="E1936" s="461" t="s">
        <v>161</v>
      </c>
      <c r="F1936" s="461" t="s">
        <v>8326</v>
      </c>
    </row>
    <row r="1937" spans="1:6" ht="15" x14ac:dyDescent="0.25">
      <c r="A1937" s="461">
        <v>11186</v>
      </c>
      <c r="B1937" s="460" t="s">
        <v>10135</v>
      </c>
      <c r="C1937" s="461" t="s">
        <v>1106</v>
      </c>
      <c r="D1937" s="461">
        <v>386.79</v>
      </c>
      <c r="E1937" s="461" t="s">
        <v>161</v>
      </c>
      <c r="F1937" s="461" t="s">
        <v>8326</v>
      </c>
    </row>
    <row r="1938" spans="1:6" ht="30" x14ac:dyDescent="0.25">
      <c r="A1938" s="461">
        <v>11558</v>
      </c>
      <c r="B1938" s="460" t="s">
        <v>10136</v>
      </c>
      <c r="C1938" s="461" t="s">
        <v>1111</v>
      </c>
      <c r="D1938" s="461">
        <v>13.26</v>
      </c>
      <c r="E1938" s="461" t="s">
        <v>161</v>
      </c>
      <c r="F1938" s="461" t="s">
        <v>8326</v>
      </c>
    </row>
    <row r="1939" spans="1:6" ht="30" x14ac:dyDescent="0.25">
      <c r="A1939" s="461">
        <v>11557</v>
      </c>
      <c r="B1939" s="460" t="s">
        <v>10137</v>
      </c>
      <c r="C1939" s="461" t="s">
        <v>1111</v>
      </c>
      <c r="D1939" s="461">
        <v>33.57</v>
      </c>
      <c r="E1939" s="461" t="s">
        <v>161</v>
      </c>
      <c r="F1939" s="461" t="s">
        <v>8326</v>
      </c>
    </row>
    <row r="1940" spans="1:6" ht="15" x14ac:dyDescent="0.25">
      <c r="A1940" s="461">
        <v>2759</v>
      </c>
      <c r="B1940" s="460" t="s">
        <v>10138</v>
      </c>
      <c r="C1940" s="461" t="s">
        <v>1104</v>
      </c>
      <c r="D1940" s="461">
        <v>10.68</v>
      </c>
      <c r="E1940" s="461" t="s">
        <v>161</v>
      </c>
      <c r="F1940" s="461" t="s">
        <v>8328</v>
      </c>
    </row>
    <row r="1941" spans="1:6" ht="15" x14ac:dyDescent="0.25">
      <c r="A1941" s="461">
        <v>38124</v>
      </c>
      <c r="B1941" s="460" t="s">
        <v>10139</v>
      </c>
      <c r="C1941" s="461" t="s">
        <v>1104</v>
      </c>
      <c r="D1941" s="461">
        <v>28</v>
      </c>
      <c r="E1941" s="461" t="s">
        <v>161</v>
      </c>
      <c r="F1941" s="461" t="s">
        <v>8333</v>
      </c>
    </row>
    <row r="1942" spans="1:6" ht="15" x14ac:dyDescent="0.25">
      <c r="A1942" s="461">
        <v>38380</v>
      </c>
      <c r="B1942" s="460" t="s">
        <v>13187</v>
      </c>
      <c r="C1942" s="461" t="s">
        <v>1104</v>
      </c>
      <c r="D1942" s="461">
        <v>39.299999999999997</v>
      </c>
      <c r="E1942" s="461" t="s">
        <v>161</v>
      </c>
      <c r="F1942" s="461" t="s">
        <v>8326</v>
      </c>
    </row>
    <row r="1943" spans="1:6" ht="45" x14ac:dyDescent="0.25">
      <c r="A1943" s="461">
        <v>42429</v>
      </c>
      <c r="B1943" s="460" t="s">
        <v>10140</v>
      </c>
      <c r="C1943" s="461" t="s">
        <v>1104</v>
      </c>
      <c r="D1943" s="461">
        <v>6025.1</v>
      </c>
      <c r="E1943" s="461" t="s">
        <v>161</v>
      </c>
      <c r="F1943" s="461" t="s">
        <v>8328</v>
      </c>
    </row>
    <row r="1944" spans="1:6" ht="15" x14ac:dyDescent="0.25">
      <c r="A1944" s="461">
        <v>39616</v>
      </c>
      <c r="B1944" s="460" t="s">
        <v>10141</v>
      </c>
      <c r="C1944" s="461" t="s">
        <v>1104</v>
      </c>
      <c r="D1944" s="461">
        <v>771.27</v>
      </c>
      <c r="E1944" s="461" t="s">
        <v>161</v>
      </c>
      <c r="F1944" s="461" t="s">
        <v>8333</v>
      </c>
    </row>
    <row r="1945" spans="1:6" ht="15" x14ac:dyDescent="0.25">
      <c r="A1945" s="461">
        <v>39618</v>
      </c>
      <c r="B1945" s="460" t="s">
        <v>10142</v>
      </c>
      <c r="C1945" s="461" t="s">
        <v>1104</v>
      </c>
      <c r="D1945" s="461">
        <v>1398.96</v>
      </c>
      <c r="E1945" s="461" t="s">
        <v>161</v>
      </c>
      <c r="F1945" s="461" t="s">
        <v>8326</v>
      </c>
    </row>
    <row r="1946" spans="1:6" ht="15" x14ac:dyDescent="0.25">
      <c r="A1946" s="461">
        <v>39619</v>
      </c>
      <c r="B1946" s="460" t="s">
        <v>10143</v>
      </c>
      <c r="C1946" s="461" t="s">
        <v>1104</v>
      </c>
      <c r="D1946" s="461">
        <v>1916</v>
      </c>
      <c r="E1946" s="461" t="s">
        <v>161</v>
      </c>
      <c r="F1946" s="461" t="s">
        <v>8326</v>
      </c>
    </row>
    <row r="1947" spans="1:6" ht="15" x14ac:dyDescent="0.25">
      <c r="A1947" s="461">
        <v>39613</v>
      </c>
      <c r="B1947" s="460" t="s">
        <v>10144</v>
      </c>
      <c r="C1947" s="461" t="s">
        <v>1104</v>
      </c>
      <c r="D1947" s="461">
        <v>306.37</v>
      </c>
      <c r="E1947" s="461" t="s">
        <v>161</v>
      </c>
      <c r="F1947" s="461" t="s">
        <v>8326</v>
      </c>
    </row>
    <row r="1948" spans="1:6" ht="15" x14ac:dyDescent="0.25">
      <c r="A1948" s="461">
        <v>39614</v>
      </c>
      <c r="B1948" s="460" t="s">
        <v>10145</v>
      </c>
      <c r="C1948" s="461" t="s">
        <v>1104</v>
      </c>
      <c r="D1948" s="511">
        <v>446.96</v>
      </c>
      <c r="E1948" s="461" t="s">
        <v>161</v>
      </c>
      <c r="F1948" s="461" t="s">
        <v>8326</v>
      </c>
    </row>
    <row r="1949" spans="1:6" ht="45" x14ac:dyDescent="0.25">
      <c r="A1949" s="461">
        <v>38538</v>
      </c>
      <c r="B1949" s="460" t="s">
        <v>10146</v>
      </c>
      <c r="C1949" s="461" t="s">
        <v>1107</v>
      </c>
      <c r="D1949" s="461">
        <v>79</v>
      </c>
      <c r="E1949" s="461" t="s">
        <v>161</v>
      </c>
      <c r="F1949" s="461" t="s">
        <v>8328</v>
      </c>
    </row>
    <row r="1950" spans="1:6" ht="45" x14ac:dyDescent="0.25">
      <c r="A1950" s="461">
        <v>38539</v>
      </c>
      <c r="B1950" s="460" t="s">
        <v>10147</v>
      </c>
      <c r="C1950" s="461" t="s">
        <v>1107</v>
      </c>
      <c r="D1950" s="511">
        <v>107.43</v>
      </c>
      <c r="E1950" s="461" t="s">
        <v>161</v>
      </c>
      <c r="F1950" s="461" t="s">
        <v>8328</v>
      </c>
    </row>
    <row r="1951" spans="1:6" ht="45" x14ac:dyDescent="0.25">
      <c r="A1951" s="461">
        <v>38540</v>
      </c>
      <c r="B1951" s="460" t="s">
        <v>10148</v>
      </c>
      <c r="C1951" s="461" t="s">
        <v>1107</v>
      </c>
      <c r="D1951" s="511">
        <v>275.32</v>
      </c>
      <c r="E1951" s="461" t="s">
        <v>161</v>
      </c>
      <c r="F1951" s="461" t="s">
        <v>8328</v>
      </c>
    </row>
    <row r="1952" spans="1:6" ht="15" x14ac:dyDescent="0.25">
      <c r="A1952" s="461">
        <v>38384</v>
      </c>
      <c r="B1952" s="460" t="s">
        <v>10149</v>
      </c>
      <c r="C1952" s="461" t="s">
        <v>1104</v>
      </c>
      <c r="D1952" s="461">
        <v>20.5</v>
      </c>
      <c r="E1952" s="461" t="s">
        <v>161</v>
      </c>
      <c r="F1952" s="461" t="s">
        <v>8326</v>
      </c>
    </row>
    <row r="1953" spans="1:6" ht="15" x14ac:dyDescent="0.25">
      <c r="A1953" s="461">
        <v>13</v>
      </c>
      <c r="B1953" s="460" t="s">
        <v>10150</v>
      </c>
      <c r="C1953" s="461" t="s">
        <v>1108</v>
      </c>
      <c r="D1953" s="461">
        <v>15.73</v>
      </c>
      <c r="E1953" s="461" t="s">
        <v>161</v>
      </c>
      <c r="F1953" s="461" t="s">
        <v>8326</v>
      </c>
    </row>
    <row r="1954" spans="1:6" ht="15" x14ac:dyDescent="0.25">
      <c r="A1954" s="461">
        <v>2762</v>
      </c>
      <c r="B1954" s="460" t="s">
        <v>10151</v>
      </c>
      <c r="C1954" s="461" t="s">
        <v>1107</v>
      </c>
      <c r="D1954" s="461">
        <v>13.35</v>
      </c>
      <c r="E1954" s="461" t="s">
        <v>161</v>
      </c>
      <c r="F1954" s="461" t="s">
        <v>8328</v>
      </c>
    </row>
    <row r="1955" spans="1:6" ht="30" x14ac:dyDescent="0.25">
      <c r="A1955" s="461">
        <v>21142</v>
      </c>
      <c r="B1955" s="460" t="s">
        <v>10152</v>
      </c>
      <c r="C1955" s="461" t="s">
        <v>1104</v>
      </c>
      <c r="D1955" s="461">
        <v>35.82</v>
      </c>
      <c r="E1955" s="461" t="s">
        <v>161</v>
      </c>
      <c r="F1955" s="461" t="s">
        <v>8328</v>
      </c>
    </row>
    <row r="1956" spans="1:6" ht="15" x14ac:dyDescent="0.25">
      <c r="A1956" s="461">
        <v>4223</v>
      </c>
      <c r="B1956" s="460" t="s">
        <v>10153</v>
      </c>
      <c r="C1956" s="461" t="s">
        <v>1109</v>
      </c>
      <c r="D1956" s="461">
        <v>4</v>
      </c>
      <c r="E1956" s="461" t="s">
        <v>161</v>
      </c>
      <c r="F1956" s="461" t="s">
        <v>8333</v>
      </c>
    </row>
    <row r="1957" spans="1:6" ht="15" x14ac:dyDescent="0.25">
      <c r="A1957" s="461">
        <v>37372</v>
      </c>
      <c r="B1957" s="460" t="s">
        <v>10154</v>
      </c>
      <c r="C1957" s="461" t="s">
        <v>1103</v>
      </c>
      <c r="D1957" s="461">
        <v>1.34</v>
      </c>
      <c r="E1957" s="461" t="s">
        <v>161</v>
      </c>
      <c r="F1957" s="461" t="s">
        <v>8333</v>
      </c>
    </row>
    <row r="1958" spans="1:6" ht="15" x14ac:dyDescent="0.25">
      <c r="A1958" s="461">
        <v>40863</v>
      </c>
      <c r="B1958" s="460" t="s">
        <v>10155</v>
      </c>
      <c r="C1958" s="461" t="s">
        <v>1110</v>
      </c>
      <c r="D1958" s="461">
        <v>252.08</v>
      </c>
      <c r="E1958" s="461" t="s">
        <v>4455</v>
      </c>
      <c r="F1958" s="461" t="s">
        <v>8333</v>
      </c>
    </row>
    <row r="1959" spans="1:6" ht="15" x14ac:dyDescent="0.25">
      <c r="A1959" s="461">
        <v>38475</v>
      </c>
      <c r="B1959" s="460" t="s">
        <v>10156</v>
      </c>
      <c r="C1959" s="461" t="s">
        <v>1104</v>
      </c>
      <c r="D1959" s="461">
        <v>31.66</v>
      </c>
      <c r="E1959" s="461" t="s">
        <v>161</v>
      </c>
      <c r="F1959" s="461" t="s">
        <v>8326</v>
      </c>
    </row>
    <row r="1960" spans="1:6" ht="15" x14ac:dyDescent="0.25">
      <c r="A1960" s="461">
        <v>38474</v>
      </c>
      <c r="B1960" s="460" t="s">
        <v>10157</v>
      </c>
      <c r="C1960" s="461" t="s">
        <v>1104</v>
      </c>
      <c r="D1960" s="461">
        <v>39.130000000000003</v>
      </c>
      <c r="E1960" s="461" t="s">
        <v>161</v>
      </c>
      <c r="F1960" s="461" t="s">
        <v>8326</v>
      </c>
    </row>
    <row r="1961" spans="1:6" ht="30" x14ac:dyDescent="0.25">
      <c r="A1961" s="461">
        <v>10886</v>
      </c>
      <c r="B1961" s="460" t="s">
        <v>10158</v>
      </c>
      <c r="C1961" s="461" t="s">
        <v>1104</v>
      </c>
      <c r="D1961" s="461">
        <v>196.87</v>
      </c>
      <c r="E1961" s="461" t="s">
        <v>161</v>
      </c>
      <c r="F1961" s="461" t="s">
        <v>8326</v>
      </c>
    </row>
    <row r="1962" spans="1:6" ht="30" x14ac:dyDescent="0.25">
      <c r="A1962" s="461">
        <v>10888</v>
      </c>
      <c r="B1962" s="460" t="s">
        <v>10159</v>
      </c>
      <c r="C1962" s="461" t="s">
        <v>1104</v>
      </c>
      <c r="D1962" s="461">
        <v>623.07000000000005</v>
      </c>
      <c r="E1962" s="461" t="s">
        <v>161</v>
      </c>
      <c r="F1962" s="461" t="s">
        <v>8326</v>
      </c>
    </row>
    <row r="1963" spans="1:6" ht="30" x14ac:dyDescent="0.25">
      <c r="A1963" s="461">
        <v>10889</v>
      </c>
      <c r="B1963" s="460" t="s">
        <v>10160</v>
      </c>
      <c r="C1963" s="461" t="s">
        <v>1104</v>
      </c>
      <c r="D1963" s="461">
        <v>675</v>
      </c>
      <c r="E1963" s="461" t="s">
        <v>161</v>
      </c>
      <c r="F1963" s="461" t="s">
        <v>8326</v>
      </c>
    </row>
    <row r="1964" spans="1:6" ht="30" x14ac:dyDescent="0.25">
      <c r="A1964" s="461">
        <v>10890</v>
      </c>
      <c r="B1964" s="460" t="s">
        <v>10161</v>
      </c>
      <c r="C1964" s="461" t="s">
        <v>1104</v>
      </c>
      <c r="D1964" s="461">
        <v>311.52999999999997</v>
      </c>
      <c r="E1964" s="461" t="s">
        <v>161</v>
      </c>
      <c r="F1964" s="461" t="s">
        <v>8326</v>
      </c>
    </row>
    <row r="1965" spans="1:6" ht="30" x14ac:dyDescent="0.25">
      <c r="A1965" s="461">
        <v>10891</v>
      </c>
      <c r="B1965" s="460" t="s">
        <v>10162</v>
      </c>
      <c r="C1965" s="461" t="s">
        <v>1104</v>
      </c>
      <c r="D1965" s="461">
        <v>190.38</v>
      </c>
      <c r="E1965" s="461" t="s">
        <v>161</v>
      </c>
      <c r="F1965" s="461" t="s">
        <v>8326</v>
      </c>
    </row>
    <row r="1966" spans="1:6" ht="30" x14ac:dyDescent="0.25">
      <c r="A1966" s="461">
        <v>10892</v>
      </c>
      <c r="B1966" s="460" t="s">
        <v>10163</v>
      </c>
      <c r="C1966" s="461" t="s">
        <v>1104</v>
      </c>
      <c r="D1966" s="461">
        <v>225</v>
      </c>
      <c r="E1966" s="461" t="s">
        <v>161</v>
      </c>
      <c r="F1966" s="461" t="s">
        <v>8333</v>
      </c>
    </row>
    <row r="1967" spans="1:6" ht="30" x14ac:dyDescent="0.25">
      <c r="A1967" s="461">
        <v>20977</v>
      </c>
      <c r="B1967" s="460" t="s">
        <v>10164</v>
      </c>
      <c r="C1967" s="461" t="s">
        <v>1104</v>
      </c>
      <c r="D1967" s="461">
        <v>268.26</v>
      </c>
      <c r="E1967" s="461" t="s">
        <v>161</v>
      </c>
      <c r="F1967" s="461" t="s">
        <v>8326</v>
      </c>
    </row>
    <row r="1968" spans="1:6" ht="15" x14ac:dyDescent="0.25">
      <c r="A1968" s="461">
        <v>3073</v>
      </c>
      <c r="B1968" s="460" t="s">
        <v>10165</v>
      </c>
      <c r="C1968" s="461" t="s">
        <v>1104</v>
      </c>
      <c r="D1968" s="461">
        <v>161.83000000000001</v>
      </c>
      <c r="E1968" s="461" t="s">
        <v>161</v>
      </c>
      <c r="F1968" s="461" t="s">
        <v>8328</v>
      </c>
    </row>
    <row r="1969" spans="1:6" ht="15" x14ac:dyDescent="0.25">
      <c r="A1969" s="461">
        <v>3074</v>
      </c>
      <c r="B1969" s="460" t="s">
        <v>10166</v>
      </c>
      <c r="C1969" s="461" t="s">
        <v>1104</v>
      </c>
      <c r="D1969" s="461">
        <v>102.16</v>
      </c>
      <c r="E1969" s="461" t="s">
        <v>161</v>
      </c>
      <c r="F1969" s="461" t="s">
        <v>8328</v>
      </c>
    </row>
    <row r="1970" spans="1:6" ht="15" x14ac:dyDescent="0.25">
      <c r="A1970" s="461">
        <v>3076</v>
      </c>
      <c r="B1970" s="460" t="s">
        <v>10167</v>
      </c>
      <c r="C1970" s="461" t="s">
        <v>1104</v>
      </c>
      <c r="D1970" s="461">
        <v>133.04</v>
      </c>
      <c r="E1970" s="461" t="s">
        <v>161</v>
      </c>
      <c r="F1970" s="461" t="s">
        <v>8328</v>
      </c>
    </row>
    <row r="1971" spans="1:6" ht="15" x14ac:dyDescent="0.25">
      <c r="A1971" s="461">
        <v>3075</v>
      </c>
      <c r="B1971" s="460" t="s">
        <v>10168</v>
      </c>
      <c r="C1971" s="461" t="s">
        <v>1104</v>
      </c>
      <c r="D1971" s="461">
        <v>84.07</v>
      </c>
      <c r="E1971" s="461" t="s">
        <v>161</v>
      </c>
      <c r="F1971" s="461" t="s">
        <v>8328</v>
      </c>
    </row>
    <row r="1972" spans="1:6" ht="30" x14ac:dyDescent="0.25">
      <c r="A1972" s="461">
        <v>10781</v>
      </c>
      <c r="B1972" s="460" t="s">
        <v>10169</v>
      </c>
      <c r="C1972" s="461" t="s">
        <v>1104</v>
      </c>
      <c r="D1972" s="461">
        <v>11.4</v>
      </c>
      <c r="E1972" s="461" t="s">
        <v>161</v>
      </c>
      <c r="F1972" s="461" t="s">
        <v>8328</v>
      </c>
    </row>
    <row r="1973" spans="1:6" ht="45" x14ac:dyDescent="0.25">
      <c r="A1973" s="461">
        <v>43612</v>
      </c>
      <c r="B1973" s="460" t="s">
        <v>10170</v>
      </c>
      <c r="C1973" s="461" t="s">
        <v>1115</v>
      </c>
      <c r="D1973" s="461">
        <v>107.8</v>
      </c>
      <c r="E1973" s="461" t="s">
        <v>161</v>
      </c>
      <c r="F1973" s="461" t="s">
        <v>8326</v>
      </c>
    </row>
    <row r="1974" spans="1:6" ht="45" x14ac:dyDescent="0.25">
      <c r="A1974" s="461">
        <v>43613</v>
      </c>
      <c r="B1974" s="460" t="s">
        <v>10171</v>
      </c>
      <c r="C1974" s="461" t="s">
        <v>1115</v>
      </c>
      <c r="D1974" s="461">
        <v>89.24</v>
      </c>
      <c r="E1974" s="461" t="s">
        <v>161</v>
      </c>
      <c r="F1974" s="461" t="s">
        <v>8326</v>
      </c>
    </row>
    <row r="1975" spans="1:6" ht="30" x14ac:dyDescent="0.25">
      <c r="A1975" s="461">
        <v>11480</v>
      </c>
      <c r="B1975" s="460" t="s">
        <v>10172</v>
      </c>
      <c r="C1975" s="461" t="s">
        <v>1115</v>
      </c>
      <c r="D1975" s="461">
        <v>136.96</v>
      </c>
      <c r="E1975" s="461" t="s">
        <v>161</v>
      </c>
      <c r="F1975" s="461" t="s">
        <v>8326</v>
      </c>
    </row>
    <row r="1976" spans="1:6" ht="45" x14ac:dyDescent="0.25">
      <c r="A1976" s="461">
        <v>11469</v>
      </c>
      <c r="B1976" s="460" t="s">
        <v>10173</v>
      </c>
      <c r="C1976" s="461" t="s">
        <v>1104</v>
      </c>
      <c r="D1976" s="461">
        <v>14.62</v>
      </c>
      <c r="E1976" s="461" t="s">
        <v>161</v>
      </c>
      <c r="F1976" s="461" t="s">
        <v>8326</v>
      </c>
    </row>
    <row r="1977" spans="1:6" ht="30" x14ac:dyDescent="0.25">
      <c r="A1977" s="461">
        <v>11468</v>
      </c>
      <c r="B1977" s="460" t="s">
        <v>10174</v>
      </c>
      <c r="C1977" s="461" t="s">
        <v>1104</v>
      </c>
      <c r="D1977" s="461">
        <v>14.63</v>
      </c>
      <c r="E1977" s="461" t="s">
        <v>161</v>
      </c>
      <c r="F1977" s="461" t="s">
        <v>8326</v>
      </c>
    </row>
    <row r="1978" spans="1:6" ht="30" x14ac:dyDescent="0.25">
      <c r="A1978" s="461">
        <v>11484</v>
      </c>
      <c r="B1978" s="460" t="s">
        <v>10175</v>
      </c>
      <c r="C1978" s="461" t="s">
        <v>1104</v>
      </c>
      <c r="D1978" s="461">
        <v>64.25</v>
      </c>
      <c r="E1978" s="461" t="s">
        <v>161</v>
      </c>
      <c r="F1978" s="461" t="s">
        <v>8326</v>
      </c>
    </row>
    <row r="1979" spans="1:6" ht="30" x14ac:dyDescent="0.25">
      <c r="A1979" s="461">
        <v>38155</v>
      </c>
      <c r="B1979" s="460" t="s">
        <v>10176</v>
      </c>
      <c r="C1979" s="461" t="s">
        <v>1104</v>
      </c>
      <c r="D1979" s="461">
        <v>99.76</v>
      </c>
      <c r="E1979" s="461" t="s">
        <v>161</v>
      </c>
      <c r="F1979" s="461" t="s">
        <v>8326</v>
      </c>
    </row>
    <row r="1980" spans="1:6" ht="30" x14ac:dyDescent="0.25">
      <c r="A1980" s="461">
        <v>11467</v>
      </c>
      <c r="B1980" s="460" t="s">
        <v>10177</v>
      </c>
      <c r="C1980" s="461" t="s">
        <v>1104</v>
      </c>
      <c r="D1980" s="461">
        <v>22.79</v>
      </c>
      <c r="E1980" s="461" t="s">
        <v>161</v>
      </c>
      <c r="F1980" s="461" t="s">
        <v>8326</v>
      </c>
    </row>
    <row r="1981" spans="1:6" ht="45" x14ac:dyDescent="0.25">
      <c r="A1981" s="461">
        <v>38153</v>
      </c>
      <c r="B1981" s="460" t="s">
        <v>10178</v>
      </c>
      <c r="C1981" s="461" t="s">
        <v>1115</v>
      </c>
      <c r="D1981" s="461">
        <v>58.23</v>
      </c>
      <c r="E1981" s="461" t="s">
        <v>161</v>
      </c>
      <c r="F1981" s="461" t="s">
        <v>8326</v>
      </c>
    </row>
    <row r="1982" spans="1:6" ht="60" x14ac:dyDescent="0.25">
      <c r="A1982" s="461">
        <v>43607</v>
      </c>
      <c r="B1982" s="460" t="s">
        <v>13188</v>
      </c>
      <c r="C1982" s="461" t="s">
        <v>1115</v>
      </c>
      <c r="D1982" s="461">
        <v>110.13</v>
      </c>
      <c r="E1982" s="461" t="s">
        <v>161</v>
      </c>
      <c r="F1982" s="461" t="s">
        <v>8326</v>
      </c>
    </row>
    <row r="1983" spans="1:6" ht="45" x14ac:dyDescent="0.25">
      <c r="A1983" s="461">
        <v>3080</v>
      </c>
      <c r="B1983" s="460" t="s">
        <v>10179</v>
      </c>
      <c r="C1983" s="461" t="s">
        <v>1115</v>
      </c>
      <c r="D1983" s="461">
        <v>74.05</v>
      </c>
      <c r="E1983" s="461" t="s">
        <v>161</v>
      </c>
      <c r="F1983" s="461" t="s">
        <v>8333</v>
      </c>
    </row>
    <row r="1984" spans="1:6" ht="45" x14ac:dyDescent="0.25">
      <c r="A1984" s="461">
        <v>3081</v>
      </c>
      <c r="B1984" s="460" t="s">
        <v>10180</v>
      </c>
      <c r="C1984" s="461" t="s">
        <v>1115</v>
      </c>
      <c r="D1984" s="461">
        <v>146.5</v>
      </c>
      <c r="E1984" s="461" t="s">
        <v>161</v>
      </c>
      <c r="F1984" s="461" t="s">
        <v>8326</v>
      </c>
    </row>
    <row r="1985" spans="1:6" ht="45" x14ac:dyDescent="0.25">
      <c r="A1985" s="461">
        <v>3090</v>
      </c>
      <c r="B1985" s="460" t="s">
        <v>10181</v>
      </c>
      <c r="C1985" s="461" t="s">
        <v>1115</v>
      </c>
      <c r="D1985" s="461">
        <v>66.09</v>
      </c>
      <c r="E1985" s="461" t="s">
        <v>161</v>
      </c>
      <c r="F1985" s="461" t="s">
        <v>8326</v>
      </c>
    </row>
    <row r="1986" spans="1:6" ht="45" x14ac:dyDescent="0.25">
      <c r="A1986" s="461">
        <v>43611</v>
      </c>
      <c r="B1986" s="460" t="s">
        <v>10182</v>
      </c>
      <c r="C1986" s="461" t="s">
        <v>1115</v>
      </c>
      <c r="D1986" s="461">
        <v>109.67</v>
      </c>
      <c r="E1986" s="461" t="s">
        <v>161</v>
      </c>
      <c r="F1986" s="461" t="s">
        <v>8326</v>
      </c>
    </row>
    <row r="1987" spans="1:6" ht="45" x14ac:dyDescent="0.25">
      <c r="A1987" s="461">
        <v>3103</v>
      </c>
      <c r="B1987" s="460" t="s">
        <v>10183</v>
      </c>
      <c r="C1987" s="461" t="s">
        <v>1104</v>
      </c>
      <c r="D1987" s="461">
        <v>54.8</v>
      </c>
      <c r="E1987" s="461" t="s">
        <v>161</v>
      </c>
      <c r="F1987" s="461" t="s">
        <v>8326</v>
      </c>
    </row>
    <row r="1988" spans="1:6" ht="60" x14ac:dyDescent="0.25">
      <c r="A1988" s="461">
        <v>3097</v>
      </c>
      <c r="B1988" s="460" t="s">
        <v>10184</v>
      </c>
      <c r="C1988" s="461" t="s">
        <v>1115</v>
      </c>
      <c r="D1988" s="461">
        <v>82.91</v>
      </c>
      <c r="E1988" s="461" t="s">
        <v>161</v>
      </c>
      <c r="F1988" s="461" t="s">
        <v>8326</v>
      </c>
    </row>
    <row r="1989" spans="1:6" ht="60" x14ac:dyDescent="0.25">
      <c r="A1989" s="461">
        <v>3099</v>
      </c>
      <c r="B1989" s="460" t="s">
        <v>10185</v>
      </c>
      <c r="C1989" s="461" t="s">
        <v>1115</v>
      </c>
      <c r="D1989" s="461">
        <v>132.75</v>
      </c>
      <c r="E1989" s="461" t="s">
        <v>161</v>
      </c>
      <c r="F1989" s="461" t="s">
        <v>8326</v>
      </c>
    </row>
    <row r="1990" spans="1:6" ht="45" x14ac:dyDescent="0.25">
      <c r="A1990" s="461">
        <v>38151</v>
      </c>
      <c r="B1990" s="460" t="s">
        <v>10186</v>
      </c>
      <c r="C1990" s="461" t="s">
        <v>1115</v>
      </c>
      <c r="D1990" s="461">
        <v>96.24</v>
      </c>
      <c r="E1990" s="461" t="s">
        <v>161</v>
      </c>
      <c r="F1990" s="461" t="s">
        <v>8326</v>
      </c>
    </row>
    <row r="1991" spans="1:6" ht="45" x14ac:dyDescent="0.25">
      <c r="A1991" s="461">
        <v>38152</v>
      </c>
      <c r="B1991" s="460" t="s">
        <v>10187</v>
      </c>
      <c r="C1991" s="461" t="s">
        <v>1115</v>
      </c>
      <c r="D1991" s="461">
        <v>155.25</v>
      </c>
      <c r="E1991" s="461" t="s">
        <v>161</v>
      </c>
      <c r="F1991" s="461" t="s">
        <v>8326</v>
      </c>
    </row>
    <row r="1992" spans="1:6" ht="60" x14ac:dyDescent="0.25">
      <c r="A1992" s="461">
        <v>43610</v>
      </c>
      <c r="B1992" s="460" t="s">
        <v>10188</v>
      </c>
      <c r="C1992" s="461" t="s">
        <v>1115</v>
      </c>
      <c r="D1992" s="461">
        <v>82.26</v>
      </c>
      <c r="E1992" s="461" t="s">
        <v>161</v>
      </c>
      <c r="F1992" s="461" t="s">
        <v>8326</v>
      </c>
    </row>
    <row r="1993" spans="1:6" ht="45" x14ac:dyDescent="0.25">
      <c r="A1993" s="461">
        <v>3093</v>
      </c>
      <c r="B1993" s="460" t="s">
        <v>10189</v>
      </c>
      <c r="C1993" s="461" t="s">
        <v>1115</v>
      </c>
      <c r="D1993" s="461">
        <v>132.75</v>
      </c>
      <c r="E1993" s="461" t="s">
        <v>161</v>
      </c>
      <c r="F1993" s="461" t="s">
        <v>8326</v>
      </c>
    </row>
    <row r="1994" spans="1:6" ht="30" x14ac:dyDescent="0.25">
      <c r="A1994" s="461">
        <v>38165</v>
      </c>
      <c r="B1994" s="460" t="s">
        <v>10190</v>
      </c>
      <c r="C1994" s="461" t="s">
        <v>1115</v>
      </c>
      <c r="D1994" s="461">
        <v>63.8</v>
      </c>
      <c r="E1994" s="461" t="s">
        <v>161</v>
      </c>
      <c r="F1994" s="461" t="s">
        <v>8326</v>
      </c>
    </row>
    <row r="1995" spans="1:6" ht="30" x14ac:dyDescent="0.25">
      <c r="A1995" s="461">
        <v>38177</v>
      </c>
      <c r="B1995" s="460" t="s">
        <v>10191</v>
      </c>
      <c r="C1995" s="461" t="s">
        <v>1104</v>
      </c>
      <c r="D1995" s="461">
        <v>18.96</v>
      </c>
      <c r="E1995" s="461" t="s">
        <v>161</v>
      </c>
      <c r="F1995" s="461" t="s">
        <v>8326</v>
      </c>
    </row>
    <row r="1996" spans="1:6" ht="30" x14ac:dyDescent="0.25">
      <c r="A1996" s="461">
        <v>11458</v>
      </c>
      <c r="B1996" s="460" t="s">
        <v>10192</v>
      </c>
      <c r="C1996" s="461" t="s">
        <v>1104</v>
      </c>
      <c r="D1996" s="461">
        <v>22.63</v>
      </c>
      <c r="E1996" s="461" t="s">
        <v>161</v>
      </c>
      <c r="F1996" s="461" t="s">
        <v>8326</v>
      </c>
    </row>
    <row r="1997" spans="1:6" ht="45" x14ac:dyDescent="0.25">
      <c r="A1997" s="461">
        <v>3108</v>
      </c>
      <c r="B1997" s="460" t="s">
        <v>10193</v>
      </c>
      <c r="C1997" s="461" t="s">
        <v>1104</v>
      </c>
      <c r="D1997" s="461">
        <v>96.21</v>
      </c>
      <c r="E1997" s="461" t="s">
        <v>161</v>
      </c>
      <c r="F1997" s="461" t="s">
        <v>8326</v>
      </c>
    </row>
    <row r="1998" spans="1:6" ht="45" x14ac:dyDescent="0.25">
      <c r="A1998" s="461">
        <v>3105</v>
      </c>
      <c r="B1998" s="460" t="s">
        <v>10194</v>
      </c>
      <c r="C1998" s="461" t="s">
        <v>1104</v>
      </c>
      <c r="D1998" s="461">
        <v>125.84</v>
      </c>
      <c r="E1998" s="461" t="s">
        <v>161</v>
      </c>
      <c r="F1998" s="461" t="s">
        <v>8326</v>
      </c>
    </row>
    <row r="1999" spans="1:6" ht="45" x14ac:dyDescent="0.25">
      <c r="A1999" s="461">
        <v>38178</v>
      </c>
      <c r="B1999" s="460" t="s">
        <v>10195</v>
      </c>
      <c r="C1999" s="461" t="s">
        <v>1104</v>
      </c>
      <c r="D1999" s="461">
        <v>20.86</v>
      </c>
      <c r="E1999" s="461" t="s">
        <v>161</v>
      </c>
      <c r="F1999" s="461" t="s">
        <v>8326</v>
      </c>
    </row>
    <row r="2000" spans="1:6" ht="45" x14ac:dyDescent="0.25">
      <c r="A2000" s="461">
        <v>43575</v>
      </c>
      <c r="B2000" s="460" t="s">
        <v>10196</v>
      </c>
      <c r="C2000" s="461" t="s">
        <v>1104</v>
      </c>
      <c r="D2000" s="461">
        <v>45.19</v>
      </c>
      <c r="E2000" s="461" t="s">
        <v>161</v>
      </c>
      <c r="F2000" s="461" t="s">
        <v>8326</v>
      </c>
    </row>
    <row r="2001" spans="1:6" ht="45" x14ac:dyDescent="0.25">
      <c r="A2001" s="461">
        <v>43577</v>
      </c>
      <c r="B2001" s="460" t="s">
        <v>10197</v>
      </c>
      <c r="C2001" s="461" t="s">
        <v>1104</v>
      </c>
      <c r="D2001" s="461">
        <v>78.569999999999993</v>
      </c>
      <c r="E2001" s="461" t="s">
        <v>161</v>
      </c>
      <c r="F2001" s="461" t="s">
        <v>8326</v>
      </c>
    </row>
    <row r="2002" spans="1:6" ht="30" x14ac:dyDescent="0.25">
      <c r="A2002" s="461">
        <v>43458</v>
      </c>
      <c r="B2002" s="460" t="s">
        <v>10198</v>
      </c>
      <c r="C2002" s="461" t="s">
        <v>1103</v>
      </c>
      <c r="D2002" s="461">
        <v>0.06</v>
      </c>
      <c r="E2002" s="461" t="s">
        <v>1497</v>
      </c>
      <c r="F2002" s="461" t="s">
        <v>8333</v>
      </c>
    </row>
    <row r="2003" spans="1:6" ht="30" x14ac:dyDescent="0.25">
      <c r="A2003" s="461">
        <v>43470</v>
      </c>
      <c r="B2003" s="460" t="s">
        <v>10199</v>
      </c>
      <c r="C2003" s="461" t="s">
        <v>1110</v>
      </c>
      <c r="D2003" s="461">
        <v>10.89</v>
      </c>
      <c r="E2003" s="461" t="s">
        <v>1497</v>
      </c>
      <c r="F2003" s="461" t="s">
        <v>8333</v>
      </c>
    </row>
    <row r="2004" spans="1:6" ht="30" x14ac:dyDescent="0.25">
      <c r="A2004" s="461">
        <v>43459</v>
      </c>
      <c r="B2004" s="460" t="s">
        <v>10200</v>
      </c>
      <c r="C2004" s="461" t="s">
        <v>1103</v>
      </c>
      <c r="D2004" s="461">
        <v>0.49</v>
      </c>
      <c r="E2004" s="461" t="s">
        <v>1497</v>
      </c>
      <c r="F2004" s="461" t="s">
        <v>8333</v>
      </c>
    </row>
    <row r="2005" spans="1:6" ht="30" x14ac:dyDescent="0.25">
      <c r="A2005" s="461">
        <v>43471</v>
      </c>
      <c r="B2005" s="460" t="s">
        <v>10201</v>
      </c>
      <c r="C2005" s="461" t="s">
        <v>1110</v>
      </c>
      <c r="D2005" s="461">
        <v>92.26</v>
      </c>
      <c r="E2005" s="461" t="s">
        <v>1497</v>
      </c>
      <c r="F2005" s="461" t="s">
        <v>8333</v>
      </c>
    </row>
    <row r="2006" spans="1:6" ht="30" x14ac:dyDescent="0.25">
      <c r="A2006" s="461">
        <v>43460</v>
      </c>
      <c r="B2006" s="460" t="s">
        <v>10202</v>
      </c>
      <c r="C2006" s="461" t="s">
        <v>1103</v>
      </c>
      <c r="D2006" s="461">
        <v>0.85</v>
      </c>
      <c r="E2006" s="461" t="s">
        <v>1497</v>
      </c>
      <c r="F2006" s="461" t="s">
        <v>8333</v>
      </c>
    </row>
    <row r="2007" spans="1:6" ht="30" x14ac:dyDescent="0.25">
      <c r="A2007" s="461">
        <v>43472</v>
      </c>
      <c r="B2007" s="460" t="s">
        <v>10203</v>
      </c>
      <c r="C2007" s="461" t="s">
        <v>1110</v>
      </c>
      <c r="D2007" s="461">
        <v>159.72999999999999</v>
      </c>
      <c r="E2007" s="461" t="s">
        <v>1497</v>
      </c>
      <c r="F2007" s="461" t="s">
        <v>8333</v>
      </c>
    </row>
    <row r="2008" spans="1:6" ht="30" x14ac:dyDescent="0.25">
      <c r="A2008" s="461">
        <v>43461</v>
      </c>
      <c r="B2008" s="460" t="s">
        <v>10204</v>
      </c>
      <c r="C2008" s="461" t="s">
        <v>1103</v>
      </c>
      <c r="D2008" s="461">
        <v>0.31</v>
      </c>
      <c r="E2008" s="461" t="s">
        <v>1497</v>
      </c>
      <c r="F2008" s="461" t="s">
        <v>8333</v>
      </c>
    </row>
    <row r="2009" spans="1:6" ht="30" x14ac:dyDescent="0.25">
      <c r="A2009" s="461">
        <v>43473</v>
      </c>
      <c r="B2009" s="460" t="s">
        <v>10205</v>
      </c>
      <c r="C2009" s="461" t="s">
        <v>1110</v>
      </c>
      <c r="D2009" s="461">
        <v>59.28</v>
      </c>
      <c r="E2009" s="461" t="s">
        <v>1497</v>
      </c>
      <c r="F2009" s="461" t="s">
        <v>8333</v>
      </c>
    </row>
    <row r="2010" spans="1:6" ht="30" x14ac:dyDescent="0.25">
      <c r="A2010" s="461">
        <v>43463</v>
      </c>
      <c r="B2010" s="460" t="s">
        <v>10206</v>
      </c>
      <c r="C2010" s="461" t="s">
        <v>1103</v>
      </c>
      <c r="D2010" s="461">
        <v>0.1</v>
      </c>
      <c r="E2010" s="461" t="s">
        <v>1497</v>
      </c>
      <c r="F2010" s="461" t="s">
        <v>8333</v>
      </c>
    </row>
    <row r="2011" spans="1:6" ht="30" x14ac:dyDescent="0.25">
      <c r="A2011" s="461">
        <v>43475</v>
      </c>
      <c r="B2011" s="460" t="s">
        <v>10207</v>
      </c>
      <c r="C2011" s="461" t="s">
        <v>1110</v>
      </c>
      <c r="D2011" s="461">
        <v>18.73</v>
      </c>
      <c r="E2011" s="461" t="s">
        <v>1497</v>
      </c>
      <c r="F2011" s="461" t="s">
        <v>8333</v>
      </c>
    </row>
    <row r="2012" spans="1:6" ht="30" x14ac:dyDescent="0.25">
      <c r="A2012" s="461">
        <v>43462</v>
      </c>
      <c r="B2012" s="460" t="s">
        <v>10208</v>
      </c>
      <c r="C2012" s="461" t="s">
        <v>1103</v>
      </c>
      <c r="D2012" s="461">
        <v>0.01</v>
      </c>
      <c r="E2012" s="461" t="s">
        <v>1497</v>
      </c>
      <c r="F2012" s="461" t="s">
        <v>8333</v>
      </c>
    </row>
    <row r="2013" spans="1:6" ht="30" x14ac:dyDescent="0.25">
      <c r="A2013" s="461">
        <v>43474</v>
      </c>
      <c r="B2013" s="460" t="s">
        <v>10209</v>
      </c>
      <c r="C2013" s="461" t="s">
        <v>1110</v>
      </c>
      <c r="D2013" s="461">
        <v>2.29</v>
      </c>
      <c r="E2013" s="461" t="s">
        <v>1497</v>
      </c>
      <c r="F2013" s="461" t="s">
        <v>8333</v>
      </c>
    </row>
    <row r="2014" spans="1:6" ht="30" x14ac:dyDescent="0.25">
      <c r="A2014" s="461">
        <v>43464</v>
      </c>
      <c r="B2014" s="460" t="s">
        <v>10210</v>
      </c>
      <c r="C2014" s="461" t="s">
        <v>1103</v>
      </c>
      <c r="D2014" s="461">
        <v>0.01</v>
      </c>
      <c r="E2014" s="461" t="s">
        <v>1497</v>
      </c>
      <c r="F2014" s="461" t="s">
        <v>8333</v>
      </c>
    </row>
    <row r="2015" spans="1:6" ht="30" x14ac:dyDescent="0.25">
      <c r="A2015" s="461">
        <v>43476</v>
      </c>
      <c r="B2015" s="460" t="s">
        <v>10211</v>
      </c>
      <c r="C2015" s="461" t="s">
        <v>1110</v>
      </c>
      <c r="D2015" s="461">
        <v>0.01</v>
      </c>
      <c r="E2015" s="461" t="s">
        <v>1497</v>
      </c>
      <c r="F2015" s="461" t="s">
        <v>8333</v>
      </c>
    </row>
    <row r="2016" spans="1:6" ht="30" x14ac:dyDescent="0.25">
      <c r="A2016" s="461">
        <v>43465</v>
      </c>
      <c r="B2016" s="460" t="s">
        <v>10212</v>
      </c>
      <c r="C2016" s="461" t="s">
        <v>1103</v>
      </c>
      <c r="D2016" s="461">
        <v>0.82</v>
      </c>
      <c r="E2016" s="461" t="s">
        <v>1497</v>
      </c>
      <c r="F2016" s="461" t="s">
        <v>8333</v>
      </c>
    </row>
    <row r="2017" spans="1:6" ht="30" x14ac:dyDescent="0.25">
      <c r="A2017" s="461">
        <v>43477</v>
      </c>
      <c r="B2017" s="460" t="s">
        <v>10213</v>
      </c>
      <c r="C2017" s="461" t="s">
        <v>1110</v>
      </c>
      <c r="D2017" s="461">
        <v>155.21</v>
      </c>
      <c r="E2017" s="461" t="s">
        <v>1497</v>
      </c>
      <c r="F2017" s="461" t="s">
        <v>8333</v>
      </c>
    </row>
    <row r="2018" spans="1:6" ht="30" x14ac:dyDescent="0.25">
      <c r="A2018" s="461">
        <v>43466</v>
      </c>
      <c r="B2018" s="460" t="s">
        <v>10214</v>
      </c>
      <c r="C2018" s="461" t="s">
        <v>1103</v>
      </c>
      <c r="D2018" s="461">
        <v>1.97</v>
      </c>
      <c r="E2018" s="461" t="s">
        <v>1497</v>
      </c>
      <c r="F2018" s="461" t="s">
        <v>8333</v>
      </c>
    </row>
    <row r="2019" spans="1:6" ht="30" x14ac:dyDescent="0.25">
      <c r="A2019" s="461">
        <v>43478</v>
      </c>
      <c r="B2019" s="460" t="s">
        <v>10215</v>
      </c>
      <c r="C2019" s="461" t="s">
        <v>1110</v>
      </c>
      <c r="D2019" s="461">
        <v>371.21</v>
      </c>
      <c r="E2019" s="461" t="s">
        <v>1497</v>
      </c>
      <c r="F2019" s="461" t="s">
        <v>8333</v>
      </c>
    </row>
    <row r="2020" spans="1:6" ht="30" x14ac:dyDescent="0.25">
      <c r="A2020" s="461">
        <v>43467</v>
      </c>
      <c r="B2020" s="460" t="s">
        <v>10216</v>
      </c>
      <c r="C2020" s="461" t="s">
        <v>1103</v>
      </c>
      <c r="D2020" s="461">
        <v>0.61</v>
      </c>
      <c r="E2020" s="461" t="s">
        <v>1497</v>
      </c>
      <c r="F2020" s="461" t="s">
        <v>8333</v>
      </c>
    </row>
    <row r="2021" spans="1:6" ht="30" x14ac:dyDescent="0.25">
      <c r="A2021" s="461">
        <v>43479</v>
      </c>
      <c r="B2021" s="460" t="s">
        <v>10217</v>
      </c>
      <c r="C2021" s="461" t="s">
        <v>1110</v>
      </c>
      <c r="D2021" s="461">
        <v>114.72</v>
      </c>
      <c r="E2021" s="461" t="s">
        <v>1497</v>
      </c>
      <c r="F2021" s="461" t="s">
        <v>8333</v>
      </c>
    </row>
    <row r="2022" spans="1:6" ht="30" x14ac:dyDescent="0.25">
      <c r="A2022" s="461">
        <v>43468</v>
      </c>
      <c r="B2022" s="460" t="s">
        <v>10218</v>
      </c>
      <c r="C2022" s="461" t="s">
        <v>1103</v>
      </c>
      <c r="D2022" s="461">
        <v>1.23</v>
      </c>
      <c r="E2022" s="461" t="s">
        <v>1497</v>
      </c>
      <c r="F2022" s="461" t="s">
        <v>8333</v>
      </c>
    </row>
    <row r="2023" spans="1:6" ht="30" x14ac:dyDescent="0.25">
      <c r="A2023" s="461">
        <v>43480</v>
      </c>
      <c r="B2023" s="460" t="s">
        <v>10219</v>
      </c>
      <c r="C2023" s="461" t="s">
        <v>1110</v>
      </c>
      <c r="D2023" s="461">
        <v>232.31</v>
      </c>
      <c r="E2023" s="461" t="s">
        <v>1497</v>
      </c>
      <c r="F2023" s="461" t="s">
        <v>8333</v>
      </c>
    </row>
    <row r="2024" spans="1:6" ht="30" x14ac:dyDescent="0.25">
      <c r="A2024" s="461">
        <v>43469</v>
      </c>
      <c r="B2024" s="460" t="s">
        <v>10220</v>
      </c>
      <c r="C2024" s="461" t="s">
        <v>1103</v>
      </c>
      <c r="D2024" s="461">
        <v>7.0000000000000007E-2</v>
      </c>
      <c r="E2024" s="461" t="s">
        <v>1497</v>
      </c>
      <c r="F2024" s="461" t="s">
        <v>8333</v>
      </c>
    </row>
    <row r="2025" spans="1:6" ht="30" x14ac:dyDescent="0.25">
      <c r="A2025" s="461">
        <v>43481</v>
      </c>
      <c r="B2025" s="460" t="s">
        <v>10221</v>
      </c>
      <c r="C2025" s="461" t="s">
        <v>1110</v>
      </c>
      <c r="D2025" s="461">
        <v>12.77</v>
      </c>
      <c r="E2025" s="461" t="s">
        <v>1497</v>
      </c>
      <c r="F2025" s="461" t="s">
        <v>8333</v>
      </c>
    </row>
    <row r="2026" spans="1:6" ht="45" x14ac:dyDescent="0.25">
      <c r="A2026" s="461">
        <v>3119</v>
      </c>
      <c r="B2026" s="460" t="s">
        <v>10222</v>
      </c>
      <c r="C2026" s="461" t="s">
        <v>1104</v>
      </c>
      <c r="D2026" s="461">
        <v>2.4500000000000002</v>
      </c>
      <c r="E2026" s="461" t="s">
        <v>161</v>
      </c>
      <c r="F2026" s="461" t="s">
        <v>8326</v>
      </c>
    </row>
    <row r="2027" spans="1:6" ht="45" x14ac:dyDescent="0.25">
      <c r="A2027" s="461">
        <v>3122</v>
      </c>
      <c r="B2027" s="460" t="s">
        <v>10223</v>
      </c>
      <c r="C2027" s="461" t="s">
        <v>1104</v>
      </c>
      <c r="D2027" s="461">
        <v>4.9800000000000004</v>
      </c>
      <c r="E2027" s="461" t="s">
        <v>161</v>
      </c>
      <c r="F2027" s="461" t="s">
        <v>8326</v>
      </c>
    </row>
    <row r="2028" spans="1:6" ht="30" x14ac:dyDescent="0.25">
      <c r="A2028" s="461">
        <v>3121</v>
      </c>
      <c r="B2028" s="460" t="s">
        <v>10224</v>
      </c>
      <c r="C2028" s="461" t="s">
        <v>1104</v>
      </c>
      <c r="D2028" s="461">
        <v>5.65</v>
      </c>
      <c r="E2028" s="461" t="s">
        <v>161</v>
      </c>
      <c r="F2028" s="461" t="s">
        <v>8326</v>
      </c>
    </row>
    <row r="2029" spans="1:6" ht="30" x14ac:dyDescent="0.25">
      <c r="A2029" s="461">
        <v>3120</v>
      </c>
      <c r="B2029" s="460" t="s">
        <v>10225</v>
      </c>
      <c r="C2029" s="461" t="s">
        <v>1104</v>
      </c>
      <c r="D2029" s="461">
        <v>10.71</v>
      </c>
      <c r="E2029" s="461" t="s">
        <v>161</v>
      </c>
      <c r="F2029" s="461" t="s">
        <v>8326</v>
      </c>
    </row>
    <row r="2030" spans="1:6" ht="30" x14ac:dyDescent="0.25">
      <c r="A2030" s="461">
        <v>11455</v>
      </c>
      <c r="B2030" s="460" t="s">
        <v>10226</v>
      </c>
      <c r="C2030" s="461" t="s">
        <v>1104</v>
      </c>
      <c r="D2030" s="461">
        <v>15.49</v>
      </c>
      <c r="E2030" s="461" t="s">
        <v>161</v>
      </c>
      <c r="F2030" s="461" t="s">
        <v>8326</v>
      </c>
    </row>
    <row r="2031" spans="1:6" ht="45" x14ac:dyDescent="0.25">
      <c r="A2031" s="461">
        <v>11456</v>
      </c>
      <c r="B2031" s="460" t="s">
        <v>10227</v>
      </c>
      <c r="C2031" s="461" t="s">
        <v>1104</v>
      </c>
      <c r="D2031" s="461">
        <v>18.52</v>
      </c>
      <c r="E2031" s="461" t="s">
        <v>161</v>
      </c>
      <c r="F2031" s="461" t="s">
        <v>8326</v>
      </c>
    </row>
    <row r="2032" spans="1:6" ht="60" x14ac:dyDescent="0.25">
      <c r="A2032" s="461">
        <v>3107</v>
      </c>
      <c r="B2032" s="460" t="s">
        <v>13189</v>
      </c>
      <c r="C2032" s="461" t="s">
        <v>1104</v>
      </c>
      <c r="D2032" s="461">
        <v>7.81</v>
      </c>
      <c r="E2032" s="461" t="s">
        <v>161</v>
      </c>
      <c r="F2032" s="461" t="s">
        <v>8326</v>
      </c>
    </row>
    <row r="2033" spans="1:6" ht="45" x14ac:dyDescent="0.25">
      <c r="A2033" s="461">
        <v>43583</v>
      </c>
      <c r="B2033" s="460" t="s">
        <v>13190</v>
      </c>
      <c r="C2033" s="461" t="s">
        <v>1104</v>
      </c>
      <c r="D2033" s="461">
        <v>8.81</v>
      </c>
      <c r="E2033" s="461" t="s">
        <v>161</v>
      </c>
      <c r="F2033" s="461" t="s">
        <v>8326</v>
      </c>
    </row>
    <row r="2034" spans="1:6" ht="45" x14ac:dyDescent="0.25">
      <c r="A2034" s="461">
        <v>43586</v>
      </c>
      <c r="B2034" s="460" t="s">
        <v>13191</v>
      </c>
      <c r="C2034" s="461" t="s">
        <v>1104</v>
      </c>
      <c r="D2034" s="461">
        <v>9.0299999999999994</v>
      </c>
      <c r="E2034" s="461" t="s">
        <v>161</v>
      </c>
      <c r="F2034" s="461" t="s">
        <v>8326</v>
      </c>
    </row>
    <row r="2035" spans="1:6" ht="45" x14ac:dyDescent="0.25">
      <c r="A2035" s="461">
        <v>11461</v>
      </c>
      <c r="B2035" s="460" t="s">
        <v>13192</v>
      </c>
      <c r="C2035" s="461" t="s">
        <v>1104</v>
      </c>
      <c r="D2035" s="461">
        <v>9.84</v>
      </c>
      <c r="E2035" s="461" t="s">
        <v>161</v>
      </c>
      <c r="F2035" s="461" t="s">
        <v>8326</v>
      </c>
    </row>
    <row r="2036" spans="1:6" ht="45" x14ac:dyDescent="0.25">
      <c r="A2036" s="461">
        <v>43587</v>
      </c>
      <c r="B2036" s="460" t="s">
        <v>13193</v>
      </c>
      <c r="C2036" s="461" t="s">
        <v>1104</v>
      </c>
      <c r="D2036" s="461">
        <v>11.35</v>
      </c>
      <c r="E2036" s="461" t="s">
        <v>161</v>
      </c>
      <c r="F2036" s="461" t="s">
        <v>8326</v>
      </c>
    </row>
    <row r="2037" spans="1:6" ht="60" x14ac:dyDescent="0.25">
      <c r="A2037" s="461">
        <v>3106</v>
      </c>
      <c r="B2037" s="460" t="s">
        <v>10228</v>
      </c>
      <c r="C2037" s="461" t="s">
        <v>1104</v>
      </c>
      <c r="D2037" s="461">
        <v>14.4</v>
      </c>
      <c r="E2037" s="461" t="s">
        <v>161</v>
      </c>
      <c r="F2037" s="461" t="s">
        <v>8326</v>
      </c>
    </row>
    <row r="2038" spans="1:6" ht="15" x14ac:dyDescent="0.25">
      <c r="A2038" s="461">
        <v>44539</v>
      </c>
      <c r="B2038" s="460" t="s">
        <v>10229</v>
      </c>
      <c r="C2038" s="461" t="s">
        <v>1108</v>
      </c>
      <c r="D2038" s="461">
        <v>2.84</v>
      </c>
      <c r="E2038" s="461" t="s">
        <v>161</v>
      </c>
      <c r="F2038" s="461" t="s">
        <v>8326</v>
      </c>
    </row>
    <row r="2039" spans="1:6" ht="15" x14ac:dyDescent="0.25">
      <c r="A2039" s="461">
        <v>3123</v>
      </c>
      <c r="B2039" s="460" t="s">
        <v>10230</v>
      </c>
      <c r="C2039" s="461" t="s">
        <v>1108</v>
      </c>
      <c r="D2039" s="461">
        <v>2.65</v>
      </c>
      <c r="E2039" s="461" t="s">
        <v>161</v>
      </c>
      <c r="F2039" s="461" t="s">
        <v>8333</v>
      </c>
    </row>
    <row r="2040" spans="1:6" ht="15" x14ac:dyDescent="0.25">
      <c r="A2040" s="461">
        <v>38125</v>
      </c>
      <c r="B2040" s="460" t="s">
        <v>10231</v>
      </c>
      <c r="C2040" s="461" t="s">
        <v>1108</v>
      </c>
      <c r="D2040" s="461">
        <v>1.19</v>
      </c>
      <c r="E2040" s="461" t="s">
        <v>161</v>
      </c>
      <c r="F2040" s="461" t="s">
        <v>8326</v>
      </c>
    </row>
    <row r="2041" spans="1:6" ht="45" x14ac:dyDescent="0.25">
      <c r="A2041" s="461">
        <v>39014</v>
      </c>
      <c r="B2041" s="460" t="s">
        <v>10232</v>
      </c>
      <c r="C2041" s="461" t="s">
        <v>1108</v>
      </c>
      <c r="D2041" s="461">
        <v>9.51</v>
      </c>
      <c r="E2041" s="461" t="s">
        <v>161</v>
      </c>
      <c r="F2041" s="461" t="s">
        <v>8326</v>
      </c>
    </row>
    <row r="2042" spans="1:6" ht="30" x14ac:dyDescent="0.25">
      <c r="A2042" s="461">
        <v>39365</v>
      </c>
      <c r="B2042" s="460" t="s">
        <v>10233</v>
      </c>
      <c r="C2042" s="461" t="s">
        <v>1104</v>
      </c>
      <c r="D2042" s="461">
        <v>1948.71</v>
      </c>
      <c r="E2042" s="461" t="s">
        <v>161</v>
      </c>
      <c r="F2042" s="461" t="s">
        <v>8326</v>
      </c>
    </row>
    <row r="2043" spans="1:6" ht="30" x14ac:dyDescent="0.25">
      <c r="A2043" s="461">
        <v>39366</v>
      </c>
      <c r="B2043" s="460" t="s">
        <v>10234</v>
      </c>
      <c r="C2043" s="461" t="s">
        <v>1104</v>
      </c>
      <c r="D2043" s="461">
        <v>2956.51</v>
      </c>
      <c r="E2043" s="461" t="s">
        <v>161</v>
      </c>
      <c r="F2043" s="461" t="s">
        <v>8326</v>
      </c>
    </row>
    <row r="2044" spans="1:6" ht="30" x14ac:dyDescent="0.25">
      <c r="A2044" s="461">
        <v>39367</v>
      </c>
      <c r="B2044" s="460" t="s">
        <v>10235</v>
      </c>
      <c r="C2044" s="461" t="s">
        <v>1104</v>
      </c>
      <c r="D2044" s="461">
        <v>5065.78</v>
      </c>
      <c r="E2044" s="461" t="s">
        <v>161</v>
      </c>
      <c r="F2044" s="461" t="s">
        <v>8326</v>
      </c>
    </row>
    <row r="2045" spans="1:6" ht="30" x14ac:dyDescent="0.25">
      <c r="A2045" s="461">
        <v>37394</v>
      </c>
      <c r="B2045" s="460" t="s">
        <v>10236</v>
      </c>
      <c r="C2045" s="461" t="s">
        <v>1117</v>
      </c>
      <c r="D2045" s="461">
        <v>45.65</v>
      </c>
      <c r="E2045" s="461" t="s">
        <v>161</v>
      </c>
      <c r="F2045" s="461" t="s">
        <v>8328</v>
      </c>
    </row>
    <row r="2046" spans="1:6" ht="30" x14ac:dyDescent="0.25">
      <c r="A2046" s="461">
        <v>14146</v>
      </c>
      <c r="B2046" s="460" t="s">
        <v>10237</v>
      </c>
      <c r="C2046" s="461" t="s">
        <v>1117</v>
      </c>
      <c r="D2046" s="461">
        <v>73.42</v>
      </c>
      <c r="E2046" s="461" t="s">
        <v>161</v>
      </c>
      <c r="F2046" s="461" t="s">
        <v>8328</v>
      </c>
    </row>
    <row r="2047" spans="1:6" ht="30" x14ac:dyDescent="0.25">
      <c r="A2047" s="461">
        <v>938</v>
      </c>
      <c r="B2047" s="460" t="s">
        <v>10238</v>
      </c>
      <c r="C2047" s="461" t="s">
        <v>1107</v>
      </c>
      <c r="D2047" s="511">
        <v>1.65</v>
      </c>
      <c r="E2047" s="461" t="s">
        <v>161</v>
      </c>
      <c r="F2047" s="461" t="s">
        <v>8326</v>
      </c>
    </row>
    <row r="2048" spans="1:6" ht="30" x14ac:dyDescent="0.25">
      <c r="A2048" s="461">
        <v>937</v>
      </c>
      <c r="B2048" s="460" t="s">
        <v>10239</v>
      </c>
      <c r="C2048" s="461" t="s">
        <v>1107</v>
      </c>
      <c r="D2048" s="511">
        <v>9.6300000000000008</v>
      </c>
      <c r="E2048" s="461" t="s">
        <v>161</v>
      </c>
      <c r="F2048" s="461" t="s">
        <v>8326</v>
      </c>
    </row>
    <row r="2049" spans="1:6" ht="30" x14ac:dyDescent="0.25">
      <c r="A2049" s="461">
        <v>939</v>
      </c>
      <c r="B2049" s="460" t="s">
        <v>10240</v>
      </c>
      <c r="C2049" s="461" t="s">
        <v>1107</v>
      </c>
      <c r="D2049" s="511">
        <v>2.67</v>
      </c>
      <c r="E2049" s="461" t="s">
        <v>161</v>
      </c>
      <c r="F2049" s="461" t="s">
        <v>8326</v>
      </c>
    </row>
    <row r="2050" spans="1:6" ht="30" x14ac:dyDescent="0.25">
      <c r="A2050" s="461">
        <v>944</v>
      </c>
      <c r="B2050" s="460" t="s">
        <v>10241</v>
      </c>
      <c r="C2050" s="461" t="s">
        <v>1107</v>
      </c>
      <c r="D2050" s="461">
        <v>4.22</v>
      </c>
      <c r="E2050" s="461" t="s">
        <v>161</v>
      </c>
      <c r="F2050" s="461" t="s">
        <v>8326</v>
      </c>
    </row>
    <row r="2051" spans="1:6" ht="30" x14ac:dyDescent="0.25">
      <c r="A2051" s="461">
        <v>940</v>
      </c>
      <c r="B2051" s="460" t="s">
        <v>10242</v>
      </c>
      <c r="C2051" s="461" t="s">
        <v>1107</v>
      </c>
      <c r="D2051" s="461">
        <v>6.1</v>
      </c>
      <c r="E2051" s="461" t="s">
        <v>161</v>
      </c>
      <c r="F2051" s="461" t="s">
        <v>8326</v>
      </c>
    </row>
    <row r="2052" spans="1:6" ht="15" x14ac:dyDescent="0.25">
      <c r="A2052" s="461">
        <v>44397</v>
      </c>
      <c r="B2052" s="460" t="s">
        <v>10243</v>
      </c>
      <c r="C2052" s="461" t="s">
        <v>1107</v>
      </c>
      <c r="D2052" s="461">
        <v>3.93</v>
      </c>
      <c r="E2052" s="461" t="s">
        <v>161</v>
      </c>
      <c r="F2052" s="461" t="s">
        <v>8326</v>
      </c>
    </row>
    <row r="2053" spans="1:6" ht="15" x14ac:dyDescent="0.25">
      <c r="A2053" s="461">
        <v>406</v>
      </c>
      <c r="B2053" s="460" t="s">
        <v>10244</v>
      </c>
      <c r="C2053" s="461" t="s">
        <v>1104</v>
      </c>
      <c r="D2053" s="461">
        <v>82.63</v>
      </c>
      <c r="E2053" s="461" t="s">
        <v>161</v>
      </c>
      <c r="F2053" s="461" t="s">
        <v>8326</v>
      </c>
    </row>
    <row r="2054" spans="1:6" ht="30" x14ac:dyDescent="0.25">
      <c r="A2054" s="461">
        <v>42529</v>
      </c>
      <c r="B2054" s="460" t="s">
        <v>13194</v>
      </c>
      <c r="C2054" s="461" t="s">
        <v>1107</v>
      </c>
      <c r="D2054" s="461">
        <v>1.39</v>
      </c>
      <c r="E2054" s="461" t="s">
        <v>161</v>
      </c>
      <c r="F2054" s="461" t="s">
        <v>8326</v>
      </c>
    </row>
    <row r="2055" spans="1:6" ht="30" x14ac:dyDescent="0.25">
      <c r="A2055" s="461">
        <v>39634</v>
      </c>
      <c r="B2055" s="460" t="s">
        <v>10245</v>
      </c>
      <c r="C2055" s="461" t="s">
        <v>1107</v>
      </c>
      <c r="D2055" s="461">
        <v>7.69</v>
      </c>
      <c r="E2055" s="461" t="s">
        <v>161</v>
      </c>
      <c r="F2055" s="461" t="s">
        <v>8326</v>
      </c>
    </row>
    <row r="2056" spans="1:6" ht="15" x14ac:dyDescent="0.25">
      <c r="A2056" s="461">
        <v>39701</v>
      </c>
      <c r="B2056" s="460" t="s">
        <v>10246</v>
      </c>
      <c r="C2056" s="461" t="s">
        <v>1104</v>
      </c>
      <c r="D2056" s="461">
        <v>86.37</v>
      </c>
      <c r="E2056" s="461" t="s">
        <v>161</v>
      </c>
      <c r="F2056" s="461" t="s">
        <v>8326</v>
      </c>
    </row>
    <row r="2057" spans="1:6" ht="15" x14ac:dyDescent="0.25">
      <c r="A2057" s="461">
        <v>12815</v>
      </c>
      <c r="B2057" s="460" t="s">
        <v>10247</v>
      </c>
      <c r="C2057" s="461" t="s">
        <v>1104</v>
      </c>
      <c r="D2057" s="461">
        <v>9.0299999999999994</v>
      </c>
      <c r="E2057" s="461" t="s">
        <v>161</v>
      </c>
      <c r="F2057" s="461" t="s">
        <v>8326</v>
      </c>
    </row>
    <row r="2058" spans="1:6" ht="30" x14ac:dyDescent="0.25">
      <c r="A2058" s="461">
        <v>39431</v>
      </c>
      <c r="B2058" s="460" t="s">
        <v>10248</v>
      </c>
      <c r="C2058" s="461" t="s">
        <v>1107</v>
      </c>
      <c r="D2058" s="461">
        <v>0.28000000000000003</v>
      </c>
      <c r="E2058" s="461" t="s">
        <v>161</v>
      </c>
      <c r="F2058" s="461" t="s">
        <v>8326</v>
      </c>
    </row>
    <row r="2059" spans="1:6" ht="30" x14ac:dyDescent="0.25">
      <c r="A2059" s="461">
        <v>39432</v>
      </c>
      <c r="B2059" s="460" t="s">
        <v>10249</v>
      </c>
      <c r="C2059" s="461" t="s">
        <v>1107</v>
      </c>
      <c r="D2059" s="461">
        <v>2.4700000000000002</v>
      </c>
      <c r="E2059" s="461" t="s">
        <v>161</v>
      </c>
      <c r="F2059" s="461" t="s">
        <v>8326</v>
      </c>
    </row>
    <row r="2060" spans="1:6" ht="15" x14ac:dyDescent="0.25">
      <c r="A2060" s="461">
        <v>20111</v>
      </c>
      <c r="B2060" s="460" t="s">
        <v>10250</v>
      </c>
      <c r="C2060" s="461" t="s">
        <v>1104</v>
      </c>
      <c r="D2060" s="461">
        <v>11.05</v>
      </c>
      <c r="E2060" s="461" t="s">
        <v>161</v>
      </c>
      <c r="F2060" s="461" t="s">
        <v>8333</v>
      </c>
    </row>
    <row r="2061" spans="1:6" ht="15" x14ac:dyDescent="0.25">
      <c r="A2061" s="461">
        <v>21127</v>
      </c>
      <c r="B2061" s="460" t="s">
        <v>10251</v>
      </c>
      <c r="C2061" s="461" t="s">
        <v>1104</v>
      </c>
      <c r="D2061" s="461">
        <v>4.17</v>
      </c>
      <c r="E2061" s="461" t="s">
        <v>161</v>
      </c>
      <c r="F2061" s="461" t="s">
        <v>8326</v>
      </c>
    </row>
    <row r="2062" spans="1:6" ht="15" x14ac:dyDescent="0.25">
      <c r="A2062" s="461">
        <v>404</v>
      </c>
      <c r="B2062" s="460" t="s">
        <v>10252</v>
      </c>
      <c r="C2062" s="461" t="s">
        <v>1107</v>
      </c>
      <c r="D2062" s="461">
        <v>1.5</v>
      </c>
      <c r="E2062" s="461" t="s">
        <v>161</v>
      </c>
      <c r="F2062" s="461" t="s">
        <v>8326</v>
      </c>
    </row>
    <row r="2063" spans="1:6" ht="30" x14ac:dyDescent="0.25">
      <c r="A2063" s="461">
        <v>14151</v>
      </c>
      <c r="B2063" s="460" t="s">
        <v>10253</v>
      </c>
      <c r="C2063" s="461" t="s">
        <v>1104</v>
      </c>
      <c r="D2063" s="461">
        <v>52.77</v>
      </c>
      <c r="E2063" s="461" t="s">
        <v>161</v>
      </c>
      <c r="F2063" s="461" t="s">
        <v>8328</v>
      </c>
    </row>
    <row r="2064" spans="1:6" ht="30" x14ac:dyDescent="0.25">
      <c r="A2064" s="461">
        <v>14153</v>
      </c>
      <c r="B2064" s="460" t="s">
        <v>10254</v>
      </c>
      <c r="C2064" s="461" t="s">
        <v>1104</v>
      </c>
      <c r="D2064" s="461">
        <v>59.65</v>
      </c>
      <c r="E2064" s="461" t="s">
        <v>161</v>
      </c>
      <c r="F2064" s="461" t="s">
        <v>8328</v>
      </c>
    </row>
    <row r="2065" spans="1:6" ht="30" x14ac:dyDescent="0.25">
      <c r="A2065" s="461">
        <v>14152</v>
      </c>
      <c r="B2065" s="460" t="s">
        <v>10255</v>
      </c>
      <c r="C2065" s="461" t="s">
        <v>1104</v>
      </c>
      <c r="D2065" s="461">
        <v>45.79</v>
      </c>
      <c r="E2065" s="461" t="s">
        <v>161</v>
      </c>
      <c r="F2065" s="461" t="s">
        <v>8328</v>
      </c>
    </row>
    <row r="2066" spans="1:6" ht="30" x14ac:dyDescent="0.25">
      <c r="A2066" s="461">
        <v>14154</v>
      </c>
      <c r="B2066" s="460" t="s">
        <v>10256</v>
      </c>
      <c r="C2066" s="461" t="s">
        <v>1104</v>
      </c>
      <c r="D2066" s="461">
        <v>160.28</v>
      </c>
      <c r="E2066" s="461" t="s">
        <v>161</v>
      </c>
      <c r="F2066" s="461" t="s">
        <v>8328</v>
      </c>
    </row>
    <row r="2067" spans="1:6" ht="15" x14ac:dyDescent="0.25">
      <c r="A2067" s="461">
        <v>3146</v>
      </c>
      <c r="B2067" s="460" t="s">
        <v>10257</v>
      </c>
      <c r="C2067" s="461" t="s">
        <v>1104</v>
      </c>
      <c r="D2067" s="461">
        <v>3.95</v>
      </c>
      <c r="E2067" s="461" t="s">
        <v>161</v>
      </c>
      <c r="F2067" s="461" t="s">
        <v>8333</v>
      </c>
    </row>
    <row r="2068" spans="1:6" ht="15" x14ac:dyDescent="0.25">
      <c r="A2068" s="461">
        <v>3143</v>
      </c>
      <c r="B2068" s="460" t="s">
        <v>10258</v>
      </c>
      <c r="C2068" s="461" t="s">
        <v>1104</v>
      </c>
      <c r="D2068" s="461">
        <v>8.98</v>
      </c>
      <c r="E2068" s="461" t="s">
        <v>161</v>
      </c>
      <c r="F2068" s="461" t="s">
        <v>8326</v>
      </c>
    </row>
    <row r="2069" spans="1:6" ht="15" x14ac:dyDescent="0.25">
      <c r="A2069" s="461">
        <v>3148</v>
      </c>
      <c r="B2069" s="460" t="s">
        <v>10259</v>
      </c>
      <c r="C2069" s="461" t="s">
        <v>1104</v>
      </c>
      <c r="D2069" s="461">
        <v>14.56</v>
      </c>
      <c r="E2069" s="461" t="s">
        <v>161</v>
      </c>
      <c r="F2069" s="461" t="s">
        <v>8326</v>
      </c>
    </row>
    <row r="2070" spans="1:6" ht="30" x14ac:dyDescent="0.25">
      <c r="A2070" s="461">
        <v>4310</v>
      </c>
      <c r="B2070" s="460" t="s">
        <v>10260</v>
      </c>
      <c r="C2070" s="461" t="s">
        <v>1104</v>
      </c>
      <c r="D2070" s="461">
        <v>3.42</v>
      </c>
      <c r="E2070" s="461" t="s">
        <v>161</v>
      </c>
      <c r="F2070" s="461" t="s">
        <v>8328</v>
      </c>
    </row>
    <row r="2071" spans="1:6" ht="30" x14ac:dyDescent="0.25">
      <c r="A2071" s="461">
        <v>4311</v>
      </c>
      <c r="B2071" s="460" t="s">
        <v>10261</v>
      </c>
      <c r="C2071" s="461" t="s">
        <v>1104</v>
      </c>
      <c r="D2071" s="461">
        <v>2.41</v>
      </c>
      <c r="E2071" s="461" t="s">
        <v>161</v>
      </c>
      <c r="F2071" s="461" t="s">
        <v>8328</v>
      </c>
    </row>
    <row r="2072" spans="1:6" ht="30" x14ac:dyDescent="0.25">
      <c r="A2072" s="461">
        <v>4312</v>
      </c>
      <c r="B2072" s="460" t="s">
        <v>10262</v>
      </c>
      <c r="C2072" s="461" t="s">
        <v>1104</v>
      </c>
      <c r="D2072" s="461">
        <v>3.37</v>
      </c>
      <c r="E2072" s="461" t="s">
        <v>161</v>
      </c>
      <c r="F2072" s="461" t="s">
        <v>8328</v>
      </c>
    </row>
    <row r="2073" spans="1:6" ht="15" x14ac:dyDescent="0.25">
      <c r="A2073" s="461">
        <v>13261</v>
      </c>
      <c r="B2073" s="460" t="s">
        <v>10263</v>
      </c>
      <c r="C2073" s="461" t="s">
        <v>1104</v>
      </c>
      <c r="D2073" s="461">
        <v>2.42</v>
      </c>
      <c r="E2073" s="461" t="s">
        <v>161</v>
      </c>
      <c r="F2073" s="461" t="s">
        <v>8326</v>
      </c>
    </row>
    <row r="2074" spans="1:6" ht="15" x14ac:dyDescent="0.25">
      <c r="A2074" s="461">
        <v>3272</v>
      </c>
      <c r="B2074" s="460" t="s">
        <v>10264</v>
      </c>
      <c r="C2074" s="461" t="s">
        <v>1104</v>
      </c>
      <c r="D2074" s="461">
        <v>59.03</v>
      </c>
      <c r="E2074" s="461" t="s">
        <v>161</v>
      </c>
      <c r="F2074" s="461" t="s">
        <v>8328</v>
      </c>
    </row>
    <row r="2075" spans="1:6" ht="15" x14ac:dyDescent="0.25">
      <c r="A2075" s="461">
        <v>3265</v>
      </c>
      <c r="B2075" s="460" t="s">
        <v>10265</v>
      </c>
      <c r="C2075" s="461" t="s">
        <v>1104</v>
      </c>
      <c r="D2075" s="461">
        <v>46.9</v>
      </c>
      <c r="E2075" s="461" t="s">
        <v>161</v>
      </c>
      <c r="F2075" s="461" t="s">
        <v>8328</v>
      </c>
    </row>
    <row r="2076" spans="1:6" ht="15" x14ac:dyDescent="0.25">
      <c r="A2076" s="461">
        <v>3262</v>
      </c>
      <c r="B2076" s="460" t="s">
        <v>10266</v>
      </c>
      <c r="C2076" s="461" t="s">
        <v>1104</v>
      </c>
      <c r="D2076" s="461">
        <v>20.53</v>
      </c>
      <c r="E2076" s="461" t="s">
        <v>161</v>
      </c>
      <c r="F2076" s="461" t="s">
        <v>8328</v>
      </c>
    </row>
    <row r="2077" spans="1:6" ht="15" x14ac:dyDescent="0.25">
      <c r="A2077" s="461">
        <v>3264</v>
      </c>
      <c r="B2077" s="460" t="s">
        <v>10267</v>
      </c>
      <c r="C2077" s="461" t="s">
        <v>1104</v>
      </c>
      <c r="D2077" s="461">
        <v>33.72</v>
      </c>
      <c r="E2077" s="461" t="s">
        <v>161</v>
      </c>
      <c r="F2077" s="461" t="s">
        <v>8328</v>
      </c>
    </row>
    <row r="2078" spans="1:6" ht="15" x14ac:dyDescent="0.25">
      <c r="A2078" s="461">
        <v>3267</v>
      </c>
      <c r="B2078" s="460" t="s">
        <v>10268</v>
      </c>
      <c r="C2078" s="461" t="s">
        <v>1104</v>
      </c>
      <c r="D2078" s="461">
        <v>110.13</v>
      </c>
      <c r="E2078" s="461" t="s">
        <v>161</v>
      </c>
      <c r="F2078" s="461" t="s">
        <v>8328</v>
      </c>
    </row>
    <row r="2079" spans="1:6" ht="15" x14ac:dyDescent="0.25">
      <c r="A2079" s="461">
        <v>3266</v>
      </c>
      <c r="B2079" s="460" t="s">
        <v>10269</v>
      </c>
      <c r="C2079" s="461" t="s">
        <v>1104</v>
      </c>
      <c r="D2079" s="461">
        <v>70.069999999999993</v>
      </c>
      <c r="E2079" s="461" t="s">
        <v>161</v>
      </c>
      <c r="F2079" s="461" t="s">
        <v>8328</v>
      </c>
    </row>
    <row r="2080" spans="1:6" ht="15" x14ac:dyDescent="0.25">
      <c r="A2080" s="461">
        <v>3263</v>
      </c>
      <c r="B2080" s="460" t="s">
        <v>10270</v>
      </c>
      <c r="C2080" s="461" t="s">
        <v>1104</v>
      </c>
      <c r="D2080" s="461">
        <v>28.04</v>
      </c>
      <c r="E2080" s="461" t="s">
        <v>161</v>
      </c>
      <c r="F2080" s="461" t="s">
        <v>8328</v>
      </c>
    </row>
    <row r="2081" spans="1:6" ht="15" x14ac:dyDescent="0.25">
      <c r="A2081" s="461">
        <v>3268</v>
      </c>
      <c r="B2081" s="460" t="s">
        <v>10271</v>
      </c>
      <c r="C2081" s="461" t="s">
        <v>1104</v>
      </c>
      <c r="D2081" s="461">
        <v>148.9</v>
      </c>
      <c r="E2081" s="461" t="s">
        <v>161</v>
      </c>
      <c r="F2081" s="461" t="s">
        <v>8328</v>
      </c>
    </row>
    <row r="2082" spans="1:6" ht="15" x14ac:dyDescent="0.25">
      <c r="A2082" s="461">
        <v>3271</v>
      </c>
      <c r="B2082" s="460" t="s">
        <v>10272</v>
      </c>
      <c r="C2082" s="461" t="s">
        <v>1104</v>
      </c>
      <c r="D2082" s="461">
        <v>220.14</v>
      </c>
      <c r="E2082" s="461" t="s">
        <v>161</v>
      </c>
      <c r="F2082" s="461" t="s">
        <v>8328</v>
      </c>
    </row>
    <row r="2083" spans="1:6" ht="15" x14ac:dyDescent="0.25">
      <c r="A2083" s="461">
        <v>3270</v>
      </c>
      <c r="B2083" s="460" t="s">
        <v>10273</v>
      </c>
      <c r="C2083" s="461" t="s">
        <v>1104</v>
      </c>
      <c r="D2083" s="461">
        <v>369.85</v>
      </c>
      <c r="E2083" s="461" t="s">
        <v>161</v>
      </c>
      <c r="F2083" s="461" t="s">
        <v>8328</v>
      </c>
    </row>
    <row r="2084" spans="1:6" ht="30" x14ac:dyDescent="0.25">
      <c r="A2084" s="461">
        <v>3275</v>
      </c>
      <c r="B2084" s="460" t="s">
        <v>10274</v>
      </c>
      <c r="C2084" s="461" t="s">
        <v>1106</v>
      </c>
      <c r="D2084" s="461">
        <v>87.95</v>
      </c>
      <c r="E2084" s="461" t="s">
        <v>161</v>
      </c>
      <c r="F2084" s="461" t="s">
        <v>8326</v>
      </c>
    </row>
    <row r="2085" spans="1:6" ht="45" x14ac:dyDescent="0.25">
      <c r="A2085" s="461">
        <v>39512</v>
      </c>
      <c r="B2085" s="460" t="s">
        <v>10275</v>
      </c>
      <c r="C2085" s="461" t="s">
        <v>1106</v>
      </c>
      <c r="D2085" s="461">
        <v>112.98</v>
      </c>
      <c r="E2085" s="461" t="s">
        <v>161</v>
      </c>
      <c r="F2085" s="461" t="s">
        <v>8328</v>
      </c>
    </row>
    <row r="2086" spans="1:6" ht="45" x14ac:dyDescent="0.25">
      <c r="A2086" s="461">
        <v>39511</v>
      </c>
      <c r="B2086" s="460" t="s">
        <v>10276</v>
      </c>
      <c r="C2086" s="461" t="s">
        <v>1106</v>
      </c>
      <c r="D2086" s="461">
        <v>123.23</v>
      </c>
      <c r="E2086" s="461" t="s">
        <v>161</v>
      </c>
      <c r="F2086" s="461" t="s">
        <v>8328</v>
      </c>
    </row>
    <row r="2087" spans="1:6" ht="45" x14ac:dyDescent="0.25">
      <c r="A2087" s="461">
        <v>39513</v>
      </c>
      <c r="B2087" s="460" t="s">
        <v>10277</v>
      </c>
      <c r="C2087" s="461" t="s">
        <v>1106</v>
      </c>
      <c r="D2087" s="461">
        <v>132.16999999999999</v>
      </c>
      <c r="E2087" s="461" t="s">
        <v>161</v>
      </c>
      <c r="F2087" s="461" t="s">
        <v>8328</v>
      </c>
    </row>
    <row r="2088" spans="1:6" ht="30" x14ac:dyDescent="0.25">
      <c r="A2088" s="461">
        <v>3286</v>
      </c>
      <c r="B2088" s="460" t="s">
        <v>10278</v>
      </c>
      <c r="C2088" s="461" t="s">
        <v>1106</v>
      </c>
      <c r="D2088" s="461">
        <v>59.55</v>
      </c>
      <c r="E2088" s="461" t="s">
        <v>161</v>
      </c>
      <c r="F2088" s="461" t="s">
        <v>8326</v>
      </c>
    </row>
    <row r="2089" spans="1:6" ht="30" x14ac:dyDescent="0.25">
      <c r="A2089" s="461">
        <v>3287</v>
      </c>
      <c r="B2089" s="460" t="s">
        <v>10279</v>
      </c>
      <c r="C2089" s="461" t="s">
        <v>1106</v>
      </c>
      <c r="D2089" s="461">
        <v>90</v>
      </c>
      <c r="E2089" s="461" t="s">
        <v>161</v>
      </c>
      <c r="F2089" s="461" t="s">
        <v>8326</v>
      </c>
    </row>
    <row r="2090" spans="1:6" ht="30" x14ac:dyDescent="0.25">
      <c r="A2090" s="461">
        <v>3283</v>
      </c>
      <c r="B2090" s="460" t="s">
        <v>10280</v>
      </c>
      <c r="C2090" s="461" t="s">
        <v>1106</v>
      </c>
      <c r="D2090" s="461">
        <v>18.899999999999999</v>
      </c>
      <c r="E2090" s="461" t="s">
        <v>161</v>
      </c>
      <c r="F2090" s="461" t="s">
        <v>8326</v>
      </c>
    </row>
    <row r="2091" spans="1:6" ht="30" x14ac:dyDescent="0.25">
      <c r="A2091" s="461">
        <v>11587</v>
      </c>
      <c r="B2091" s="460" t="s">
        <v>10281</v>
      </c>
      <c r="C2091" s="461" t="s">
        <v>1106</v>
      </c>
      <c r="D2091" s="461">
        <v>60.31</v>
      </c>
      <c r="E2091" s="461" t="s">
        <v>161</v>
      </c>
      <c r="F2091" s="461" t="s">
        <v>8326</v>
      </c>
    </row>
    <row r="2092" spans="1:6" ht="30" x14ac:dyDescent="0.25">
      <c r="A2092" s="461">
        <v>36225</v>
      </c>
      <c r="B2092" s="460" t="s">
        <v>10282</v>
      </c>
      <c r="C2092" s="461" t="s">
        <v>1106</v>
      </c>
      <c r="D2092" s="461">
        <v>24.5</v>
      </c>
      <c r="E2092" s="461" t="s">
        <v>161</v>
      </c>
      <c r="F2092" s="461" t="s">
        <v>8326</v>
      </c>
    </row>
    <row r="2093" spans="1:6" ht="30" x14ac:dyDescent="0.25">
      <c r="A2093" s="461">
        <v>36230</v>
      </c>
      <c r="B2093" s="460" t="s">
        <v>10283</v>
      </c>
      <c r="C2093" s="461" t="s">
        <v>1106</v>
      </c>
      <c r="D2093" s="461">
        <v>18</v>
      </c>
      <c r="E2093" s="461" t="s">
        <v>161</v>
      </c>
      <c r="F2093" s="461" t="s">
        <v>8333</v>
      </c>
    </row>
    <row r="2094" spans="1:6" ht="30" x14ac:dyDescent="0.25">
      <c r="A2094" s="461">
        <v>36238</v>
      </c>
      <c r="B2094" s="460" t="s">
        <v>10284</v>
      </c>
      <c r="C2094" s="461" t="s">
        <v>1106</v>
      </c>
      <c r="D2094" s="461">
        <v>17.59</v>
      </c>
      <c r="E2094" s="461" t="s">
        <v>161</v>
      </c>
      <c r="F2094" s="461" t="s">
        <v>8326</v>
      </c>
    </row>
    <row r="2095" spans="1:6" ht="45" x14ac:dyDescent="0.25">
      <c r="A2095" s="461">
        <v>39363</v>
      </c>
      <c r="B2095" s="460" t="s">
        <v>10285</v>
      </c>
      <c r="C2095" s="461" t="s">
        <v>1104</v>
      </c>
      <c r="D2095" s="461">
        <v>5744.13</v>
      </c>
      <c r="E2095" s="461" t="s">
        <v>161</v>
      </c>
      <c r="F2095" s="461" t="s">
        <v>8326</v>
      </c>
    </row>
    <row r="2096" spans="1:6" ht="45" x14ac:dyDescent="0.25">
      <c r="A2096" s="461">
        <v>39361</v>
      </c>
      <c r="B2096" s="460" t="s">
        <v>10286</v>
      </c>
      <c r="C2096" s="461" t="s">
        <v>1104</v>
      </c>
      <c r="D2096" s="461">
        <v>1754.87</v>
      </c>
      <c r="E2096" s="461" t="s">
        <v>161</v>
      </c>
      <c r="F2096" s="461" t="s">
        <v>8326</v>
      </c>
    </row>
    <row r="2097" spans="1:6" ht="45" x14ac:dyDescent="0.25">
      <c r="A2097" s="461">
        <v>39362</v>
      </c>
      <c r="B2097" s="460" t="s">
        <v>10287</v>
      </c>
      <c r="C2097" s="461" t="s">
        <v>1104</v>
      </c>
      <c r="D2097" s="461">
        <v>3100.07</v>
      </c>
      <c r="E2097" s="461" t="s">
        <v>161</v>
      </c>
      <c r="F2097" s="461" t="s">
        <v>8326</v>
      </c>
    </row>
    <row r="2098" spans="1:6" ht="45" x14ac:dyDescent="0.25">
      <c r="A2098" s="461">
        <v>39364</v>
      </c>
      <c r="B2098" s="460" t="s">
        <v>10288</v>
      </c>
      <c r="C2098" s="461" t="s">
        <v>1104</v>
      </c>
      <c r="D2098" s="461">
        <v>12115.89</v>
      </c>
      <c r="E2098" s="461" t="s">
        <v>161</v>
      </c>
      <c r="F2098" s="461" t="s">
        <v>8326</v>
      </c>
    </row>
    <row r="2099" spans="1:6" ht="30" x14ac:dyDescent="0.25">
      <c r="A2099" s="461">
        <v>14576</v>
      </c>
      <c r="B2099" s="460" t="s">
        <v>10289</v>
      </c>
      <c r="C2099" s="461" t="s">
        <v>1104</v>
      </c>
      <c r="D2099" s="461">
        <v>5518592.6900000004</v>
      </c>
      <c r="E2099" s="461" t="s">
        <v>1497</v>
      </c>
      <c r="F2099" s="461" t="s">
        <v>8328</v>
      </c>
    </row>
    <row r="2100" spans="1:6" ht="30" x14ac:dyDescent="0.25">
      <c r="A2100" s="461">
        <v>13877</v>
      </c>
      <c r="B2100" s="460" t="s">
        <v>10290</v>
      </c>
      <c r="C2100" s="461" t="s">
        <v>1104</v>
      </c>
      <c r="D2100" s="511">
        <v>2362427.2200000002</v>
      </c>
      <c r="E2100" s="461" t="s">
        <v>1497</v>
      </c>
      <c r="F2100" s="461" t="s">
        <v>8328</v>
      </c>
    </row>
    <row r="2101" spans="1:6" ht="15" x14ac:dyDescent="0.25">
      <c r="A2101" s="461">
        <v>7307</v>
      </c>
      <c r="B2101" s="460" t="s">
        <v>10291</v>
      </c>
      <c r="C2101" s="461" t="s">
        <v>1109</v>
      </c>
      <c r="D2101" s="511">
        <v>45.37</v>
      </c>
      <c r="E2101" s="461" t="s">
        <v>161</v>
      </c>
      <c r="F2101" s="461" t="s">
        <v>8326</v>
      </c>
    </row>
    <row r="2102" spans="1:6" ht="15" x14ac:dyDescent="0.25">
      <c r="A2102" s="461">
        <v>38122</v>
      </c>
      <c r="B2102" s="460" t="s">
        <v>10292</v>
      </c>
      <c r="C2102" s="461" t="s">
        <v>1109</v>
      </c>
      <c r="D2102" s="511">
        <v>20.51</v>
      </c>
      <c r="E2102" s="461" t="s">
        <v>161</v>
      </c>
      <c r="F2102" s="461" t="s">
        <v>8326</v>
      </c>
    </row>
    <row r="2103" spans="1:6" ht="15" x14ac:dyDescent="0.25">
      <c r="A2103" s="461">
        <v>43653</v>
      </c>
      <c r="B2103" s="460" t="s">
        <v>10293</v>
      </c>
      <c r="C2103" s="461" t="s">
        <v>1109</v>
      </c>
      <c r="D2103" s="511">
        <v>41.12</v>
      </c>
      <c r="E2103" s="461" t="s">
        <v>161</v>
      </c>
      <c r="F2103" s="461" t="s">
        <v>8326</v>
      </c>
    </row>
    <row r="2104" spans="1:6" ht="30" x14ac:dyDescent="0.25">
      <c r="A2104" s="461">
        <v>38633</v>
      </c>
      <c r="B2104" s="460" t="s">
        <v>13195</v>
      </c>
      <c r="C2104" s="461" t="s">
        <v>1104</v>
      </c>
      <c r="D2104" s="511">
        <v>18.649999999999999</v>
      </c>
      <c r="E2104" s="461" t="s">
        <v>161</v>
      </c>
      <c r="F2104" s="461" t="s">
        <v>8326</v>
      </c>
    </row>
    <row r="2105" spans="1:6" ht="30" x14ac:dyDescent="0.25">
      <c r="A2105" s="461">
        <v>12344</v>
      </c>
      <c r="B2105" s="460" t="s">
        <v>10294</v>
      </c>
      <c r="C2105" s="461" t="s">
        <v>1104</v>
      </c>
      <c r="D2105" s="511">
        <v>5.37</v>
      </c>
      <c r="E2105" s="461" t="s">
        <v>161</v>
      </c>
      <c r="F2105" s="461" t="s">
        <v>8326</v>
      </c>
    </row>
    <row r="2106" spans="1:6" ht="30" x14ac:dyDescent="0.25">
      <c r="A2106" s="461">
        <v>12343</v>
      </c>
      <c r="B2106" s="460" t="s">
        <v>10295</v>
      </c>
      <c r="C2106" s="461" t="s">
        <v>1104</v>
      </c>
      <c r="D2106" s="461">
        <v>8.32</v>
      </c>
      <c r="E2106" s="461" t="s">
        <v>161</v>
      </c>
      <c r="F2106" s="461" t="s">
        <v>8326</v>
      </c>
    </row>
    <row r="2107" spans="1:6" ht="30" x14ac:dyDescent="0.25">
      <c r="A2107" s="461">
        <v>3295</v>
      </c>
      <c r="B2107" s="460" t="s">
        <v>10296</v>
      </c>
      <c r="C2107" s="461" t="s">
        <v>1104</v>
      </c>
      <c r="D2107" s="461">
        <v>29.07</v>
      </c>
      <c r="E2107" s="461" t="s">
        <v>161</v>
      </c>
      <c r="F2107" s="461" t="s">
        <v>8326</v>
      </c>
    </row>
    <row r="2108" spans="1:6" ht="30" x14ac:dyDescent="0.25">
      <c r="A2108" s="461">
        <v>3302</v>
      </c>
      <c r="B2108" s="460" t="s">
        <v>10297</v>
      </c>
      <c r="C2108" s="461" t="s">
        <v>1104</v>
      </c>
      <c r="D2108" s="461">
        <v>30.39</v>
      </c>
      <c r="E2108" s="461" t="s">
        <v>161</v>
      </c>
      <c r="F2108" s="461" t="s">
        <v>8326</v>
      </c>
    </row>
    <row r="2109" spans="1:6" ht="30" x14ac:dyDescent="0.25">
      <c r="A2109" s="461">
        <v>3297</v>
      </c>
      <c r="B2109" s="460" t="s">
        <v>10298</v>
      </c>
      <c r="C2109" s="461" t="s">
        <v>1104</v>
      </c>
      <c r="D2109" s="461">
        <v>32.44</v>
      </c>
      <c r="E2109" s="461" t="s">
        <v>161</v>
      </c>
      <c r="F2109" s="461" t="s">
        <v>8326</v>
      </c>
    </row>
    <row r="2110" spans="1:6" ht="30" x14ac:dyDescent="0.25">
      <c r="A2110" s="461">
        <v>3294</v>
      </c>
      <c r="B2110" s="460" t="s">
        <v>10299</v>
      </c>
      <c r="C2110" s="461" t="s">
        <v>1104</v>
      </c>
      <c r="D2110" s="461">
        <v>32.93</v>
      </c>
      <c r="E2110" s="461" t="s">
        <v>161</v>
      </c>
      <c r="F2110" s="461" t="s">
        <v>8326</v>
      </c>
    </row>
    <row r="2111" spans="1:6" ht="30" x14ac:dyDescent="0.25">
      <c r="A2111" s="461">
        <v>3292</v>
      </c>
      <c r="B2111" s="460" t="s">
        <v>10300</v>
      </c>
      <c r="C2111" s="461" t="s">
        <v>1104</v>
      </c>
      <c r="D2111" s="461">
        <v>30.94</v>
      </c>
      <c r="E2111" s="461" t="s">
        <v>161</v>
      </c>
      <c r="F2111" s="461" t="s">
        <v>8333</v>
      </c>
    </row>
    <row r="2112" spans="1:6" ht="30" x14ac:dyDescent="0.25">
      <c r="A2112" s="461">
        <v>3298</v>
      </c>
      <c r="B2112" s="460" t="s">
        <v>10301</v>
      </c>
      <c r="C2112" s="461" t="s">
        <v>1104</v>
      </c>
      <c r="D2112" s="461">
        <v>72.510000000000005</v>
      </c>
      <c r="E2112" s="461" t="s">
        <v>161</v>
      </c>
      <c r="F2112" s="461" t="s">
        <v>8326</v>
      </c>
    </row>
    <row r="2113" spans="1:6" ht="30" x14ac:dyDescent="0.25">
      <c r="A2113" s="461">
        <v>34802</v>
      </c>
      <c r="B2113" s="460" t="s">
        <v>10302</v>
      </c>
      <c r="C2113" s="461" t="s">
        <v>1104</v>
      </c>
      <c r="D2113" s="461">
        <v>932.87</v>
      </c>
      <c r="E2113" s="461" t="s">
        <v>161</v>
      </c>
      <c r="F2113" s="461" t="s">
        <v>8326</v>
      </c>
    </row>
    <row r="2114" spans="1:6" ht="30" x14ac:dyDescent="0.25">
      <c r="A2114" s="461">
        <v>11588</v>
      </c>
      <c r="B2114" s="460" t="s">
        <v>10303</v>
      </c>
      <c r="C2114" s="461" t="s">
        <v>1104</v>
      </c>
      <c r="D2114" s="461">
        <v>1006.41</v>
      </c>
      <c r="E2114" s="461" t="s">
        <v>161</v>
      </c>
      <c r="F2114" s="461" t="s">
        <v>8326</v>
      </c>
    </row>
    <row r="2115" spans="1:6" ht="30" x14ac:dyDescent="0.25">
      <c r="A2115" s="461">
        <v>34383</v>
      </c>
      <c r="B2115" s="460" t="s">
        <v>10304</v>
      </c>
      <c r="C2115" s="461" t="s">
        <v>1104</v>
      </c>
      <c r="D2115" s="461">
        <v>1107.1300000000001</v>
      </c>
      <c r="E2115" s="461" t="s">
        <v>161</v>
      </c>
      <c r="F2115" s="461" t="s">
        <v>8326</v>
      </c>
    </row>
    <row r="2116" spans="1:6" ht="30" x14ac:dyDescent="0.25">
      <c r="A2116" s="461">
        <v>40451</v>
      </c>
      <c r="B2116" s="460" t="s">
        <v>10305</v>
      </c>
      <c r="C2116" s="461" t="s">
        <v>1106</v>
      </c>
      <c r="D2116" s="461">
        <v>89.49</v>
      </c>
      <c r="E2116" s="461" t="s">
        <v>161</v>
      </c>
      <c r="F2116" s="461" t="s">
        <v>8326</v>
      </c>
    </row>
    <row r="2117" spans="1:6" ht="30" x14ac:dyDescent="0.25">
      <c r="A2117" s="461">
        <v>40453</v>
      </c>
      <c r="B2117" s="460" t="s">
        <v>10306</v>
      </c>
      <c r="C2117" s="461" t="s">
        <v>1106</v>
      </c>
      <c r="D2117" s="461">
        <v>96.83</v>
      </c>
      <c r="E2117" s="461" t="s">
        <v>161</v>
      </c>
      <c r="F2117" s="461" t="s">
        <v>8326</v>
      </c>
    </row>
    <row r="2118" spans="1:6" ht="30" x14ac:dyDescent="0.25">
      <c r="A2118" s="461">
        <v>40452</v>
      </c>
      <c r="B2118" s="460" t="s">
        <v>10307</v>
      </c>
      <c r="C2118" s="461" t="s">
        <v>1106</v>
      </c>
      <c r="D2118" s="461">
        <v>106.21</v>
      </c>
      <c r="E2118" s="461" t="s">
        <v>161</v>
      </c>
      <c r="F2118" s="461" t="s">
        <v>8326</v>
      </c>
    </row>
    <row r="2119" spans="1:6" ht="30" x14ac:dyDescent="0.25">
      <c r="A2119" s="461">
        <v>11594</v>
      </c>
      <c r="B2119" s="460" t="s">
        <v>13196</v>
      </c>
      <c r="C2119" s="461" t="s">
        <v>1104</v>
      </c>
      <c r="D2119" s="461">
        <v>320.77</v>
      </c>
      <c r="E2119" s="461" t="s">
        <v>161</v>
      </c>
      <c r="F2119" s="461" t="s">
        <v>8326</v>
      </c>
    </row>
    <row r="2120" spans="1:6" ht="30" x14ac:dyDescent="0.25">
      <c r="A2120" s="461">
        <v>3311</v>
      </c>
      <c r="B2120" s="460" t="s">
        <v>10308</v>
      </c>
      <c r="C2120" s="461" t="s">
        <v>1105</v>
      </c>
      <c r="D2120" s="461">
        <v>320.77</v>
      </c>
      <c r="E2120" s="461" t="s">
        <v>161</v>
      </c>
      <c r="F2120" s="461" t="s">
        <v>8326</v>
      </c>
    </row>
    <row r="2121" spans="1:6" ht="30" x14ac:dyDescent="0.25">
      <c r="A2121" s="461">
        <v>11599</v>
      </c>
      <c r="B2121" s="460" t="s">
        <v>10309</v>
      </c>
      <c r="C2121" s="461" t="s">
        <v>1104</v>
      </c>
      <c r="D2121" s="511">
        <v>426.59</v>
      </c>
      <c r="E2121" s="461" t="s">
        <v>161</v>
      </c>
      <c r="F2121" s="461" t="s">
        <v>8326</v>
      </c>
    </row>
    <row r="2122" spans="1:6" ht="30" x14ac:dyDescent="0.25">
      <c r="A2122" s="461">
        <v>11593</v>
      </c>
      <c r="B2122" s="460" t="s">
        <v>13197</v>
      </c>
      <c r="C2122" s="461" t="s">
        <v>1104</v>
      </c>
      <c r="D2122" s="461">
        <v>598.04999999999995</v>
      </c>
      <c r="E2122" s="461" t="s">
        <v>161</v>
      </c>
      <c r="F2122" s="461" t="s">
        <v>8326</v>
      </c>
    </row>
    <row r="2123" spans="1:6" ht="30" x14ac:dyDescent="0.25">
      <c r="A2123" s="461">
        <v>3314</v>
      </c>
      <c r="B2123" s="460" t="s">
        <v>13198</v>
      </c>
      <c r="C2123" s="461" t="s">
        <v>1105</v>
      </c>
      <c r="D2123" s="461">
        <v>427.73</v>
      </c>
      <c r="E2123" s="461" t="s">
        <v>161</v>
      </c>
      <c r="F2123" s="461" t="s">
        <v>8326</v>
      </c>
    </row>
    <row r="2124" spans="1:6" ht="30" x14ac:dyDescent="0.25">
      <c r="A2124" s="461">
        <v>11597</v>
      </c>
      <c r="B2124" s="460" t="s">
        <v>10310</v>
      </c>
      <c r="C2124" s="461" t="s">
        <v>1104</v>
      </c>
      <c r="D2124" s="461">
        <v>497.4</v>
      </c>
      <c r="E2124" s="461" t="s">
        <v>161</v>
      </c>
      <c r="F2124" s="461" t="s">
        <v>8326</v>
      </c>
    </row>
    <row r="2125" spans="1:6" ht="15" x14ac:dyDescent="0.25">
      <c r="A2125" s="461">
        <v>3309</v>
      </c>
      <c r="B2125" s="460" t="s">
        <v>10311</v>
      </c>
      <c r="C2125" s="461" t="s">
        <v>1105</v>
      </c>
      <c r="D2125" s="461">
        <v>339.68</v>
      </c>
      <c r="E2125" s="461" t="s">
        <v>161</v>
      </c>
      <c r="F2125" s="461" t="s">
        <v>8326</v>
      </c>
    </row>
    <row r="2126" spans="1:6" ht="45" x14ac:dyDescent="0.25">
      <c r="A2126" s="461">
        <v>34612</v>
      </c>
      <c r="B2126" s="460" t="s">
        <v>10312</v>
      </c>
      <c r="C2126" s="461" t="s">
        <v>1104</v>
      </c>
      <c r="D2126" s="461">
        <v>615.19000000000005</v>
      </c>
      <c r="E2126" s="461" t="s">
        <v>161</v>
      </c>
      <c r="F2126" s="461" t="s">
        <v>8326</v>
      </c>
    </row>
    <row r="2127" spans="1:6" ht="45" x14ac:dyDescent="0.25">
      <c r="A2127" s="461">
        <v>34635</v>
      </c>
      <c r="B2127" s="460" t="s">
        <v>10313</v>
      </c>
      <c r="C2127" s="461" t="s">
        <v>1104</v>
      </c>
      <c r="D2127" s="461">
        <v>791.11</v>
      </c>
      <c r="E2127" s="461" t="s">
        <v>161</v>
      </c>
      <c r="F2127" s="461" t="s">
        <v>8326</v>
      </c>
    </row>
    <row r="2128" spans="1:6" ht="45" x14ac:dyDescent="0.25">
      <c r="A2128" s="461">
        <v>34633</v>
      </c>
      <c r="B2128" s="460" t="s">
        <v>10314</v>
      </c>
      <c r="C2128" s="461" t="s">
        <v>1104</v>
      </c>
      <c r="D2128" s="461">
        <v>872.01</v>
      </c>
      <c r="E2128" s="461" t="s">
        <v>161</v>
      </c>
      <c r="F2128" s="461" t="s">
        <v>8326</v>
      </c>
    </row>
    <row r="2129" spans="1:6" ht="45" x14ac:dyDescent="0.25">
      <c r="A2129" s="461">
        <v>40440</v>
      </c>
      <c r="B2129" s="460" t="s">
        <v>10315</v>
      </c>
      <c r="C2129" s="461" t="s">
        <v>1105</v>
      </c>
      <c r="D2129" s="461">
        <v>445.52</v>
      </c>
      <c r="E2129" s="461" t="s">
        <v>161</v>
      </c>
      <c r="F2129" s="461" t="s">
        <v>8326</v>
      </c>
    </row>
    <row r="2130" spans="1:6" ht="45" x14ac:dyDescent="0.25">
      <c r="A2130" s="461">
        <v>40441</v>
      </c>
      <c r="B2130" s="460" t="s">
        <v>10316</v>
      </c>
      <c r="C2130" s="461" t="s">
        <v>1105</v>
      </c>
      <c r="D2130" s="461">
        <v>284.44</v>
      </c>
      <c r="E2130" s="461" t="s">
        <v>161</v>
      </c>
      <c r="F2130" s="461" t="s">
        <v>8326</v>
      </c>
    </row>
    <row r="2131" spans="1:6" ht="45" x14ac:dyDescent="0.25">
      <c r="A2131" s="461">
        <v>40449</v>
      </c>
      <c r="B2131" s="460" t="s">
        <v>10317</v>
      </c>
      <c r="C2131" s="461" t="s">
        <v>1105</v>
      </c>
      <c r="D2131" s="461">
        <v>239.12</v>
      </c>
      <c r="E2131" s="461" t="s">
        <v>161</v>
      </c>
      <c r="F2131" s="461" t="s">
        <v>8326</v>
      </c>
    </row>
    <row r="2132" spans="1:6" ht="30" x14ac:dyDescent="0.25">
      <c r="A2132" s="461">
        <v>34800</v>
      </c>
      <c r="B2132" s="460" t="s">
        <v>13199</v>
      </c>
      <c r="C2132" s="461" t="s">
        <v>1105</v>
      </c>
      <c r="D2132" s="461">
        <v>299.02</v>
      </c>
      <c r="E2132" s="461" t="s">
        <v>161</v>
      </c>
      <c r="F2132" s="461" t="s">
        <v>8326</v>
      </c>
    </row>
    <row r="2133" spans="1:6" ht="30" x14ac:dyDescent="0.25">
      <c r="A2133" s="461">
        <v>11592</v>
      </c>
      <c r="B2133" s="460" t="s">
        <v>10318</v>
      </c>
      <c r="C2133" s="461" t="s">
        <v>1104</v>
      </c>
      <c r="D2133" s="461">
        <v>427.73</v>
      </c>
      <c r="E2133" s="461" t="s">
        <v>161</v>
      </c>
      <c r="F2133" s="461" t="s">
        <v>8326</v>
      </c>
    </row>
    <row r="2134" spans="1:6" ht="30" x14ac:dyDescent="0.25">
      <c r="A2134" s="461">
        <v>40438</v>
      </c>
      <c r="B2134" s="460" t="s">
        <v>10319</v>
      </c>
      <c r="C2134" s="461" t="s">
        <v>1105</v>
      </c>
      <c r="D2134" s="461">
        <v>199.21</v>
      </c>
      <c r="E2134" s="461" t="s">
        <v>161</v>
      </c>
      <c r="F2134" s="461" t="s">
        <v>8326</v>
      </c>
    </row>
    <row r="2135" spans="1:6" ht="30" x14ac:dyDescent="0.25">
      <c r="A2135" s="461">
        <v>40436</v>
      </c>
      <c r="B2135" s="460" t="s">
        <v>10320</v>
      </c>
      <c r="C2135" s="461" t="s">
        <v>1105</v>
      </c>
      <c r="D2135" s="461">
        <v>248.4</v>
      </c>
      <c r="E2135" s="461" t="s">
        <v>161</v>
      </c>
      <c r="F2135" s="461" t="s">
        <v>8326</v>
      </c>
    </row>
    <row r="2136" spans="1:6" ht="30" x14ac:dyDescent="0.25">
      <c r="A2136" s="461">
        <v>11596</v>
      </c>
      <c r="B2136" s="460" t="s">
        <v>13200</v>
      </c>
      <c r="C2136" s="461" t="s">
        <v>1104</v>
      </c>
      <c r="D2136" s="461">
        <v>339.68</v>
      </c>
      <c r="E2136" s="461" t="s">
        <v>161</v>
      </c>
      <c r="F2136" s="461" t="s">
        <v>8326</v>
      </c>
    </row>
    <row r="2137" spans="1:6" ht="30" x14ac:dyDescent="0.25">
      <c r="A2137" s="461">
        <v>4315</v>
      </c>
      <c r="B2137" s="460" t="s">
        <v>10321</v>
      </c>
      <c r="C2137" s="461" t="s">
        <v>1104</v>
      </c>
      <c r="D2137" s="461">
        <v>2.48</v>
      </c>
      <c r="E2137" s="461" t="s">
        <v>161</v>
      </c>
      <c r="F2137" s="461" t="s">
        <v>8328</v>
      </c>
    </row>
    <row r="2138" spans="1:6" ht="15" x14ac:dyDescent="0.25">
      <c r="A2138" s="461">
        <v>402</v>
      </c>
      <c r="B2138" s="460" t="s">
        <v>10322</v>
      </c>
      <c r="C2138" s="461" t="s">
        <v>1104</v>
      </c>
      <c r="D2138" s="461">
        <v>17.22</v>
      </c>
      <c r="E2138" s="461" t="s">
        <v>161</v>
      </c>
      <c r="F2138" s="461" t="s">
        <v>8326</v>
      </c>
    </row>
    <row r="2139" spans="1:6" ht="15" x14ac:dyDescent="0.25">
      <c r="A2139" s="461">
        <v>4226</v>
      </c>
      <c r="B2139" s="460" t="s">
        <v>10323</v>
      </c>
      <c r="C2139" s="461" t="s">
        <v>1108</v>
      </c>
      <c r="D2139" s="461">
        <v>7.41</v>
      </c>
      <c r="E2139" s="461" t="s">
        <v>161</v>
      </c>
      <c r="F2139" s="461" t="s">
        <v>8333</v>
      </c>
    </row>
    <row r="2140" spans="1:6" ht="15" x14ac:dyDescent="0.25">
      <c r="A2140" s="461">
        <v>4222</v>
      </c>
      <c r="B2140" s="460" t="s">
        <v>10324</v>
      </c>
      <c r="C2140" s="461" t="s">
        <v>1109</v>
      </c>
      <c r="D2140" s="461">
        <v>5.84</v>
      </c>
      <c r="E2140" s="461" t="s">
        <v>161</v>
      </c>
      <c r="F2140" s="461" t="s">
        <v>8333</v>
      </c>
    </row>
    <row r="2141" spans="1:6" ht="45" x14ac:dyDescent="0.25">
      <c r="A2141" s="461">
        <v>34804</v>
      </c>
      <c r="B2141" s="460" t="s">
        <v>10325</v>
      </c>
      <c r="C2141" s="461" t="s">
        <v>1106</v>
      </c>
      <c r="D2141" s="461">
        <v>36.11</v>
      </c>
      <c r="E2141" s="461" t="s">
        <v>161</v>
      </c>
      <c r="F2141" s="461" t="s">
        <v>8326</v>
      </c>
    </row>
    <row r="2142" spans="1:6" ht="30" x14ac:dyDescent="0.25">
      <c r="A2142" s="461">
        <v>4013</v>
      </c>
      <c r="B2142" s="460" t="s">
        <v>10326</v>
      </c>
      <c r="C2142" s="461" t="s">
        <v>1106</v>
      </c>
      <c r="D2142" s="461">
        <v>6.09</v>
      </c>
      <c r="E2142" s="461" t="s">
        <v>161</v>
      </c>
      <c r="F2142" s="461" t="s">
        <v>8326</v>
      </c>
    </row>
    <row r="2143" spans="1:6" ht="30" x14ac:dyDescent="0.25">
      <c r="A2143" s="461">
        <v>4011</v>
      </c>
      <c r="B2143" s="460" t="s">
        <v>10327</v>
      </c>
      <c r="C2143" s="461" t="s">
        <v>1106</v>
      </c>
      <c r="D2143" s="461">
        <v>6.8</v>
      </c>
      <c r="E2143" s="461" t="s">
        <v>161</v>
      </c>
      <c r="F2143" s="461" t="s">
        <v>8326</v>
      </c>
    </row>
    <row r="2144" spans="1:6" ht="30" x14ac:dyDescent="0.25">
      <c r="A2144" s="461">
        <v>4021</v>
      </c>
      <c r="B2144" s="460" t="s">
        <v>10328</v>
      </c>
      <c r="C2144" s="461" t="s">
        <v>1106</v>
      </c>
      <c r="D2144" s="461">
        <v>8.48</v>
      </c>
      <c r="E2144" s="461" t="s">
        <v>161</v>
      </c>
      <c r="F2144" s="461" t="s">
        <v>8326</v>
      </c>
    </row>
    <row r="2145" spans="1:6" ht="30" x14ac:dyDescent="0.25">
      <c r="A2145" s="461">
        <v>4019</v>
      </c>
      <c r="B2145" s="460" t="s">
        <v>10329</v>
      </c>
      <c r="C2145" s="461" t="s">
        <v>1106</v>
      </c>
      <c r="D2145" s="461">
        <v>10.19</v>
      </c>
      <c r="E2145" s="461" t="s">
        <v>161</v>
      </c>
      <c r="F2145" s="461" t="s">
        <v>8326</v>
      </c>
    </row>
    <row r="2146" spans="1:6" ht="30" x14ac:dyDescent="0.25">
      <c r="A2146" s="461">
        <v>4012</v>
      </c>
      <c r="B2146" s="460" t="s">
        <v>10330</v>
      </c>
      <c r="C2146" s="461" t="s">
        <v>1106</v>
      </c>
      <c r="D2146" s="461">
        <v>13.65</v>
      </c>
      <c r="E2146" s="461" t="s">
        <v>161</v>
      </c>
      <c r="F2146" s="461" t="s">
        <v>8326</v>
      </c>
    </row>
    <row r="2147" spans="1:6" ht="30" x14ac:dyDescent="0.25">
      <c r="A2147" s="461">
        <v>4020</v>
      </c>
      <c r="B2147" s="460" t="s">
        <v>10331</v>
      </c>
      <c r="C2147" s="461" t="s">
        <v>1106</v>
      </c>
      <c r="D2147" s="461">
        <v>17.09</v>
      </c>
      <c r="E2147" s="461" t="s">
        <v>161</v>
      </c>
      <c r="F2147" s="461" t="s">
        <v>8326</v>
      </c>
    </row>
    <row r="2148" spans="1:6" ht="30" x14ac:dyDescent="0.25">
      <c r="A2148" s="461">
        <v>4018</v>
      </c>
      <c r="B2148" s="460" t="s">
        <v>10332</v>
      </c>
      <c r="C2148" s="461" t="s">
        <v>1106</v>
      </c>
      <c r="D2148" s="461">
        <v>20.47</v>
      </c>
      <c r="E2148" s="461" t="s">
        <v>161</v>
      </c>
      <c r="F2148" s="461" t="s">
        <v>8326</v>
      </c>
    </row>
    <row r="2149" spans="1:6" ht="30" x14ac:dyDescent="0.25">
      <c r="A2149" s="461">
        <v>36498</v>
      </c>
      <c r="B2149" s="460" t="s">
        <v>10333</v>
      </c>
      <c r="C2149" s="461" t="s">
        <v>1104</v>
      </c>
      <c r="D2149" s="461">
        <v>8600.61</v>
      </c>
      <c r="E2149" s="461" t="s">
        <v>1497</v>
      </c>
      <c r="F2149" s="461" t="s">
        <v>8328</v>
      </c>
    </row>
    <row r="2150" spans="1:6" ht="15" x14ac:dyDescent="0.25">
      <c r="A2150" s="461">
        <v>12872</v>
      </c>
      <c r="B2150" s="460" t="s">
        <v>10334</v>
      </c>
      <c r="C2150" s="461" t="s">
        <v>1103</v>
      </c>
      <c r="D2150" s="461">
        <v>21.83</v>
      </c>
      <c r="E2150" s="461" t="s">
        <v>4455</v>
      </c>
      <c r="F2150" s="461" t="s">
        <v>8326</v>
      </c>
    </row>
    <row r="2151" spans="1:6" ht="15" x14ac:dyDescent="0.25">
      <c r="A2151" s="461">
        <v>41075</v>
      </c>
      <c r="B2151" s="460" t="s">
        <v>10335</v>
      </c>
      <c r="C2151" s="461" t="s">
        <v>1110</v>
      </c>
      <c r="D2151" s="461">
        <v>3886.77</v>
      </c>
      <c r="E2151" s="461" t="s">
        <v>4455</v>
      </c>
      <c r="F2151" s="461" t="s">
        <v>8326</v>
      </c>
    </row>
    <row r="2152" spans="1:6" ht="15" x14ac:dyDescent="0.25">
      <c r="A2152" s="461">
        <v>44324</v>
      </c>
      <c r="B2152" s="460" t="s">
        <v>10336</v>
      </c>
      <c r="C2152" s="461" t="s">
        <v>1108</v>
      </c>
      <c r="D2152" s="461">
        <v>2.4500000000000002</v>
      </c>
      <c r="E2152" s="461" t="s">
        <v>161</v>
      </c>
      <c r="F2152" s="461" t="s">
        <v>8326</v>
      </c>
    </row>
    <row r="2153" spans="1:6" ht="15" x14ac:dyDescent="0.25">
      <c r="A2153" s="461">
        <v>3315</v>
      </c>
      <c r="B2153" s="460" t="s">
        <v>10337</v>
      </c>
      <c r="C2153" s="461" t="s">
        <v>1108</v>
      </c>
      <c r="D2153" s="461">
        <v>0.71</v>
      </c>
      <c r="E2153" s="461" t="s">
        <v>161</v>
      </c>
      <c r="F2153" s="461" t="s">
        <v>8326</v>
      </c>
    </row>
    <row r="2154" spans="1:6" ht="15" x14ac:dyDescent="0.25">
      <c r="A2154" s="461">
        <v>36870</v>
      </c>
      <c r="B2154" s="460" t="s">
        <v>10338</v>
      </c>
      <c r="C2154" s="461" t="s">
        <v>1108</v>
      </c>
      <c r="D2154" s="511">
        <v>0.55000000000000004</v>
      </c>
      <c r="E2154" s="461" t="s">
        <v>161</v>
      </c>
      <c r="F2154" s="461" t="s">
        <v>8326</v>
      </c>
    </row>
    <row r="2155" spans="1:6" ht="30" x14ac:dyDescent="0.25">
      <c r="A2155" s="461">
        <v>5092</v>
      </c>
      <c r="B2155" s="460" t="s">
        <v>13201</v>
      </c>
      <c r="C2155" s="461" t="s">
        <v>1111</v>
      </c>
      <c r="D2155" s="461">
        <v>16.23</v>
      </c>
      <c r="E2155" s="461" t="s">
        <v>161</v>
      </c>
      <c r="F2155" s="461" t="s">
        <v>8326</v>
      </c>
    </row>
    <row r="2156" spans="1:6" ht="30" x14ac:dyDescent="0.25">
      <c r="A2156" s="461">
        <v>11462</v>
      </c>
      <c r="B2156" s="460" t="s">
        <v>10339</v>
      </c>
      <c r="C2156" s="461" t="s">
        <v>1111</v>
      </c>
      <c r="D2156" s="511">
        <v>16.600000000000001</v>
      </c>
      <c r="E2156" s="461" t="s">
        <v>161</v>
      </c>
      <c r="F2156" s="461" t="s">
        <v>8326</v>
      </c>
    </row>
    <row r="2157" spans="1:6" ht="30" x14ac:dyDescent="0.25">
      <c r="A2157" s="461">
        <v>36529</v>
      </c>
      <c r="B2157" s="460" t="s">
        <v>10340</v>
      </c>
      <c r="C2157" s="461" t="s">
        <v>1104</v>
      </c>
      <c r="D2157" s="461">
        <v>62499.99</v>
      </c>
      <c r="E2157" s="461" t="s">
        <v>1497</v>
      </c>
      <c r="F2157" s="461" t="s">
        <v>8328</v>
      </c>
    </row>
    <row r="2158" spans="1:6" ht="30" x14ac:dyDescent="0.25">
      <c r="A2158" s="461">
        <v>3318</v>
      </c>
      <c r="B2158" s="460" t="s">
        <v>13202</v>
      </c>
      <c r="C2158" s="461" t="s">
        <v>1104</v>
      </c>
      <c r="D2158" s="461">
        <v>49000</v>
      </c>
      <c r="E2158" s="461" t="s">
        <v>161</v>
      </c>
      <c r="F2158" s="461" t="s">
        <v>8328</v>
      </c>
    </row>
    <row r="2159" spans="1:6" ht="15" x14ac:dyDescent="0.25">
      <c r="A2159" s="461">
        <v>3324</v>
      </c>
      <c r="B2159" s="460" t="s">
        <v>10341</v>
      </c>
      <c r="C2159" s="461" t="s">
        <v>1106</v>
      </c>
      <c r="D2159" s="461">
        <v>13.21</v>
      </c>
      <c r="E2159" s="461" t="s">
        <v>161</v>
      </c>
      <c r="F2159" s="461" t="s">
        <v>8326</v>
      </c>
    </row>
    <row r="2160" spans="1:6" ht="15" x14ac:dyDescent="0.25">
      <c r="A2160" s="461">
        <v>3322</v>
      </c>
      <c r="B2160" s="460" t="s">
        <v>10342</v>
      </c>
      <c r="C2160" s="461" t="s">
        <v>1106</v>
      </c>
      <c r="D2160" s="461">
        <v>18.5</v>
      </c>
      <c r="E2160" s="461" t="s">
        <v>161</v>
      </c>
      <c r="F2160" s="461" t="s">
        <v>8333</v>
      </c>
    </row>
    <row r="2161" spans="1:6" ht="15" x14ac:dyDescent="0.25">
      <c r="A2161" s="461">
        <v>5076</v>
      </c>
      <c r="B2161" s="460" t="s">
        <v>13203</v>
      </c>
      <c r="C2161" s="461" t="s">
        <v>1108</v>
      </c>
      <c r="D2161" s="461">
        <v>19.11</v>
      </c>
      <c r="E2161" s="461" t="s">
        <v>161</v>
      </c>
      <c r="F2161" s="461" t="s">
        <v>8326</v>
      </c>
    </row>
    <row r="2162" spans="1:6" ht="15" x14ac:dyDescent="0.25">
      <c r="A2162" s="461">
        <v>5077</v>
      </c>
      <c r="B2162" s="460" t="s">
        <v>13204</v>
      </c>
      <c r="C2162" s="461" t="s">
        <v>1108</v>
      </c>
      <c r="D2162" s="511">
        <v>21.12</v>
      </c>
      <c r="E2162" s="461" t="s">
        <v>161</v>
      </c>
      <c r="F2162" s="461" t="s">
        <v>8326</v>
      </c>
    </row>
    <row r="2163" spans="1:6" ht="30" x14ac:dyDescent="0.25">
      <c r="A2163" s="461">
        <v>11837</v>
      </c>
      <c r="B2163" s="460" t="s">
        <v>10343</v>
      </c>
      <c r="C2163" s="461" t="s">
        <v>1104</v>
      </c>
      <c r="D2163" s="511">
        <v>65.489999999999995</v>
      </c>
      <c r="E2163" s="461" t="s">
        <v>161</v>
      </c>
      <c r="F2163" s="461" t="s">
        <v>8326</v>
      </c>
    </row>
    <row r="2164" spans="1:6" ht="30" x14ac:dyDescent="0.25">
      <c r="A2164" s="461">
        <v>38055</v>
      </c>
      <c r="B2164" s="460" t="s">
        <v>13205</v>
      </c>
      <c r="C2164" s="461" t="s">
        <v>1104</v>
      </c>
      <c r="D2164" s="461">
        <v>5.94</v>
      </c>
      <c r="E2164" s="461" t="s">
        <v>161</v>
      </c>
      <c r="F2164" s="461" t="s">
        <v>8326</v>
      </c>
    </row>
    <row r="2165" spans="1:6" ht="30" x14ac:dyDescent="0.25">
      <c r="A2165" s="461">
        <v>415</v>
      </c>
      <c r="B2165" s="460" t="s">
        <v>13206</v>
      </c>
      <c r="C2165" s="461" t="s">
        <v>1104</v>
      </c>
      <c r="D2165" s="461">
        <v>26.85</v>
      </c>
      <c r="E2165" s="461" t="s">
        <v>161</v>
      </c>
      <c r="F2165" s="461" t="s">
        <v>8326</v>
      </c>
    </row>
    <row r="2166" spans="1:6" ht="30" x14ac:dyDescent="0.25">
      <c r="A2166" s="461">
        <v>416</v>
      </c>
      <c r="B2166" s="460" t="s">
        <v>13207</v>
      </c>
      <c r="C2166" s="461" t="s">
        <v>1104</v>
      </c>
      <c r="D2166" s="461">
        <v>9.83</v>
      </c>
      <c r="E2166" s="461" t="s">
        <v>161</v>
      </c>
      <c r="F2166" s="461" t="s">
        <v>8326</v>
      </c>
    </row>
    <row r="2167" spans="1:6" ht="30" x14ac:dyDescent="0.25">
      <c r="A2167" s="461">
        <v>425</v>
      </c>
      <c r="B2167" s="460" t="s">
        <v>13208</v>
      </c>
      <c r="C2167" s="461" t="s">
        <v>1104</v>
      </c>
      <c r="D2167" s="461">
        <v>6.09</v>
      </c>
      <c r="E2167" s="461" t="s">
        <v>161</v>
      </c>
      <c r="F2167" s="461" t="s">
        <v>8326</v>
      </c>
    </row>
    <row r="2168" spans="1:6" ht="30" x14ac:dyDescent="0.25">
      <c r="A2168" s="461">
        <v>426</v>
      </c>
      <c r="B2168" s="460" t="s">
        <v>13209</v>
      </c>
      <c r="C2168" s="461" t="s">
        <v>1104</v>
      </c>
      <c r="D2168" s="461">
        <v>33.56</v>
      </c>
      <c r="E2168" s="461" t="s">
        <v>161</v>
      </c>
      <c r="F2168" s="461" t="s">
        <v>8326</v>
      </c>
    </row>
    <row r="2169" spans="1:6" ht="30" x14ac:dyDescent="0.25">
      <c r="A2169" s="461">
        <v>38056</v>
      </c>
      <c r="B2169" s="460" t="s">
        <v>13210</v>
      </c>
      <c r="C2169" s="461" t="s">
        <v>1104</v>
      </c>
      <c r="D2169" s="461">
        <v>32.770000000000003</v>
      </c>
      <c r="E2169" s="461" t="s">
        <v>161</v>
      </c>
      <c r="F2169" s="461" t="s">
        <v>8326</v>
      </c>
    </row>
    <row r="2170" spans="1:6" ht="15" x14ac:dyDescent="0.25">
      <c r="A2170" s="461">
        <v>1564</v>
      </c>
      <c r="B2170" s="460" t="s">
        <v>10344</v>
      </c>
      <c r="C2170" s="461" t="s">
        <v>1104</v>
      </c>
      <c r="D2170" s="461">
        <v>12.51</v>
      </c>
      <c r="E2170" s="461" t="s">
        <v>161</v>
      </c>
      <c r="F2170" s="461" t="s">
        <v>8326</v>
      </c>
    </row>
    <row r="2171" spans="1:6" ht="15" x14ac:dyDescent="0.25">
      <c r="A2171" s="461">
        <v>11032</v>
      </c>
      <c r="B2171" s="460" t="s">
        <v>13211</v>
      </c>
      <c r="C2171" s="461" t="s">
        <v>1104</v>
      </c>
      <c r="D2171" s="461">
        <v>13.99</v>
      </c>
      <c r="E2171" s="461" t="s">
        <v>161</v>
      </c>
      <c r="F2171" s="461" t="s">
        <v>8328</v>
      </c>
    </row>
    <row r="2172" spans="1:6" ht="30" x14ac:dyDescent="0.25">
      <c r="A2172" s="461">
        <v>36786</v>
      </c>
      <c r="B2172" s="460" t="s">
        <v>10345</v>
      </c>
      <c r="C2172" s="461" t="s">
        <v>1118</v>
      </c>
      <c r="D2172" s="461">
        <v>154.63999999999999</v>
      </c>
      <c r="E2172" s="461" t="s">
        <v>161</v>
      </c>
      <c r="F2172" s="461" t="s">
        <v>8328</v>
      </c>
    </row>
    <row r="2173" spans="1:6" ht="30" x14ac:dyDescent="0.25">
      <c r="A2173" s="461">
        <v>36785</v>
      </c>
      <c r="B2173" s="460" t="s">
        <v>10346</v>
      </c>
      <c r="C2173" s="461" t="s">
        <v>1118</v>
      </c>
      <c r="D2173" s="461">
        <v>134.38</v>
      </c>
      <c r="E2173" s="461" t="s">
        <v>161</v>
      </c>
      <c r="F2173" s="461" t="s">
        <v>8328</v>
      </c>
    </row>
    <row r="2174" spans="1:6" ht="30" x14ac:dyDescent="0.25">
      <c r="A2174" s="461">
        <v>36782</v>
      </c>
      <c r="B2174" s="460" t="s">
        <v>10347</v>
      </c>
      <c r="C2174" s="461" t="s">
        <v>1118</v>
      </c>
      <c r="D2174" s="461">
        <v>160.4</v>
      </c>
      <c r="E2174" s="461" t="s">
        <v>161</v>
      </c>
      <c r="F2174" s="461" t="s">
        <v>8328</v>
      </c>
    </row>
    <row r="2175" spans="1:6" ht="30" x14ac:dyDescent="0.25">
      <c r="A2175" s="461">
        <v>44481</v>
      </c>
      <c r="B2175" s="460" t="s">
        <v>10348</v>
      </c>
      <c r="C2175" s="461" t="s">
        <v>1118</v>
      </c>
      <c r="D2175" s="461">
        <v>180.68</v>
      </c>
      <c r="E2175" s="461" t="s">
        <v>161</v>
      </c>
      <c r="F2175" s="461" t="s">
        <v>8328</v>
      </c>
    </row>
    <row r="2176" spans="1:6" ht="30" x14ac:dyDescent="0.25">
      <c r="A2176" s="461">
        <v>4824</v>
      </c>
      <c r="B2176" s="460" t="s">
        <v>10349</v>
      </c>
      <c r="C2176" s="461" t="s">
        <v>1108</v>
      </c>
      <c r="D2176" s="461">
        <v>0.49</v>
      </c>
      <c r="E2176" s="461" t="s">
        <v>161</v>
      </c>
      <c r="F2176" s="461" t="s">
        <v>8326</v>
      </c>
    </row>
    <row r="2177" spans="1:6" ht="30" x14ac:dyDescent="0.25">
      <c r="A2177" s="461">
        <v>11795</v>
      </c>
      <c r="B2177" s="460" t="s">
        <v>13212</v>
      </c>
      <c r="C2177" s="461" t="s">
        <v>1106</v>
      </c>
      <c r="D2177" s="461">
        <v>517.94000000000005</v>
      </c>
      <c r="E2177" s="461" t="s">
        <v>161</v>
      </c>
      <c r="F2177" s="461" t="s">
        <v>8326</v>
      </c>
    </row>
    <row r="2178" spans="1:6" ht="15" x14ac:dyDescent="0.25">
      <c r="A2178" s="461">
        <v>134</v>
      </c>
      <c r="B2178" s="460" t="s">
        <v>10350</v>
      </c>
      <c r="C2178" s="461" t="s">
        <v>1108</v>
      </c>
      <c r="D2178" s="461">
        <v>1.88</v>
      </c>
      <c r="E2178" s="461" t="s">
        <v>161</v>
      </c>
      <c r="F2178" s="461" t="s">
        <v>8326</v>
      </c>
    </row>
    <row r="2179" spans="1:6" ht="30" x14ac:dyDescent="0.25">
      <c r="A2179" s="461">
        <v>4229</v>
      </c>
      <c r="B2179" s="460" t="s">
        <v>10351</v>
      </c>
      <c r="C2179" s="461" t="s">
        <v>1108</v>
      </c>
      <c r="D2179" s="461">
        <v>43.27</v>
      </c>
      <c r="E2179" s="461" t="s">
        <v>161</v>
      </c>
      <c r="F2179" s="461" t="s">
        <v>8326</v>
      </c>
    </row>
    <row r="2180" spans="1:6" ht="15" x14ac:dyDescent="0.25">
      <c r="A2180" s="461">
        <v>11731</v>
      </c>
      <c r="B2180" s="460" t="s">
        <v>10352</v>
      </c>
      <c r="C2180" s="461" t="s">
        <v>1104</v>
      </c>
      <c r="D2180" s="461">
        <v>13.47</v>
      </c>
      <c r="E2180" s="461" t="s">
        <v>161</v>
      </c>
      <c r="F2180" s="461" t="s">
        <v>8326</v>
      </c>
    </row>
    <row r="2181" spans="1:6" ht="15" x14ac:dyDescent="0.25">
      <c r="A2181" s="461">
        <v>11732</v>
      </c>
      <c r="B2181" s="460" t="s">
        <v>10353</v>
      </c>
      <c r="C2181" s="461" t="s">
        <v>1104</v>
      </c>
      <c r="D2181" s="461">
        <v>35.299999999999997</v>
      </c>
      <c r="E2181" s="461" t="s">
        <v>161</v>
      </c>
      <c r="F2181" s="461" t="s">
        <v>8326</v>
      </c>
    </row>
    <row r="2182" spans="1:6" ht="15" x14ac:dyDescent="0.25">
      <c r="A2182" s="461">
        <v>11244</v>
      </c>
      <c r="B2182" s="460" t="s">
        <v>10354</v>
      </c>
      <c r="C2182" s="461" t="s">
        <v>1104</v>
      </c>
      <c r="D2182" s="461">
        <v>302.31</v>
      </c>
      <c r="E2182" s="461" t="s">
        <v>161</v>
      </c>
      <c r="F2182" s="461" t="s">
        <v>8328</v>
      </c>
    </row>
    <row r="2183" spans="1:6" ht="30" x14ac:dyDescent="0.25">
      <c r="A2183" s="461">
        <v>11235</v>
      </c>
      <c r="B2183" s="460" t="s">
        <v>10355</v>
      </c>
      <c r="C2183" s="461" t="s">
        <v>1104</v>
      </c>
      <c r="D2183" s="461">
        <v>230.69</v>
      </c>
      <c r="E2183" s="461" t="s">
        <v>161</v>
      </c>
      <c r="F2183" s="461" t="s">
        <v>8328</v>
      </c>
    </row>
    <row r="2184" spans="1:6" ht="30" x14ac:dyDescent="0.25">
      <c r="A2184" s="461">
        <v>11236</v>
      </c>
      <c r="B2184" s="460" t="s">
        <v>10356</v>
      </c>
      <c r="C2184" s="461" t="s">
        <v>1104</v>
      </c>
      <c r="D2184" s="461">
        <v>293.17</v>
      </c>
      <c r="E2184" s="461" t="s">
        <v>161</v>
      </c>
      <c r="F2184" s="461" t="s">
        <v>8328</v>
      </c>
    </row>
    <row r="2185" spans="1:6" ht="30" x14ac:dyDescent="0.25">
      <c r="A2185" s="461">
        <v>11245</v>
      </c>
      <c r="B2185" s="460" t="s">
        <v>13213</v>
      </c>
      <c r="C2185" s="461" t="s">
        <v>1104</v>
      </c>
      <c r="D2185" s="461">
        <v>418.13</v>
      </c>
      <c r="E2185" s="461" t="s">
        <v>161</v>
      </c>
      <c r="F2185" s="461" t="s">
        <v>8328</v>
      </c>
    </row>
    <row r="2186" spans="1:6" ht="15" x14ac:dyDescent="0.25">
      <c r="A2186" s="461">
        <v>36494</v>
      </c>
      <c r="B2186" s="460" t="s">
        <v>10357</v>
      </c>
      <c r="C2186" s="461" t="s">
        <v>1104</v>
      </c>
      <c r="D2186" s="461">
        <v>719505.07</v>
      </c>
      <c r="E2186" s="461" t="s">
        <v>1497</v>
      </c>
      <c r="F2186" s="461" t="s">
        <v>8328</v>
      </c>
    </row>
    <row r="2187" spans="1:6" ht="15" x14ac:dyDescent="0.25">
      <c r="A2187" s="461">
        <v>36493</v>
      </c>
      <c r="B2187" s="460" t="s">
        <v>10358</v>
      </c>
      <c r="C2187" s="461" t="s">
        <v>1104</v>
      </c>
      <c r="D2187" s="461">
        <v>815170.02</v>
      </c>
      <c r="E2187" s="461" t="s">
        <v>1497</v>
      </c>
      <c r="F2187" s="461" t="s">
        <v>8328</v>
      </c>
    </row>
    <row r="2188" spans="1:6" ht="30" x14ac:dyDescent="0.25">
      <c r="A2188" s="461">
        <v>36492</v>
      </c>
      <c r="B2188" s="460" t="s">
        <v>10359</v>
      </c>
      <c r="C2188" s="461" t="s">
        <v>1104</v>
      </c>
      <c r="D2188" s="461">
        <v>1514276.75</v>
      </c>
      <c r="E2188" s="461" t="s">
        <v>1497</v>
      </c>
      <c r="F2188" s="461" t="s">
        <v>8328</v>
      </c>
    </row>
    <row r="2189" spans="1:6" ht="30" x14ac:dyDescent="0.25">
      <c r="A2189" s="461">
        <v>36499</v>
      </c>
      <c r="B2189" s="460" t="s">
        <v>10360</v>
      </c>
      <c r="C2189" s="461" t="s">
        <v>1104</v>
      </c>
      <c r="D2189" s="461">
        <v>4644.33</v>
      </c>
      <c r="E2189" s="461" t="s">
        <v>1497</v>
      </c>
      <c r="F2189" s="461" t="s">
        <v>8328</v>
      </c>
    </row>
    <row r="2190" spans="1:6" ht="45" x14ac:dyDescent="0.25">
      <c r="A2190" s="461">
        <v>13533</v>
      </c>
      <c r="B2190" s="460" t="s">
        <v>10361</v>
      </c>
      <c r="C2190" s="461" t="s">
        <v>1104</v>
      </c>
      <c r="D2190" s="461">
        <v>212898.11</v>
      </c>
      <c r="E2190" s="461" t="s">
        <v>1497</v>
      </c>
      <c r="F2190" s="461" t="s">
        <v>8328</v>
      </c>
    </row>
    <row r="2191" spans="1:6" ht="45" x14ac:dyDescent="0.25">
      <c r="A2191" s="461">
        <v>13333</v>
      </c>
      <c r="B2191" s="460" t="s">
        <v>10362</v>
      </c>
      <c r="C2191" s="461" t="s">
        <v>1104</v>
      </c>
      <c r="D2191" s="511">
        <v>238170.66</v>
      </c>
      <c r="E2191" s="461" t="s">
        <v>1497</v>
      </c>
      <c r="F2191" s="461" t="s">
        <v>8328</v>
      </c>
    </row>
    <row r="2192" spans="1:6" ht="30" x14ac:dyDescent="0.25">
      <c r="A2192" s="461">
        <v>39585</v>
      </c>
      <c r="B2192" s="460" t="s">
        <v>10363</v>
      </c>
      <c r="C2192" s="461" t="s">
        <v>1104</v>
      </c>
      <c r="D2192" s="511">
        <v>153786.79</v>
      </c>
      <c r="E2192" s="461" t="s">
        <v>1497</v>
      </c>
      <c r="F2192" s="461" t="s">
        <v>8328</v>
      </c>
    </row>
    <row r="2193" spans="1:6" ht="30" x14ac:dyDescent="0.25">
      <c r="A2193" s="461">
        <v>39586</v>
      </c>
      <c r="B2193" s="460" t="s">
        <v>10364</v>
      </c>
      <c r="C2193" s="461" t="s">
        <v>1104</v>
      </c>
      <c r="D2193" s="511">
        <v>180381.49</v>
      </c>
      <c r="E2193" s="461" t="s">
        <v>1497</v>
      </c>
      <c r="F2193" s="461" t="s">
        <v>8328</v>
      </c>
    </row>
    <row r="2194" spans="1:6" ht="30" x14ac:dyDescent="0.25">
      <c r="A2194" s="461">
        <v>39587</v>
      </c>
      <c r="B2194" s="460" t="s">
        <v>10365</v>
      </c>
      <c r="C2194" s="461" t="s">
        <v>1104</v>
      </c>
      <c r="D2194" s="511">
        <v>219695.42</v>
      </c>
      <c r="E2194" s="461" t="s">
        <v>1497</v>
      </c>
      <c r="F2194" s="461" t="s">
        <v>8328</v>
      </c>
    </row>
    <row r="2195" spans="1:6" ht="30" x14ac:dyDescent="0.25">
      <c r="A2195" s="461">
        <v>39588</v>
      </c>
      <c r="B2195" s="460" t="s">
        <v>10366</v>
      </c>
      <c r="C2195" s="461" t="s">
        <v>1104</v>
      </c>
      <c r="D2195" s="511">
        <v>254384.16</v>
      </c>
      <c r="E2195" s="461" t="s">
        <v>1497</v>
      </c>
      <c r="F2195" s="461" t="s">
        <v>8328</v>
      </c>
    </row>
    <row r="2196" spans="1:6" ht="30" x14ac:dyDescent="0.25">
      <c r="A2196" s="461">
        <v>39584</v>
      </c>
      <c r="B2196" s="460" t="s">
        <v>10367</v>
      </c>
      <c r="C2196" s="461" t="s">
        <v>1104</v>
      </c>
      <c r="D2196" s="511">
        <v>136951.18</v>
      </c>
      <c r="E2196" s="461" t="s">
        <v>1497</v>
      </c>
      <c r="F2196" s="461" t="s">
        <v>8328</v>
      </c>
    </row>
    <row r="2197" spans="1:6" ht="30" x14ac:dyDescent="0.25">
      <c r="A2197" s="461">
        <v>39590</v>
      </c>
      <c r="B2197" s="460" t="s">
        <v>10368</v>
      </c>
      <c r="C2197" s="461" t="s">
        <v>1104</v>
      </c>
      <c r="D2197" s="511">
        <v>133667.32</v>
      </c>
      <c r="E2197" s="461" t="s">
        <v>1497</v>
      </c>
      <c r="F2197" s="461" t="s">
        <v>8328</v>
      </c>
    </row>
    <row r="2198" spans="1:6" ht="30" x14ac:dyDescent="0.25">
      <c r="A2198" s="461">
        <v>39592</v>
      </c>
      <c r="B2198" s="460" t="s">
        <v>10369</v>
      </c>
      <c r="C2198" s="461" t="s">
        <v>1104</v>
      </c>
      <c r="D2198" s="511">
        <v>192083.16</v>
      </c>
      <c r="E2198" s="461" t="s">
        <v>1497</v>
      </c>
      <c r="F2198" s="461" t="s">
        <v>8328</v>
      </c>
    </row>
    <row r="2199" spans="1:6" ht="30" x14ac:dyDescent="0.25">
      <c r="A2199" s="461">
        <v>39593</v>
      </c>
      <c r="B2199" s="460" t="s">
        <v>10370</v>
      </c>
      <c r="C2199" s="461" t="s">
        <v>1104</v>
      </c>
      <c r="D2199" s="511">
        <v>219695.42</v>
      </c>
      <c r="E2199" s="461" t="s">
        <v>1497</v>
      </c>
      <c r="F2199" s="461" t="s">
        <v>8328</v>
      </c>
    </row>
    <row r="2200" spans="1:6" ht="30" x14ac:dyDescent="0.25">
      <c r="A2200" s="461">
        <v>14254</v>
      </c>
      <c r="B2200" s="460" t="s">
        <v>10371</v>
      </c>
      <c r="C2200" s="461" t="s">
        <v>1104</v>
      </c>
      <c r="D2200" s="511">
        <v>124879.5</v>
      </c>
      <c r="E2200" s="461" t="s">
        <v>1497</v>
      </c>
      <c r="F2200" s="461" t="s">
        <v>8328</v>
      </c>
    </row>
    <row r="2201" spans="1:6" ht="15" x14ac:dyDescent="0.25">
      <c r="A2201" s="461">
        <v>44494</v>
      </c>
      <c r="B2201" s="460" t="s">
        <v>10372</v>
      </c>
      <c r="C2201" s="461" t="s">
        <v>1104</v>
      </c>
      <c r="D2201" s="511">
        <v>104284.34</v>
      </c>
      <c r="E2201" s="461" t="s">
        <v>1497</v>
      </c>
      <c r="F2201" s="461" t="s">
        <v>8328</v>
      </c>
    </row>
    <row r="2202" spans="1:6" ht="15" x14ac:dyDescent="0.25">
      <c r="A2202" s="461">
        <v>25019</v>
      </c>
      <c r="B2202" s="460" t="s">
        <v>10373</v>
      </c>
      <c r="C2202" s="461" t="s">
        <v>1104</v>
      </c>
      <c r="D2202" s="511">
        <v>178755.02</v>
      </c>
      <c r="E2202" s="461" t="s">
        <v>1497</v>
      </c>
      <c r="F2202" s="461" t="s">
        <v>8328</v>
      </c>
    </row>
    <row r="2203" spans="1:6" ht="15" x14ac:dyDescent="0.25">
      <c r="A2203" s="461">
        <v>36501</v>
      </c>
      <c r="B2203" s="460" t="s">
        <v>10374</v>
      </c>
      <c r="C2203" s="461" t="s">
        <v>1104</v>
      </c>
      <c r="D2203" s="511">
        <v>159153.57</v>
      </c>
      <c r="E2203" s="461" t="s">
        <v>1497</v>
      </c>
      <c r="F2203" s="461" t="s">
        <v>8328</v>
      </c>
    </row>
    <row r="2204" spans="1:6" ht="15" x14ac:dyDescent="0.25">
      <c r="A2204" s="461">
        <v>44493</v>
      </c>
      <c r="B2204" s="460" t="s">
        <v>10375</v>
      </c>
      <c r="C2204" s="461" t="s">
        <v>1104</v>
      </c>
      <c r="D2204" s="511">
        <v>191333.08</v>
      </c>
      <c r="E2204" s="461" t="s">
        <v>1497</v>
      </c>
      <c r="F2204" s="461" t="s">
        <v>8328</v>
      </c>
    </row>
    <row r="2205" spans="1:6" ht="15" x14ac:dyDescent="0.25">
      <c r="A2205" s="461">
        <v>36500</v>
      </c>
      <c r="B2205" s="460" t="s">
        <v>10376</v>
      </c>
      <c r="C2205" s="461" t="s">
        <v>1104</v>
      </c>
      <c r="D2205" s="511">
        <v>112469.48</v>
      </c>
      <c r="E2205" s="461" t="s">
        <v>1497</v>
      </c>
      <c r="F2205" s="461" t="s">
        <v>8328</v>
      </c>
    </row>
    <row r="2206" spans="1:6" ht="45" x14ac:dyDescent="0.25">
      <c r="A2206" s="461">
        <v>20017</v>
      </c>
      <c r="B2206" s="460" t="s">
        <v>13214</v>
      </c>
      <c r="C2206" s="461" t="s">
        <v>1107</v>
      </c>
      <c r="D2206" s="511">
        <v>9.4499999999999993</v>
      </c>
      <c r="E2206" s="461" t="s">
        <v>161</v>
      </c>
      <c r="F2206" s="461" t="s">
        <v>8326</v>
      </c>
    </row>
    <row r="2207" spans="1:6" ht="30" x14ac:dyDescent="0.25">
      <c r="A2207" s="461">
        <v>20007</v>
      </c>
      <c r="B2207" s="460" t="s">
        <v>13215</v>
      </c>
      <c r="C2207" s="461" t="s">
        <v>1107</v>
      </c>
      <c r="D2207" s="511">
        <v>5.64</v>
      </c>
      <c r="E2207" s="461" t="s">
        <v>161</v>
      </c>
      <c r="F2207" s="461" t="s">
        <v>8326</v>
      </c>
    </row>
    <row r="2208" spans="1:6" ht="30" x14ac:dyDescent="0.25">
      <c r="A2208" s="461">
        <v>39831</v>
      </c>
      <c r="B2208" s="460" t="s">
        <v>10377</v>
      </c>
      <c r="C2208" s="461" t="s">
        <v>1112</v>
      </c>
      <c r="D2208" s="511">
        <v>287.14</v>
      </c>
      <c r="E2208" s="461" t="s">
        <v>161</v>
      </c>
      <c r="F2208" s="461" t="s">
        <v>8328</v>
      </c>
    </row>
    <row r="2209" spans="1:6" ht="45" x14ac:dyDescent="0.25">
      <c r="A2209" s="461">
        <v>36888</v>
      </c>
      <c r="B2209" s="460" t="s">
        <v>10378</v>
      </c>
      <c r="C2209" s="461" t="s">
        <v>1107</v>
      </c>
      <c r="D2209" s="511">
        <v>32.33</v>
      </c>
      <c r="E2209" s="461" t="s">
        <v>161</v>
      </c>
      <c r="F2209" s="461" t="s">
        <v>8326</v>
      </c>
    </row>
    <row r="2210" spans="1:6" ht="45" x14ac:dyDescent="0.25">
      <c r="A2210" s="461">
        <v>39836</v>
      </c>
      <c r="B2210" s="460" t="s">
        <v>10379</v>
      </c>
      <c r="C2210" s="461" t="s">
        <v>1112</v>
      </c>
      <c r="D2210" s="511">
        <v>252.3</v>
      </c>
      <c r="E2210" s="461" t="s">
        <v>161</v>
      </c>
      <c r="F2210" s="461" t="s">
        <v>8328</v>
      </c>
    </row>
    <row r="2211" spans="1:6" ht="30" x14ac:dyDescent="0.25">
      <c r="A2211" s="461">
        <v>39830</v>
      </c>
      <c r="B2211" s="460" t="s">
        <v>10380</v>
      </c>
      <c r="C2211" s="461" t="s">
        <v>1112</v>
      </c>
      <c r="D2211" s="461">
        <v>287.75</v>
      </c>
      <c r="E2211" s="461" t="s">
        <v>161</v>
      </c>
      <c r="F2211" s="461" t="s">
        <v>8328</v>
      </c>
    </row>
    <row r="2212" spans="1:6" ht="30" x14ac:dyDescent="0.25">
      <c r="A2212" s="461">
        <v>40527</v>
      </c>
      <c r="B2212" s="460" t="s">
        <v>10381</v>
      </c>
      <c r="C2212" s="461" t="s">
        <v>1104</v>
      </c>
      <c r="D2212" s="461">
        <v>2279.85</v>
      </c>
      <c r="E2212" s="461" t="s">
        <v>1497</v>
      </c>
      <c r="F2212" s="461" t="s">
        <v>8328</v>
      </c>
    </row>
    <row r="2213" spans="1:6" ht="30" x14ac:dyDescent="0.25">
      <c r="A2213" s="461">
        <v>36497</v>
      </c>
      <c r="B2213" s="460" t="s">
        <v>10382</v>
      </c>
      <c r="C2213" s="461" t="s">
        <v>1104</v>
      </c>
      <c r="D2213" s="461">
        <v>2602.6999999999998</v>
      </c>
      <c r="E2213" s="461" t="s">
        <v>1497</v>
      </c>
      <c r="F2213" s="461" t="s">
        <v>8328</v>
      </c>
    </row>
    <row r="2214" spans="1:6" ht="30" x14ac:dyDescent="0.25">
      <c r="A2214" s="461">
        <v>36487</v>
      </c>
      <c r="B2214" s="460" t="s">
        <v>10383</v>
      </c>
      <c r="C2214" s="461" t="s">
        <v>1104</v>
      </c>
      <c r="D2214" s="461">
        <v>4531.7</v>
      </c>
      <c r="E2214" s="461" t="s">
        <v>1497</v>
      </c>
      <c r="F2214" s="461" t="s">
        <v>8328</v>
      </c>
    </row>
    <row r="2215" spans="1:6" ht="30" x14ac:dyDescent="0.25">
      <c r="A2215" s="461">
        <v>44475</v>
      </c>
      <c r="B2215" s="460" t="s">
        <v>10384</v>
      </c>
      <c r="C2215" s="461" t="s">
        <v>1104</v>
      </c>
      <c r="D2215" s="461">
        <v>1258165.24</v>
      </c>
      <c r="E2215" s="461" t="s">
        <v>1497</v>
      </c>
      <c r="F2215" s="461" t="s">
        <v>8328</v>
      </c>
    </row>
    <row r="2216" spans="1:6" ht="30" x14ac:dyDescent="0.25">
      <c r="A2216" s="461">
        <v>44474</v>
      </c>
      <c r="B2216" s="460" t="s">
        <v>10385</v>
      </c>
      <c r="C2216" s="461" t="s">
        <v>1104</v>
      </c>
      <c r="D2216" s="461">
        <v>2419548.54</v>
      </c>
      <c r="E2216" s="461" t="s">
        <v>1497</v>
      </c>
      <c r="F2216" s="461" t="s">
        <v>8328</v>
      </c>
    </row>
    <row r="2217" spans="1:6" ht="30" x14ac:dyDescent="0.25">
      <c r="A2217" s="461">
        <v>44490</v>
      </c>
      <c r="B2217" s="460" t="s">
        <v>10386</v>
      </c>
      <c r="C2217" s="461" t="s">
        <v>1104</v>
      </c>
      <c r="D2217" s="511">
        <v>4113232.5</v>
      </c>
      <c r="E2217" s="461" t="s">
        <v>1497</v>
      </c>
      <c r="F2217" s="461" t="s">
        <v>8328</v>
      </c>
    </row>
    <row r="2218" spans="1:6" ht="60" x14ac:dyDescent="0.25">
      <c r="A2218" s="461">
        <v>37776</v>
      </c>
      <c r="B2218" s="460" t="s">
        <v>13216</v>
      </c>
      <c r="C2218" s="461" t="s">
        <v>1104</v>
      </c>
      <c r="D2218" s="511">
        <v>252088.58</v>
      </c>
      <c r="E2218" s="461" t="s">
        <v>1497</v>
      </c>
      <c r="F2218" s="461" t="s">
        <v>8328</v>
      </c>
    </row>
    <row r="2219" spans="1:6" ht="60" x14ac:dyDescent="0.25">
      <c r="A2219" s="461">
        <v>37775</v>
      </c>
      <c r="B2219" s="460" t="s">
        <v>10387</v>
      </c>
      <c r="C2219" s="461" t="s">
        <v>1104</v>
      </c>
      <c r="D2219" s="511">
        <v>397058.59</v>
      </c>
      <c r="E2219" s="461" t="s">
        <v>1497</v>
      </c>
      <c r="F2219" s="461" t="s">
        <v>8328</v>
      </c>
    </row>
    <row r="2220" spans="1:6" ht="60" x14ac:dyDescent="0.25">
      <c r="A2220" s="461">
        <v>36491</v>
      </c>
      <c r="B2220" s="460" t="s">
        <v>13217</v>
      </c>
      <c r="C2220" s="461" t="s">
        <v>1104</v>
      </c>
      <c r="D2220" s="511">
        <v>1470425.78</v>
      </c>
      <c r="E2220" s="461" t="s">
        <v>1497</v>
      </c>
      <c r="F2220" s="461" t="s">
        <v>8328</v>
      </c>
    </row>
    <row r="2221" spans="1:6" ht="60" x14ac:dyDescent="0.25">
      <c r="A2221" s="461">
        <v>10712</v>
      </c>
      <c r="B2221" s="460" t="s">
        <v>13218</v>
      </c>
      <c r="C2221" s="461" t="s">
        <v>1104</v>
      </c>
      <c r="D2221" s="511">
        <v>99264.639999999999</v>
      </c>
      <c r="E2221" s="461" t="s">
        <v>1497</v>
      </c>
      <c r="F2221" s="461" t="s">
        <v>8328</v>
      </c>
    </row>
    <row r="2222" spans="1:6" ht="60" x14ac:dyDescent="0.25">
      <c r="A2222" s="461">
        <v>3363</v>
      </c>
      <c r="B2222" s="460" t="s">
        <v>13219</v>
      </c>
      <c r="C2222" s="461" t="s">
        <v>1104</v>
      </c>
      <c r="D2222" s="511">
        <v>139625</v>
      </c>
      <c r="E2222" s="461" t="s">
        <v>1497</v>
      </c>
      <c r="F2222" s="461" t="s">
        <v>8328</v>
      </c>
    </row>
    <row r="2223" spans="1:6" ht="60" x14ac:dyDescent="0.25">
      <c r="A2223" s="461">
        <v>3365</v>
      </c>
      <c r="B2223" s="460" t="s">
        <v>13220</v>
      </c>
      <c r="C2223" s="461" t="s">
        <v>1104</v>
      </c>
      <c r="D2223" s="511">
        <v>326373.43</v>
      </c>
      <c r="E2223" s="461" t="s">
        <v>1497</v>
      </c>
      <c r="F2223" s="461" t="s">
        <v>8328</v>
      </c>
    </row>
    <row r="2224" spans="1:6" ht="15" x14ac:dyDescent="0.25">
      <c r="A2224" s="461">
        <v>7569</v>
      </c>
      <c r="B2224" s="460" t="s">
        <v>10388</v>
      </c>
      <c r="C2224" s="461" t="s">
        <v>1104</v>
      </c>
      <c r="D2224" s="511">
        <v>80.42</v>
      </c>
      <c r="E2224" s="461" t="s">
        <v>161</v>
      </c>
      <c r="F2224" s="461" t="s">
        <v>8326</v>
      </c>
    </row>
    <row r="2225" spans="1:6" ht="30" x14ac:dyDescent="0.25">
      <c r="A2225" s="461">
        <v>3378</v>
      </c>
      <c r="B2225" s="460" t="s">
        <v>10389</v>
      </c>
      <c r="C2225" s="461" t="s">
        <v>1104</v>
      </c>
      <c r="D2225" s="511">
        <v>95.05</v>
      </c>
      <c r="E2225" s="461" t="s">
        <v>161</v>
      </c>
      <c r="F2225" s="461" t="s">
        <v>8326</v>
      </c>
    </row>
    <row r="2226" spans="1:6" ht="30" x14ac:dyDescent="0.25">
      <c r="A2226" s="461">
        <v>3380</v>
      </c>
      <c r="B2226" s="460" t="s">
        <v>10390</v>
      </c>
      <c r="C2226" s="461" t="s">
        <v>1104</v>
      </c>
      <c r="D2226" s="511">
        <v>66.540000000000006</v>
      </c>
      <c r="E2226" s="461" t="s">
        <v>161</v>
      </c>
      <c r="F2226" s="461" t="s">
        <v>8333</v>
      </c>
    </row>
    <row r="2227" spans="1:6" ht="30" x14ac:dyDescent="0.25">
      <c r="A2227" s="461">
        <v>3379</v>
      </c>
      <c r="B2227" s="460" t="s">
        <v>10391</v>
      </c>
      <c r="C2227" s="461" t="s">
        <v>1104</v>
      </c>
      <c r="D2227" s="511">
        <v>64.239999999999995</v>
      </c>
      <c r="E2227" s="461" t="s">
        <v>161</v>
      </c>
      <c r="F2227" s="461" t="s">
        <v>8326</v>
      </c>
    </row>
    <row r="2228" spans="1:6" ht="30" x14ac:dyDescent="0.25">
      <c r="A2228" s="461">
        <v>11991</v>
      </c>
      <c r="B2228" s="460" t="s">
        <v>10392</v>
      </c>
      <c r="C2228" s="461" t="s">
        <v>1104</v>
      </c>
      <c r="D2228" s="511">
        <v>74.59</v>
      </c>
      <c r="E2228" s="461" t="s">
        <v>161</v>
      </c>
      <c r="F2228" s="461" t="s">
        <v>8326</v>
      </c>
    </row>
    <row r="2229" spans="1:6" ht="30" x14ac:dyDescent="0.25">
      <c r="A2229" s="461">
        <v>34349</v>
      </c>
      <c r="B2229" s="460" t="s">
        <v>10393</v>
      </c>
      <c r="C2229" s="461" t="s">
        <v>1104</v>
      </c>
      <c r="D2229" s="461">
        <v>20.51</v>
      </c>
      <c r="E2229" s="461" t="s">
        <v>161</v>
      </c>
      <c r="F2229" s="461" t="s">
        <v>8326</v>
      </c>
    </row>
    <row r="2230" spans="1:6" ht="30" x14ac:dyDescent="0.25">
      <c r="A2230" s="461">
        <v>11029</v>
      </c>
      <c r="B2230" s="460" t="s">
        <v>13221</v>
      </c>
      <c r="C2230" s="461" t="s">
        <v>1115</v>
      </c>
      <c r="D2230" s="461">
        <v>2.14</v>
      </c>
      <c r="E2230" s="461" t="s">
        <v>161</v>
      </c>
      <c r="F2230" s="461" t="s">
        <v>8328</v>
      </c>
    </row>
    <row r="2231" spans="1:6" ht="30" x14ac:dyDescent="0.25">
      <c r="A2231" s="461">
        <v>4316</v>
      </c>
      <c r="B2231" s="460" t="s">
        <v>13222</v>
      </c>
      <c r="C2231" s="461" t="s">
        <v>1104</v>
      </c>
      <c r="D2231" s="461">
        <v>2.17</v>
      </c>
      <c r="E2231" s="461" t="s">
        <v>161</v>
      </c>
      <c r="F2231" s="461" t="s">
        <v>8328</v>
      </c>
    </row>
    <row r="2232" spans="1:6" ht="30" x14ac:dyDescent="0.25">
      <c r="A2232" s="461">
        <v>4313</v>
      </c>
      <c r="B2232" s="460" t="s">
        <v>10394</v>
      </c>
      <c r="C2232" s="461" t="s">
        <v>1115</v>
      </c>
      <c r="D2232" s="461">
        <v>3.11</v>
      </c>
      <c r="E2232" s="461" t="s">
        <v>161</v>
      </c>
      <c r="F2232" s="461" t="s">
        <v>8328</v>
      </c>
    </row>
    <row r="2233" spans="1:6" ht="30" x14ac:dyDescent="0.25">
      <c r="A2233" s="461">
        <v>4317</v>
      </c>
      <c r="B2233" s="460" t="s">
        <v>13223</v>
      </c>
      <c r="C2233" s="461" t="s">
        <v>1104</v>
      </c>
      <c r="D2233" s="461">
        <v>3.54</v>
      </c>
      <c r="E2233" s="461" t="s">
        <v>161</v>
      </c>
      <c r="F2233" s="461" t="s">
        <v>8328</v>
      </c>
    </row>
    <row r="2234" spans="1:6" ht="30" x14ac:dyDescent="0.25">
      <c r="A2234" s="461">
        <v>4314</v>
      </c>
      <c r="B2234" s="460" t="s">
        <v>10395</v>
      </c>
      <c r="C2234" s="461" t="s">
        <v>1115</v>
      </c>
      <c r="D2234" s="461">
        <v>4.1399999999999997</v>
      </c>
      <c r="E2234" s="461" t="s">
        <v>161</v>
      </c>
      <c r="F2234" s="461" t="s">
        <v>8328</v>
      </c>
    </row>
    <row r="2235" spans="1:6" ht="45" x14ac:dyDescent="0.25">
      <c r="A2235" s="461">
        <v>10921</v>
      </c>
      <c r="B2235" s="460" t="s">
        <v>10396</v>
      </c>
      <c r="C2235" s="461" t="s">
        <v>1104</v>
      </c>
      <c r="D2235" s="461">
        <v>5890</v>
      </c>
      <c r="E2235" s="461" t="s">
        <v>161</v>
      </c>
      <c r="F2235" s="461" t="s">
        <v>8328</v>
      </c>
    </row>
    <row r="2236" spans="1:6" ht="45" x14ac:dyDescent="0.25">
      <c r="A2236" s="461">
        <v>10922</v>
      </c>
      <c r="B2236" s="460" t="s">
        <v>10397</v>
      </c>
      <c r="C2236" s="461" t="s">
        <v>1104</v>
      </c>
      <c r="D2236" s="461">
        <v>5335.01</v>
      </c>
      <c r="E2236" s="461" t="s">
        <v>161</v>
      </c>
      <c r="F2236" s="461" t="s">
        <v>8328</v>
      </c>
    </row>
    <row r="2237" spans="1:6" ht="30" x14ac:dyDescent="0.25">
      <c r="A2237" s="461">
        <v>10923</v>
      </c>
      <c r="B2237" s="460" t="s">
        <v>10398</v>
      </c>
      <c r="C2237" s="461" t="s">
        <v>1104</v>
      </c>
      <c r="D2237" s="461">
        <v>3153.22</v>
      </c>
      <c r="E2237" s="461" t="s">
        <v>161</v>
      </c>
      <c r="F2237" s="461" t="s">
        <v>8328</v>
      </c>
    </row>
    <row r="2238" spans="1:6" ht="30" x14ac:dyDescent="0.25">
      <c r="A2238" s="461">
        <v>10924</v>
      </c>
      <c r="B2238" s="460" t="s">
        <v>10399</v>
      </c>
      <c r="C2238" s="461" t="s">
        <v>1104</v>
      </c>
      <c r="D2238" s="461">
        <v>3320.95</v>
      </c>
      <c r="E2238" s="461" t="s">
        <v>161</v>
      </c>
      <c r="F2238" s="461" t="s">
        <v>8328</v>
      </c>
    </row>
    <row r="2239" spans="1:6" ht="45" x14ac:dyDescent="0.25">
      <c r="A2239" s="461">
        <v>37772</v>
      </c>
      <c r="B2239" s="460" t="s">
        <v>10400</v>
      </c>
      <c r="C2239" s="461" t="s">
        <v>1104</v>
      </c>
      <c r="D2239" s="461">
        <v>342998.8</v>
      </c>
      <c r="E2239" s="461" t="s">
        <v>1497</v>
      </c>
      <c r="F2239" s="461" t="s">
        <v>8328</v>
      </c>
    </row>
    <row r="2240" spans="1:6" ht="45" x14ac:dyDescent="0.25">
      <c r="A2240" s="461">
        <v>37771</v>
      </c>
      <c r="B2240" s="460" t="s">
        <v>10401</v>
      </c>
      <c r="C2240" s="461" t="s">
        <v>1104</v>
      </c>
      <c r="D2240" s="511">
        <v>364896.09</v>
      </c>
      <c r="E2240" s="461" t="s">
        <v>1497</v>
      </c>
      <c r="F2240" s="461" t="s">
        <v>8328</v>
      </c>
    </row>
    <row r="2241" spans="1:6" ht="45" x14ac:dyDescent="0.25">
      <c r="A2241" s="461">
        <v>12772</v>
      </c>
      <c r="B2241" s="460" t="s">
        <v>10402</v>
      </c>
      <c r="C2241" s="461" t="s">
        <v>1104</v>
      </c>
      <c r="D2241" s="511">
        <v>816.45</v>
      </c>
      <c r="E2241" s="461" t="s">
        <v>161</v>
      </c>
      <c r="F2241" s="461" t="s">
        <v>8328</v>
      </c>
    </row>
    <row r="2242" spans="1:6" ht="45" x14ac:dyDescent="0.25">
      <c r="A2242" s="461">
        <v>12770</v>
      </c>
      <c r="B2242" s="460" t="s">
        <v>10403</v>
      </c>
      <c r="C2242" s="461" t="s">
        <v>1104</v>
      </c>
      <c r="D2242" s="511">
        <v>491.25</v>
      </c>
      <c r="E2242" s="461" t="s">
        <v>161</v>
      </c>
      <c r="F2242" s="461" t="s">
        <v>8328</v>
      </c>
    </row>
    <row r="2243" spans="1:6" ht="45" x14ac:dyDescent="0.25">
      <c r="A2243" s="461">
        <v>12775</v>
      </c>
      <c r="B2243" s="460" t="s">
        <v>10404</v>
      </c>
      <c r="C2243" s="461" t="s">
        <v>1104</v>
      </c>
      <c r="D2243" s="511">
        <v>359.79</v>
      </c>
      <c r="E2243" s="461" t="s">
        <v>161</v>
      </c>
      <c r="F2243" s="461" t="s">
        <v>8328</v>
      </c>
    </row>
    <row r="2244" spans="1:6" ht="45" x14ac:dyDescent="0.25">
      <c r="A2244" s="461">
        <v>12768</v>
      </c>
      <c r="B2244" s="460" t="s">
        <v>10405</v>
      </c>
      <c r="C2244" s="461" t="s">
        <v>1104</v>
      </c>
      <c r="D2244" s="511">
        <v>1148.57</v>
      </c>
      <c r="E2244" s="461" t="s">
        <v>161</v>
      </c>
      <c r="F2244" s="461" t="s">
        <v>8328</v>
      </c>
    </row>
    <row r="2245" spans="1:6" ht="45" x14ac:dyDescent="0.25">
      <c r="A2245" s="461">
        <v>12769</v>
      </c>
      <c r="B2245" s="460" t="s">
        <v>10406</v>
      </c>
      <c r="C2245" s="461" t="s">
        <v>1104</v>
      </c>
      <c r="D2245" s="511">
        <v>94.1</v>
      </c>
      <c r="E2245" s="461" t="s">
        <v>161</v>
      </c>
      <c r="F2245" s="461" t="s">
        <v>8328</v>
      </c>
    </row>
    <row r="2246" spans="1:6" ht="45" x14ac:dyDescent="0.25">
      <c r="A2246" s="461">
        <v>12773</v>
      </c>
      <c r="B2246" s="460" t="s">
        <v>10407</v>
      </c>
      <c r="C2246" s="461" t="s">
        <v>1104</v>
      </c>
      <c r="D2246" s="461">
        <v>101.01</v>
      </c>
      <c r="E2246" s="461" t="s">
        <v>161</v>
      </c>
      <c r="F2246" s="461" t="s">
        <v>8328</v>
      </c>
    </row>
    <row r="2247" spans="1:6" ht="45" x14ac:dyDescent="0.25">
      <c r="A2247" s="461">
        <v>12774</v>
      </c>
      <c r="B2247" s="460" t="s">
        <v>10408</v>
      </c>
      <c r="C2247" s="461" t="s">
        <v>1104</v>
      </c>
      <c r="D2247" s="461">
        <v>124.54</v>
      </c>
      <c r="E2247" s="461" t="s">
        <v>161</v>
      </c>
      <c r="F2247" s="461" t="s">
        <v>8328</v>
      </c>
    </row>
    <row r="2248" spans="1:6" ht="45" x14ac:dyDescent="0.25">
      <c r="A2248" s="461">
        <v>12776</v>
      </c>
      <c r="B2248" s="460" t="s">
        <v>10409</v>
      </c>
      <c r="C2248" s="461" t="s">
        <v>1104</v>
      </c>
      <c r="D2248" s="461">
        <v>1854.32</v>
      </c>
      <c r="E2248" s="461" t="s">
        <v>161</v>
      </c>
      <c r="F2248" s="461" t="s">
        <v>8328</v>
      </c>
    </row>
    <row r="2249" spans="1:6" ht="45" x14ac:dyDescent="0.25">
      <c r="A2249" s="461">
        <v>12777</v>
      </c>
      <c r="B2249" s="460" t="s">
        <v>10410</v>
      </c>
      <c r="C2249" s="461" t="s">
        <v>1104</v>
      </c>
      <c r="D2249" s="511">
        <v>2421.69</v>
      </c>
      <c r="E2249" s="461" t="s">
        <v>161</v>
      </c>
      <c r="F2249" s="461" t="s">
        <v>8328</v>
      </c>
    </row>
    <row r="2250" spans="1:6" ht="15" x14ac:dyDescent="0.25">
      <c r="A2250" s="461">
        <v>12873</v>
      </c>
      <c r="B2250" s="460" t="s">
        <v>10411</v>
      </c>
      <c r="C2250" s="461" t="s">
        <v>1103</v>
      </c>
      <c r="D2250" s="461">
        <v>21.83</v>
      </c>
      <c r="E2250" s="461" t="s">
        <v>4455</v>
      </c>
      <c r="F2250" s="461" t="s">
        <v>8326</v>
      </c>
    </row>
    <row r="2251" spans="1:6" ht="15" x14ac:dyDescent="0.25">
      <c r="A2251" s="461">
        <v>41076</v>
      </c>
      <c r="B2251" s="460" t="s">
        <v>10412</v>
      </c>
      <c r="C2251" s="461" t="s">
        <v>1110</v>
      </c>
      <c r="D2251" s="461">
        <v>3886.77</v>
      </c>
      <c r="E2251" s="461" t="s">
        <v>4455</v>
      </c>
      <c r="F2251" s="461" t="s">
        <v>8326</v>
      </c>
    </row>
    <row r="2252" spans="1:6" ht="15" x14ac:dyDescent="0.25">
      <c r="A2252" s="461">
        <v>140</v>
      </c>
      <c r="B2252" s="460" t="s">
        <v>10413</v>
      </c>
      <c r="C2252" s="461" t="s">
        <v>1108</v>
      </c>
      <c r="D2252" s="461">
        <v>21.06</v>
      </c>
      <c r="E2252" s="461" t="s">
        <v>161</v>
      </c>
      <c r="F2252" s="461" t="s">
        <v>8326</v>
      </c>
    </row>
    <row r="2253" spans="1:6" ht="30" x14ac:dyDescent="0.25">
      <c r="A2253" s="461">
        <v>151</v>
      </c>
      <c r="B2253" s="460" t="s">
        <v>13224</v>
      </c>
      <c r="C2253" s="461" t="s">
        <v>1109</v>
      </c>
      <c r="D2253" s="511">
        <v>31.08</v>
      </c>
      <c r="E2253" s="461" t="s">
        <v>161</v>
      </c>
      <c r="F2253" s="461" t="s">
        <v>8326</v>
      </c>
    </row>
    <row r="2254" spans="1:6" ht="15" x14ac:dyDescent="0.25">
      <c r="A2254" s="461">
        <v>7340</v>
      </c>
      <c r="B2254" s="460" t="s">
        <v>10414</v>
      </c>
      <c r="C2254" s="461" t="s">
        <v>1109</v>
      </c>
      <c r="D2254" s="511">
        <v>32</v>
      </c>
      <c r="E2254" s="461" t="s">
        <v>161</v>
      </c>
      <c r="F2254" s="461" t="s">
        <v>8326</v>
      </c>
    </row>
    <row r="2255" spans="1:6" ht="15" x14ac:dyDescent="0.25">
      <c r="A2255" s="461">
        <v>40929</v>
      </c>
      <c r="B2255" s="460" t="s">
        <v>10415</v>
      </c>
      <c r="C2255" s="461" t="s">
        <v>1110</v>
      </c>
      <c r="D2255" s="461">
        <v>3034.66</v>
      </c>
      <c r="E2255" s="461" t="s">
        <v>4455</v>
      </c>
      <c r="F2255" s="461" t="s">
        <v>8326</v>
      </c>
    </row>
    <row r="2256" spans="1:6" ht="15" x14ac:dyDescent="0.25">
      <c r="A2256" s="461">
        <v>2701</v>
      </c>
      <c r="B2256" s="460" t="s">
        <v>10416</v>
      </c>
      <c r="C2256" s="461" t="s">
        <v>1103</v>
      </c>
      <c r="D2256" s="461">
        <v>17.04</v>
      </c>
      <c r="E2256" s="461" t="s">
        <v>4455</v>
      </c>
      <c r="F2256" s="461" t="s">
        <v>8326</v>
      </c>
    </row>
    <row r="2257" spans="1:6" ht="15" x14ac:dyDescent="0.25">
      <c r="A2257" s="461">
        <v>38114</v>
      </c>
      <c r="B2257" s="460" t="s">
        <v>10417</v>
      </c>
      <c r="C2257" s="461" t="s">
        <v>1104</v>
      </c>
      <c r="D2257" s="511">
        <v>23.06</v>
      </c>
      <c r="E2257" s="461" t="s">
        <v>161</v>
      </c>
      <c r="F2257" s="461" t="s">
        <v>8326</v>
      </c>
    </row>
    <row r="2258" spans="1:6" ht="30" x14ac:dyDescent="0.25">
      <c r="A2258" s="461">
        <v>38064</v>
      </c>
      <c r="B2258" s="460" t="s">
        <v>10418</v>
      </c>
      <c r="C2258" s="461" t="s">
        <v>1104</v>
      </c>
      <c r="D2258" s="461">
        <v>25.78</v>
      </c>
      <c r="E2258" s="461" t="s">
        <v>161</v>
      </c>
      <c r="F2258" s="461" t="s">
        <v>8326</v>
      </c>
    </row>
    <row r="2259" spans="1:6" ht="15" x14ac:dyDescent="0.25">
      <c r="A2259" s="461">
        <v>38115</v>
      </c>
      <c r="B2259" s="460" t="s">
        <v>10419</v>
      </c>
      <c r="C2259" s="461" t="s">
        <v>1104</v>
      </c>
      <c r="D2259" s="461">
        <v>24.62</v>
      </c>
      <c r="E2259" s="461" t="s">
        <v>161</v>
      </c>
      <c r="F2259" s="461" t="s">
        <v>8326</v>
      </c>
    </row>
    <row r="2260" spans="1:6" ht="30" x14ac:dyDescent="0.25">
      <c r="A2260" s="461">
        <v>38065</v>
      </c>
      <c r="B2260" s="460" t="s">
        <v>10420</v>
      </c>
      <c r="C2260" s="461" t="s">
        <v>1104</v>
      </c>
      <c r="D2260" s="461">
        <v>36.57</v>
      </c>
      <c r="E2260" s="461" t="s">
        <v>161</v>
      </c>
      <c r="F2260" s="461" t="s">
        <v>8326</v>
      </c>
    </row>
    <row r="2261" spans="1:6" ht="30" x14ac:dyDescent="0.25">
      <c r="A2261" s="461">
        <v>38078</v>
      </c>
      <c r="B2261" s="460" t="s">
        <v>10421</v>
      </c>
      <c r="C2261" s="461" t="s">
        <v>1104</v>
      </c>
      <c r="D2261" s="511">
        <v>21.34</v>
      </c>
      <c r="E2261" s="461" t="s">
        <v>161</v>
      </c>
      <c r="F2261" s="461" t="s">
        <v>8326</v>
      </c>
    </row>
    <row r="2262" spans="1:6" ht="15" x14ac:dyDescent="0.25">
      <c r="A2262" s="461">
        <v>38113</v>
      </c>
      <c r="B2262" s="460" t="s">
        <v>10422</v>
      </c>
      <c r="C2262" s="461" t="s">
        <v>1104</v>
      </c>
      <c r="D2262" s="461">
        <v>11.59</v>
      </c>
      <c r="E2262" s="461" t="s">
        <v>161</v>
      </c>
      <c r="F2262" s="461" t="s">
        <v>8326</v>
      </c>
    </row>
    <row r="2263" spans="1:6" ht="30" x14ac:dyDescent="0.25">
      <c r="A2263" s="461">
        <v>38063</v>
      </c>
      <c r="B2263" s="460" t="s">
        <v>10423</v>
      </c>
      <c r="C2263" s="461" t="s">
        <v>1104</v>
      </c>
      <c r="D2263" s="461">
        <v>12.44</v>
      </c>
      <c r="E2263" s="461" t="s">
        <v>161</v>
      </c>
      <c r="F2263" s="461" t="s">
        <v>8326</v>
      </c>
    </row>
    <row r="2264" spans="1:6" ht="30" x14ac:dyDescent="0.25">
      <c r="A2264" s="461">
        <v>38080</v>
      </c>
      <c r="B2264" s="460" t="s">
        <v>10424</v>
      </c>
      <c r="C2264" s="461" t="s">
        <v>1104</v>
      </c>
      <c r="D2264" s="461">
        <v>37.06</v>
      </c>
      <c r="E2264" s="461" t="s">
        <v>161</v>
      </c>
      <c r="F2264" s="461" t="s">
        <v>8326</v>
      </c>
    </row>
    <row r="2265" spans="1:6" ht="30" x14ac:dyDescent="0.25">
      <c r="A2265" s="461">
        <v>38069</v>
      </c>
      <c r="B2265" s="460" t="s">
        <v>10425</v>
      </c>
      <c r="C2265" s="461" t="s">
        <v>1104</v>
      </c>
      <c r="D2265" s="461">
        <v>20.27</v>
      </c>
      <c r="E2265" s="461" t="s">
        <v>161</v>
      </c>
      <c r="F2265" s="461" t="s">
        <v>8326</v>
      </c>
    </row>
    <row r="2266" spans="1:6" ht="30" x14ac:dyDescent="0.25">
      <c r="A2266" s="461">
        <v>38077</v>
      </c>
      <c r="B2266" s="460" t="s">
        <v>10426</v>
      </c>
      <c r="C2266" s="461" t="s">
        <v>1104</v>
      </c>
      <c r="D2266" s="461">
        <v>19.809999999999999</v>
      </c>
      <c r="E2266" s="461" t="s">
        <v>161</v>
      </c>
      <c r="F2266" s="461" t="s">
        <v>8326</v>
      </c>
    </row>
    <row r="2267" spans="1:6" ht="30" x14ac:dyDescent="0.25">
      <c r="A2267" s="461">
        <v>38073</v>
      </c>
      <c r="B2267" s="460" t="s">
        <v>10427</v>
      </c>
      <c r="C2267" s="461" t="s">
        <v>1104</v>
      </c>
      <c r="D2267" s="461">
        <v>30.17</v>
      </c>
      <c r="E2267" s="461" t="s">
        <v>161</v>
      </c>
      <c r="F2267" s="461" t="s">
        <v>8326</v>
      </c>
    </row>
    <row r="2268" spans="1:6" ht="15" x14ac:dyDescent="0.25">
      <c r="A2268" s="461">
        <v>38112</v>
      </c>
      <c r="B2268" s="460" t="s">
        <v>10428</v>
      </c>
      <c r="C2268" s="461" t="s">
        <v>1104</v>
      </c>
      <c r="D2268" s="461">
        <v>8.9</v>
      </c>
      <c r="E2268" s="461" t="s">
        <v>161</v>
      </c>
      <c r="F2268" s="461" t="s">
        <v>8326</v>
      </c>
    </row>
    <row r="2269" spans="1:6" ht="30" x14ac:dyDescent="0.25">
      <c r="A2269" s="461">
        <v>38062</v>
      </c>
      <c r="B2269" s="460" t="s">
        <v>10429</v>
      </c>
      <c r="C2269" s="461" t="s">
        <v>1104</v>
      </c>
      <c r="D2269" s="461">
        <v>9.1300000000000008</v>
      </c>
      <c r="E2269" s="461" t="s">
        <v>161</v>
      </c>
      <c r="F2269" s="461" t="s">
        <v>8326</v>
      </c>
    </row>
    <row r="2270" spans="1:6" ht="30" x14ac:dyDescent="0.25">
      <c r="A2270" s="461">
        <v>12128</v>
      </c>
      <c r="B2270" s="460" t="s">
        <v>10430</v>
      </c>
      <c r="C2270" s="461" t="s">
        <v>1104</v>
      </c>
      <c r="D2270" s="461">
        <v>12.21</v>
      </c>
      <c r="E2270" s="461" t="s">
        <v>161</v>
      </c>
      <c r="F2270" s="461" t="s">
        <v>8326</v>
      </c>
    </row>
    <row r="2271" spans="1:6" ht="30" x14ac:dyDescent="0.25">
      <c r="A2271" s="461">
        <v>12129</v>
      </c>
      <c r="B2271" s="460" t="s">
        <v>10431</v>
      </c>
      <c r="C2271" s="461" t="s">
        <v>1104</v>
      </c>
      <c r="D2271" s="461">
        <v>16.14</v>
      </c>
      <c r="E2271" s="461" t="s">
        <v>161</v>
      </c>
      <c r="F2271" s="461" t="s">
        <v>8326</v>
      </c>
    </row>
    <row r="2272" spans="1:6" ht="30" x14ac:dyDescent="0.25">
      <c r="A2272" s="461">
        <v>38081</v>
      </c>
      <c r="B2272" s="460" t="s">
        <v>10432</v>
      </c>
      <c r="C2272" s="461" t="s">
        <v>1104</v>
      </c>
      <c r="D2272" s="461">
        <v>31.44</v>
      </c>
      <c r="E2272" s="461" t="s">
        <v>161</v>
      </c>
      <c r="F2272" s="461" t="s">
        <v>8326</v>
      </c>
    </row>
    <row r="2273" spans="1:6" ht="30" x14ac:dyDescent="0.25">
      <c r="A2273" s="461">
        <v>38070</v>
      </c>
      <c r="B2273" s="460" t="s">
        <v>10433</v>
      </c>
      <c r="C2273" s="461" t="s">
        <v>1104</v>
      </c>
      <c r="D2273" s="461">
        <v>21.66</v>
      </c>
      <c r="E2273" s="461" t="s">
        <v>161</v>
      </c>
      <c r="F2273" s="461" t="s">
        <v>8326</v>
      </c>
    </row>
    <row r="2274" spans="1:6" ht="30" x14ac:dyDescent="0.25">
      <c r="A2274" s="461">
        <v>38074</v>
      </c>
      <c r="B2274" s="460" t="s">
        <v>10434</v>
      </c>
      <c r="C2274" s="461" t="s">
        <v>1104</v>
      </c>
      <c r="D2274" s="461">
        <v>32.93</v>
      </c>
      <c r="E2274" s="461" t="s">
        <v>161</v>
      </c>
      <c r="F2274" s="461" t="s">
        <v>8326</v>
      </c>
    </row>
    <row r="2275" spans="1:6" ht="30" x14ac:dyDescent="0.25">
      <c r="A2275" s="461">
        <v>38079</v>
      </c>
      <c r="B2275" s="460" t="s">
        <v>10435</v>
      </c>
      <c r="C2275" s="461" t="s">
        <v>1104</v>
      </c>
      <c r="D2275" s="461">
        <v>28.27</v>
      </c>
      <c r="E2275" s="461" t="s">
        <v>161</v>
      </c>
      <c r="F2275" s="461" t="s">
        <v>8326</v>
      </c>
    </row>
    <row r="2276" spans="1:6" ht="30" x14ac:dyDescent="0.25">
      <c r="A2276" s="461">
        <v>38072</v>
      </c>
      <c r="B2276" s="460" t="s">
        <v>10436</v>
      </c>
      <c r="C2276" s="461" t="s">
        <v>1104</v>
      </c>
      <c r="D2276" s="461">
        <v>27.16</v>
      </c>
      <c r="E2276" s="461" t="s">
        <v>161</v>
      </c>
      <c r="F2276" s="461" t="s">
        <v>8326</v>
      </c>
    </row>
    <row r="2277" spans="1:6" ht="30" x14ac:dyDescent="0.25">
      <c r="A2277" s="461">
        <v>38068</v>
      </c>
      <c r="B2277" s="460" t="s">
        <v>10437</v>
      </c>
      <c r="C2277" s="461" t="s">
        <v>1104</v>
      </c>
      <c r="D2277" s="461">
        <v>18.75</v>
      </c>
      <c r="E2277" s="461" t="s">
        <v>161</v>
      </c>
      <c r="F2277" s="461" t="s">
        <v>8326</v>
      </c>
    </row>
    <row r="2278" spans="1:6" ht="30" x14ac:dyDescent="0.25">
      <c r="A2278" s="461">
        <v>38071</v>
      </c>
      <c r="B2278" s="460" t="s">
        <v>10438</v>
      </c>
      <c r="C2278" s="461" t="s">
        <v>1104</v>
      </c>
      <c r="D2278" s="461">
        <v>22.42</v>
      </c>
      <c r="E2278" s="461" t="s">
        <v>161</v>
      </c>
      <c r="F2278" s="461" t="s">
        <v>8326</v>
      </c>
    </row>
    <row r="2279" spans="1:6" ht="45" x14ac:dyDescent="0.25">
      <c r="A2279" s="461">
        <v>38412</v>
      </c>
      <c r="B2279" s="460" t="s">
        <v>10439</v>
      </c>
      <c r="C2279" s="461" t="s">
        <v>1104</v>
      </c>
      <c r="D2279" s="461">
        <v>899.9</v>
      </c>
      <c r="E2279" s="461" t="s">
        <v>161</v>
      </c>
      <c r="F2279" s="461" t="s">
        <v>8333</v>
      </c>
    </row>
    <row r="2280" spans="1:6" ht="30" x14ac:dyDescent="0.25">
      <c r="A2280" s="461">
        <v>3405</v>
      </c>
      <c r="B2280" s="460" t="s">
        <v>10440</v>
      </c>
      <c r="C2280" s="461" t="s">
        <v>1104</v>
      </c>
      <c r="D2280" s="461">
        <v>78.989999999999995</v>
      </c>
      <c r="E2280" s="461" t="s">
        <v>161</v>
      </c>
      <c r="F2280" s="461" t="s">
        <v>8326</v>
      </c>
    </row>
    <row r="2281" spans="1:6" ht="15" x14ac:dyDescent="0.25">
      <c r="A2281" s="461">
        <v>3394</v>
      </c>
      <c r="B2281" s="460" t="s">
        <v>10441</v>
      </c>
      <c r="C2281" s="461" t="s">
        <v>1104</v>
      </c>
      <c r="D2281" s="461">
        <v>416.99</v>
      </c>
      <c r="E2281" s="461" t="s">
        <v>161</v>
      </c>
      <c r="F2281" s="461" t="s">
        <v>8326</v>
      </c>
    </row>
    <row r="2282" spans="1:6" ht="15" x14ac:dyDescent="0.25">
      <c r="A2282" s="461">
        <v>3393</v>
      </c>
      <c r="B2282" s="460" t="s">
        <v>10442</v>
      </c>
      <c r="C2282" s="461" t="s">
        <v>1104</v>
      </c>
      <c r="D2282" s="461">
        <v>709.97</v>
      </c>
      <c r="E2282" s="461" t="s">
        <v>161</v>
      </c>
      <c r="F2282" s="461" t="s">
        <v>8326</v>
      </c>
    </row>
    <row r="2283" spans="1:6" ht="15" x14ac:dyDescent="0.25">
      <c r="A2283" s="461">
        <v>3406</v>
      </c>
      <c r="B2283" s="460" t="s">
        <v>10443</v>
      </c>
      <c r="C2283" s="461" t="s">
        <v>1104</v>
      </c>
      <c r="D2283" s="461">
        <v>24.18</v>
      </c>
      <c r="E2283" s="461" t="s">
        <v>161</v>
      </c>
      <c r="F2283" s="461" t="s">
        <v>8333</v>
      </c>
    </row>
    <row r="2284" spans="1:6" ht="15" x14ac:dyDescent="0.25">
      <c r="A2284" s="461">
        <v>3395</v>
      </c>
      <c r="B2284" s="460" t="s">
        <v>10444</v>
      </c>
      <c r="C2284" s="461" t="s">
        <v>1104</v>
      </c>
      <c r="D2284" s="461">
        <v>102</v>
      </c>
      <c r="E2284" s="461" t="s">
        <v>161</v>
      </c>
      <c r="F2284" s="461" t="s">
        <v>8326</v>
      </c>
    </row>
    <row r="2285" spans="1:6" ht="30" x14ac:dyDescent="0.25">
      <c r="A2285" s="461">
        <v>3398</v>
      </c>
      <c r="B2285" s="460" t="s">
        <v>10445</v>
      </c>
      <c r="C2285" s="461" t="s">
        <v>1104</v>
      </c>
      <c r="D2285" s="461">
        <v>4.8499999999999996</v>
      </c>
      <c r="E2285" s="461" t="s">
        <v>161</v>
      </c>
      <c r="F2285" s="461" t="s">
        <v>8326</v>
      </c>
    </row>
    <row r="2286" spans="1:6" ht="60" x14ac:dyDescent="0.25">
      <c r="A2286" s="461">
        <v>40662</v>
      </c>
      <c r="B2286" s="460" t="s">
        <v>10446</v>
      </c>
      <c r="C2286" s="461" t="s">
        <v>1104</v>
      </c>
      <c r="D2286" s="461">
        <v>348.79</v>
      </c>
      <c r="E2286" s="461" t="s">
        <v>161</v>
      </c>
      <c r="F2286" s="461" t="s">
        <v>8328</v>
      </c>
    </row>
    <row r="2287" spans="1:6" ht="60" x14ac:dyDescent="0.25">
      <c r="A2287" s="461">
        <v>3437</v>
      </c>
      <c r="B2287" s="460" t="s">
        <v>10447</v>
      </c>
      <c r="C2287" s="461" t="s">
        <v>1106</v>
      </c>
      <c r="D2287" s="461">
        <v>968.87</v>
      </c>
      <c r="E2287" s="461" t="s">
        <v>161</v>
      </c>
      <c r="F2287" s="461" t="s">
        <v>8328</v>
      </c>
    </row>
    <row r="2288" spans="1:6" ht="15" x14ac:dyDescent="0.25">
      <c r="A2288" s="461">
        <v>11190</v>
      </c>
      <c r="B2288" s="460" t="s">
        <v>10448</v>
      </c>
      <c r="C2288" s="461" t="s">
        <v>1104</v>
      </c>
      <c r="D2288" s="461">
        <v>184.95</v>
      </c>
      <c r="E2288" s="461" t="s">
        <v>161</v>
      </c>
      <c r="F2288" s="461" t="s">
        <v>8328</v>
      </c>
    </row>
    <row r="2289" spans="1:6" ht="45" x14ac:dyDescent="0.25">
      <c r="A2289" s="461">
        <v>34377</v>
      </c>
      <c r="B2289" s="460" t="s">
        <v>10449</v>
      </c>
      <c r="C2289" s="461" t="s">
        <v>1104</v>
      </c>
      <c r="D2289" s="461">
        <v>227.64</v>
      </c>
      <c r="E2289" s="461" t="s">
        <v>161</v>
      </c>
      <c r="F2289" s="461" t="s">
        <v>8326</v>
      </c>
    </row>
    <row r="2290" spans="1:6" ht="60" x14ac:dyDescent="0.25">
      <c r="A2290" s="461">
        <v>3428</v>
      </c>
      <c r="B2290" s="460" t="s">
        <v>10450</v>
      </c>
      <c r="C2290" s="461" t="s">
        <v>1106</v>
      </c>
      <c r="D2290" s="461">
        <v>1437.16</v>
      </c>
      <c r="E2290" s="461" t="s">
        <v>161</v>
      </c>
      <c r="F2290" s="461" t="s">
        <v>8328</v>
      </c>
    </row>
    <row r="2291" spans="1:6" ht="60" x14ac:dyDescent="0.25">
      <c r="A2291" s="461">
        <v>3429</v>
      </c>
      <c r="B2291" s="460" t="s">
        <v>13225</v>
      </c>
      <c r="C2291" s="461" t="s">
        <v>1106</v>
      </c>
      <c r="D2291" s="461">
        <v>821.11</v>
      </c>
      <c r="E2291" s="461" t="s">
        <v>161</v>
      </c>
      <c r="F2291" s="461" t="s">
        <v>8328</v>
      </c>
    </row>
    <row r="2292" spans="1:6" ht="45" x14ac:dyDescent="0.25">
      <c r="A2292" s="461">
        <v>11199</v>
      </c>
      <c r="B2292" s="460" t="s">
        <v>13226</v>
      </c>
      <c r="C2292" s="461" t="s">
        <v>1104</v>
      </c>
      <c r="D2292" s="461">
        <v>1021.44</v>
      </c>
      <c r="E2292" s="461" t="s">
        <v>161</v>
      </c>
      <c r="F2292" s="461" t="s">
        <v>8328</v>
      </c>
    </row>
    <row r="2293" spans="1:6" ht="45" x14ac:dyDescent="0.25">
      <c r="A2293" s="461">
        <v>34369</v>
      </c>
      <c r="B2293" s="460" t="s">
        <v>10451</v>
      </c>
      <c r="C2293" s="461" t="s">
        <v>1104</v>
      </c>
      <c r="D2293" s="461">
        <v>791.78</v>
      </c>
      <c r="E2293" s="461" t="s">
        <v>161</v>
      </c>
      <c r="F2293" s="461" t="s">
        <v>8326</v>
      </c>
    </row>
    <row r="2294" spans="1:6" ht="45" x14ac:dyDescent="0.25">
      <c r="A2294" s="461">
        <v>36896</v>
      </c>
      <c r="B2294" s="460" t="s">
        <v>10452</v>
      </c>
      <c r="C2294" s="461" t="s">
        <v>1104</v>
      </c>
      <c r="D2294" s="461">
        <v>440.9</v>
      </c>
      <c r="E2294" s="461" t="s">
        <v>161</v>
      </c>
      <c r="F2294" s="461" t="s">
        <v>8333</v>
      </c>
    </row>
    <row r="2295" spans="1:6" ht="45" x14ac:dyDescent="0.25">
      <c r="A2295" s="461">
        <v>34367</v>
      </c>
      <c r="B2295" s="460" t="s">
        <v>10453</v>
      </c>
      <c r="C2295" s="461" t="s">
        <v>1104</v>
      </c>
      <c r="D2295" s="461">
        <v>568.25</v>
      </c>
      <c r="E2295" s="461" t="s">
        <v>161</v>
      </c>
      <c r="F2295" s="461" t="s">
        <v>8326</v>
      </c>
    </row>
    <row r="2296" spans="1:6" ht="45" x14ac:dyDescent="0.25">
      <c r="A2296" s="461">
        <v>36897</v>
      </c>
      <c r="B2296" s="460" t="s">
        <v>10454</v>
      </c>
      <c r="C2296" s="461" t="s">
        <v>1104</v>
      </c>
      <c r="D2296" s="511">
        <v>688.01</v>
      </c>
      <c r="E2296" s="461" t="s">
        <v>161</v>
      </c>
      <c r="F2296" s="461" t="s">
        <v>8326</v>
      </c>
    </row>
    <row r="2297" spans="1:6" ht="45" x14ac:dyDescent="0.25">
      <c r="A2297" s="461">
        <v>34364</v>
      </c>
      <c r="B2297" s="460" t="s">
        <v>10455</v>
      </c>
      <c r="C2297" s="461" t="s">
        <v>1104</v>
      </c>
      <c r="D2297" s="461">
        <v>746.95</v>
      </c>
      <c r="E2297" s="461" t="s">
        <v>161</v>
      </c>
      <c r="F2297" s="461" t="s">
        <v>8326</v>
      </c>
    </row>
    <row r="2298" spans="1:6" ht="75" x14ac:dyDescent="0.25">
      <c r="A2298" s="461">
        <v>40659</v>
      </c>
      <c r="B2298" s="460" t="s">
        <v>10456</v>
      </c>
      <c r="C2298" s="461" t="s">
        <v>1106</v>
      </c>
      <c r="D2298" s="511">
        <v>1370.82</v>
      </c>
      <c r="E2298" s="461" t="s">
        <v>161</v>
      </c>
      <c r="F2298" s="461" t="s">
        <v>8328</v>
      </c>
    </row>
    <row r="2299" spans="1:6" ht="75" x14ac:dyDescent="0.25">
      <c r="A2299" s="461">
        <v>40660</v>
      </c>
      <c r="B2299" s="460" t="s">
        <v>10457</v>
      </c>
      <c r="C2299" s="461" t="s">
        <v>1106</v>
      </c>
      <c r="D2299" s="461">
        <v>1737.35</v>
      </c>
      <c r="E2299" s="461" t="s">
        <v>161</v>
      </c>
      <c r="F2299" s="461" t="s">
        <v>8328</v>
      </c>
    </row>
    <row r="2300" spans="1:6" ht="75" x14ac:dyDescent="0.25">
      <c r="A2300" s="461">
        <v>40661</v>
      </c>
      <c r="B2300" s="460" t="s">
        <v>13227</v>
      </c>
      <c r="C2300" s="461" t="s">
        <v>1106</v>
      </c>
      <c r="D2300" s="461">
        <v>1068.17</v>
      </c>
      <c r="E2300" s="461" t="s">
        <v>161</v>
      </c>
      <c r="F2300" s="461" t="s">
        <v>8328</v>
      </c>
    </row>
    <row r="2301" spans="1:6" ht="60" x14ac:dyDescent="0.25">
      <c r="A2301" s="461">
        <v>3421</v>
      </c>
      <c r="B2301" s="460" t="s">
        <v>10458</v>
      </c>
      <c r="C2301" s="461" t="s">
        <v>1106</v>
      </c>
      <c r="D2301" s="461">
        <v>1076.3399999999999</v>
      </c>
      <c r="E2301" s="461" t="s">
        <v>161</v>
      </c>
      <c r="F2301" s="461" t="s">
        <v>8328</v>
      </c>
    </row>
    <row r="2302" spans="1:6" ht="45" x14ac:dyDescent="0.25">
      <c r="A2302" s="461">
        <v>599</v>
      </c>
      <c r="B2302" s="460" t="s">
        <v>13228</v>
      </c>
      <c r="C2302" s="461" t="s">
        <v>1106</v>
      </c>
      <c r="D2302" s="461">
        <v>804.1</v>
      </c>
      <c r="E2302" s="461" t="s">
        <v>161</v>
      </c>
      <c r="F2302" s="461" t="s">
        <v>8326</v>
      </c>
    </row>
    <row r="2303" spans="1:6" ht="60" x14ac:dyDescent="0.25">
      <c r="A2303" s="461">
        <v>44053</v>
      </c>
      <c r="B2303" s="460" t="s">
        <v>13229</v>
      </c>
      <c r="C2303" s="461" t="s">
        <v>1104</v>
      </c>
      <c r="D2303" s="461">
        <v>1784.74</v>
      </c>
      <c r="E2303" s="461" t="s">
        <v>161</v>
      </c>
      <c r="F2303" s="461" t="s">
        <v>8326</v>
      </c>
    </row>
    <row r="2304" spans="1:6" ht="60" x14ac:dyDescent="0.25">
      <c r="A2304" s="461">
        <v>3423</v>
      </c>
      <c r="B2304" s="460" t="s">
        <v>13230</v>
      </c>
      <c r="C2304" s="461" t="s">
        <v>1106</v>
      </c>
      <c r="D2304" s="511">
        <v>1517.9</v>
      </c>
      <c r="E2304" s="461" t="s">
        <v>161</v>
      </c>
      <c r="F2304" s="461" t="s">
        <v>8328</v>
      </c>
    </row>
    <row r="2305" spans="1:6" ht="45" x14ac:dyDescent="0.25">
      <c r="A2305" s="461">
        <v>34381</v>
      </c>
      <c r="B2305" s="460" t="s">
        <v>10459</v>
      </c>
      <c r="C2305" s="461" t="s">
        <v>1104</v>
      </c>
      <c r="D2305" s="511">
        <v>324.68</v>
      </c>
      <c r="E2305" s="461" t="s">
        <v>161</v>
      </c>
      <c r="F2305" s="461" t="s">
        <v>8326</v>
      </c>
    </row>
    <row r="2306" spans="1:6" ht="30" x14ac:dyDescent="0.25">
      <c r="A2306" s="461">
        <v>34797</v>
      </c>
      <c r="B2306" s="460" t="s">
        <v>13231</v>
      </c>
      <c r="C2306" s="461" t="s">
        <v>1104</v>
      </c>
      <c r="D2306" s="511">
        <v>402.85</v>
      </c>
      <c r="E2306" s="461" t="s">
        <v>161</v>
      </c>
      <c r="F2306" s="461" t="s">
        <v>8328</v>
      </c>
    </row>
    <row r="2307" spans="1:6" ht="45" x14ac:dyDescent="0.25">
      <c r="A2307" s="461">
        <v>44054</v>
      </c>
      <c r="B2307" s="460" t="s">
        <v>10460</v>
      </c>
      <c r="C2307" s="461" t="s">
        <v>1104</v>
      </c>
      <c r="D2307" s="511">
        <v>640.25</v>
      </c>
      <c r="E2307" s="461" t="s">
        <v>161</v>
      </c>
      <c r="F2307" s="461" t="s">
        <v>8326</v>
      </c>
    </row>
    <row r="2308" spans="1:6" ht="45" x14ac:dyDescent="0.25">
      <c r="A2308" s="461">
        <v>44399</v>
      </c>
      <c r="B2308" s="460" t="s">
        <v>10461</v>
      </c>
      <c r="C2308" s="461" t="s">
        <v>1104</v>
      </c>
      <c r="D2308" s="461">
        <v>874.8</v>
      </c>
      <c r="E2308" s="461" t="s">
        <v>161</v>
      </c>
      <c r="F2308" s="461" t="s">
        <v>8326</v>
      </c>
    </row>
    <row r="2309" spans="1:6" ht="15" x14ac:dyDescent="0.25">
      <c r="A2309" s="461">
        <v>44503</v>
      </c>
      <c r="B2309" s="460" t="s">
        <v>10462</v>
      </c>
      <c r="C2309" s="461" t="s">
        <v>1103</v>
      </c>
      <c r="D2309" s="511">
        <v>18.78</v>
      </c>
      <c r="E2309" s="461" t="s">
        <v>4455</v>
      </c>
      <c r="F2309" s="461" t="s">
        <v>8326</v>
      </c>
    </row>
    <row r="2310" spans="1:6" ht="15" x14ac:dyDescent="0.25">
      <c r="A2310" s="461">
        <v>41077</v>
      </c>
      <c r="B2310" s="460" t="s">
        <v>10463</v>
      </c>
      <c r="C2310" s="461" t="s">
        <v>1110</v>
      </c>
      <c r="D2310" s="511">
        <v>3345.26</v>
      </c>
      <c r="E2310" s="461" t="s">
        <v>4455</v>
      </c>
      <c r="F2310" s="461" t="s">
        <v>8326</v>
      </c>
    </row>
    <row r="2311" spans="1:6" ht="15" x14ac:dyDescent="0.25">
      <c r="A2311" s="461">
        <v>37963</v>
      </c>
      <c r="B2311" s="460" t="s">
        <v>10464</v>
      </c>
      <c r="C2311" s="461" t="s">
        <v>1104</v>
      </c>
      <c r="D2311" s="461">
        <v>3.68</v>
      </c>
      <c r="E2311" s="461" t="s">
        <v>161</v>
      </c>
      <c r="F2311" s="461" t="s">
        <v>8326</v>
      </c>
    </row>
    <row r="2312" spans="1:6" ht="15" x14ac:dyDescent="0.25">
      <c r="A2312" s="461">
        <v>37964</v>
      </c>
      <c r="B2312" s="460" t="s">
        <v>10465</v>
      </c>
      <c r="C2312" s="461" t="s">
        <v>1104</v>
      </c>
      <c r="D2312" s="461">
        <v>4.92</v>
      </c>
      <c r="E2312" s="461" t="s">
        <v>161</v>
      </c>
      <c r="F2312" s="461" t="s">
        <v>8326</v>
      </c>
    </row>
    <row r="2313" spans="1:6" ht="15" x14ac:dyDescent="0.25">
      <c r="A2313" s="461">
        <v>37965</v>
      </c>
      <c r="B2313" s="460" t="s">
        <v>10466</v>
      </c>
      <c r="C2313" s="461" t="s">
        <v>1104</v>
      </c>
      <c r="D2313" s="461">
        <v>7.09</v>
      </c>
      <c r="E2313" s="461" t="s">
        <v>161</v>
      </c>
      <c r="F2313" s="461" t="s">
        <v>8326</v>
      </c>
    </row>
    <row r="2314" spans="1:6" ht="15" x14ac:dyDescent="0.25">
      <c r="A2314" s="461">
        <v>37966</v>
      </c>
      <c r="B2314" s="460" t="s">
        <v>10467</v>
      </c>
      <c r="C2314" s="461" t="s">
        <v>1104</v>
      </c>
      <c r="D2314" s="461">
        <v>12.45</v>
      </c>
      <c r="E2314" s="461" t="s">
        <v>161</v>
      </c>
      <c r="F2314" s="461" t="s">
        <v>8326</v>
      </c>
    </row>
    <row r="2315" spans="1:6" ht="15" x14ac:dyDescent="0.25">
      <c r="A2315" s="461">
        <v>37967</v>
      </c>
      <c r="B2315" s="460" t="s">
        <v>10468</v>
      </c>
      <c r="C2315" s="461" t="s">
        <v>1104</v>
      </c>
      <c r="D2315" s="461">
        <v>20.93</v>
      </c>
      <c r="E2315" s="461" t="s">
        <v>161</v>
      </c>
      <c r="F2315" s="461" t="s">
        <v>8326</v>
      </c>
    </row>
    <row r="2316" spans="1:6" ht="15" x14ac:dyDescent="0.25">
      <c r="A2316" s="461">
        <v>37968</v>
      </c>
      <c r="B2316" s="460" t="s">
        <v>10469</v>
      </c>
      <c r="C2316" s="461" t="s">
        <v>1104</v>
      </c>
      <c r="D2316" s="511">
        <v>44.43</v>
      </c>
      <c r="E2316" s="461" t="s">
        <v>161</v>
      </c>
      <c r="F2316" s="461" t="s">
        <v>8326</v>
      </c>
    </row>
    <row r="2317" spans="1:6" ht="15" x14ac:dyDescent="0.25">
      <c r="A2317" s="461">
        <v>37969</v>
      </c>
      <c r="B2317" s="460" t="s">
        <v>10470</v>
      </c>
      <c r="C2317" s="461" t="s">
        <v>1104</v>
      </c>
      <c r="D2317" s="461">
        <v>112.28</v>
      </c>
      <c r="E2317" s="461" t="s">
        <v>161</v>
      </c>
      <c r="F2317" s="461" t="s">
        <v>8326</v>
      </c>
    </row>
    <row r="2318" spans="1:6" ht="15" x14ac:dyDescent="0.25">
      <c r="A2318" s="461">
        <v>37970</v>
      </c>
      <c r="B2318" s="460" t="s">
        <v>10471</v>
      </c>
      <c r="C2318" s="461" t="s">
        <v>1104</v>
      </c>
      <c r="D2318" s="461">
        <v>162.44</v>
      </c>
      <c r="E2318" s="461" t="s">
        <v>161</v>
      </c>
      <c r="F2318" s="461" t="s">
        <v>8326</v>
      </c>
    </row>
    <row r="2319" spans="1:6" ht="15" x14ac:dyDescent="0.25">
      <c r="A2319" s="461">
        <v>44251</v>
      </c>
      <c r="B2319" s="460" t="s">
        <v>10472</v>
      </c>
      <c r="C2319" s="461" t="s">
        <v>1104</v>
      </c>
      <c r="D2319" s="461">
        <v>187.63</v>
      </c>
      <c r="E2319" s="461" t="s">
        <v>161</v>
      </c>
      <c r="F2319" s="461" t="s">
        <v>8326</v>
      </c>
    </row>
    <row r="2320" spans="1:6" ht="15" x14ac:dyDescent="0.25">
      <c r="A2320" s="461">
        <v>21118</v>
      </c>
      <c r="B2320" s="460" t="s">
        <v>10473</v>
      </c>
      <c r="C2320" s="461" t="s">
        <v>1104</v>
      </c>
      <c r="D2320" s="461">
        <v>2.92</v>
      </c>
      <c r="E2320" s="461" t="s">
        <v>161</v>
      </c>
      <c r="F2320" s="461" t="s">
        <v>8326</v>
      </c>
    </row>
    <row r="2321" spans="1:6" ht="15" x14ac:dyDescent="0.25">
      <c r="A2321" s="461">
        <v>37956</v>
      </c>
      <c r="B2321" s="460" t="s">
        <v>10474</v>
      </c>
      <c r="C2321" s="461" t="s">
        <v>1104</v>
      </c>
      <c r="D2321" s="461">
        <v>3.59</v>
      </c>
      <c r="E2321" s="461" t="s">
        <v>161</v>
      </c>
      <c r="F2321" s="461" t="s">
        <v>8326</v>
      </c>
    </row>
    <row r="2322" spans="1:6" ht="15" x14ac:dyDescent="0.25">
      <c r="A2322" s="461">
        <v>37957</v>
      </c>
      <c r="B2322" s="460" t="s">
        <v>10475</v>
      </c>
      <c r="C2322" s="461" t="s">
        <v>1104</v>
      </c>
      <c r="D2322" s="461">
        <v>7.64</v>
      </c>
      <c r="E2322" s="461" t="s">
        <v>161</v>
      </c>
      <c r="F2322" s="461" t="s">
        <v>8326</v>
      </c>
    </row>
    <row r="2323" spans="1:6" ht="15" x14ac:dyDescent="0.25">
      <c r="A2323" s="461">
        <v>37958</v>
      </c>
      <c r="B2323" s="460" t="s">
        <v>10476</v>
      </c>
      <c r="C2323" s="461" t="s">
        <v>1104</v>
      </c>
      <c r="D2323" s="461">
        <v>13.81</v>
      </c>
      <c r="E2323" s="461" t="s">
        <v>161</v>
      </c>
      <c r="F2323" s="461" t="s">
        <v>8326</v>
      </c>
    </row>
    <row r="2324" spans="1:6" ht="15" x14ac:dyDescent="0.25">
      <c r="A2324" s="461">
        <v>37959</v>
      </c>
      <c r="B2324" s="460" t="s">
        <v>10477</v>
      </c>
      <c r="C2324" s="461" t="s">
        <v>1104</v>
      </c>
      <c r="D2324" s="461">
        <v>21.26</v>
      </c>
      <c r="E2324" s="461" t="s">
        <v>161</v>
      </c>
      <c r="F2324" s="461" t="s">
        <v>8326</v>
      </c>
    </row>
    <row r="2325" spans="1:6" ht="15" x14ac:dyDescent="0.25">
      <c r="A2325" s="461">
        <v>37960</v>
      </c>
      <c r="B2325" s="460" t="s">
        <v>10478</v>
      </c>
      <c r="C2325" s="461" t="s">
        <v>1104</v>
      </c>
      <c r="D2325" s="461">
        <v>54.32</v>
      </c>
      <c r="E2325" s="461" t="s">
        <v>161</v>
      </c>
      <c r="F2325" s="461" t="s">
        <v>8326</v>
      </c>
    </row>
    <row r="2326" spans="1:6" ht="15" x14ac:dyDescent="0.25">
      <c r="A2326" s="461">
        <v>37961</v>
      </c>
      <c r="B2326" s="460" t="s">
        <v>10479</v>
      </c>
      <c r="C2326" s="461" t="s">
        <v>1104</v>
      </c>
      <c r="D2326" s="461">
        <v>116.75</v>
      </c>
      <c r="E2326" s="461" t="s">
        <v>161</v>
      </c>
      <c r="F2326" s="461" t="s">
        <v>8326</v>
      </c>
    </row>
    <row r="2327" spans="1:6" ht="15" x14ac:dyDescent="0.25">
      <c r="A2327" s="461">
        <v>37962</v>
      </c>
      <c r="B2327" s="460" t="s">
        <v>10480</v>
      </c>
      <c r="C2327" s="461" t="s">
        <v>1104</v>
      </c>
      <c r="D2327" s="461">
        <v>134.6</v>
      </c>
      <c r="E2327" s="461" t="s">
        <v>161</v>
      </c>
      <c r="F2327" s="461" t="s">
        <v>8326</v>
      </c>
    </row>
    <row r="2328" spans="1:6" ht="30" x14ac:dyDescent="0.25">
      <c r="A2328" s="461">
        <v>3533</v>
      </c>
      <c r="B2328" s="460" t="s">
        <v>10481</v>
      </c>
      <c r="C2328" s="461" t="s">
        <v>1104</v>
      </c>
      <c r="D2328" s="461">
        <v>2.69</v>
      </c>
      <c r="E2328" s="461" t="s">
        <v>161</v>
      </c>
      <c r="F2328" s="461" t="s">
        <v>8326</v>
      </c>
    </row>
    <row r="2329" spans="1:6" ht="30" x14ac:dyDescent="0.25">
      <c r="A2329" s="461">
        <v>3538</v>
      </c>
      <c r="B2329" s="460" t="s">
        <v>10482</v>
      </c>
      <c r="C2329" s="461" t="s">
        <v>1104</v>
      </c>
      <c r="D2329" s="461">
        <v>5.09</v>
      </c>
      <c r="E2329" s="461" t="s">
        <v>161</v>
      </c>
      <c r="F2329" s="461" t="s">
        <v>8326</v>
      </c>
    </row>
    <row r="2330" spans="1:6" ht="30" x14ac:dyDescent="0.25">
      <c r="A2330" s="461">
        <v>3498</v>
      </c>
      <c r="B2330" s="460" t="s">
        <v>10483</v>
      </c>
      <c r="C2330" s="461" t="s">
        <v>1104</v>
      </c>
      <c r="D2330" s="461">
        <v>4.93</v>
      </c>
      <c r="E2330" s="461" t="s">
        <v>161</v>
      </c>
      <c r="F2330" s="461" t="s">
        <v>8326</v>
      </c>
    </row>
    <row r="2331" spans="1:6" ht="30" x14ac:dyDescent="0.25">
      <c r="A2331" s="461">
        <v>3496</v>
      </c>
      <c r="B2331" s="460" t="s">
        <v>10484</v>
      </c>
      <c r="C2331" s="461" t="s">
        <v>1104</v>
      </c>
      <c r="D2331" s="461">
        <v>3.3</v>
      </c>
      <c r="E2331" s="461" t="s">
        <v>161</v>
      </c>
      <c r="F2331" s="461" t="s">
        <v>8326</v>
      </c>
    </row>
    <row r="2332" spans="1:6" ht="30" x14ac:dyDescent="0.25">
      <c r="A2332" s="461">
        <v>38429</v>
      </c>
      <c r="B2332" s="460" t="s">
        <v>10485</v>
      </c>
      <c r="C2332" s="461" t="s">
        <v>1104</v>
      </c>
      <c r="D2332" s="461">
        <v>9.94</v>
      </c>
      <c r="E2332" s="461" t="s">
        <v>161</v>
      </c>
      <c r="F2332" s="461" t="s">
        <v>8326</v>
      </c>
    </row>
    <row r="2333" spans="1:6" ht="30" x14ac:dyDescent="0.25">
      <c r="A2333" s="461">
        <v>38431</v>
      </c>
      <c r="B2333" s="460" t="s">
        <v>10486</v>
      </c>
      <c r="C2333" s="461" t="s">
        <v>1104</v>
      </c>
      <c r="D2333" s="461">
        <v>12.47</v>
      </c>
      <c r="E2333" s="461" t="s">
        <v>161</v>
      </c>
      <c r="F2333" s="461" t="s">
        <v>8326</v>
      </c>
    </row>
    <row r="2334" spans="1:6" ht="30" x14ac:dyDescent="0.25">
      <c r="A2334" s="461">
        <v>38430</v>
      </c>
      <c r="B2334" s="460" t="s">
        <v>10487</v>
      </c>
      <c r="C2334" s="461" t="s">
        <v>1104</v>
      </c>
      <c r="D2334" s="461">
        <v>19.329999999999998</v>
      </c>
      <c r="E2334" s="461" t="s">
        <v>161</v>
      </c>
      <c r="F2334" s="461" t="s">
        <v>8326</v>
      </c>
    </row>
    <row r="2335" spans="1:6" ht="15" x14ac:dyDescent="0.25">
      <c r="A2335" s="461">
        <v>36348</v>
      </c>
      <c r="B2335" s="460" t="s">
        <v>10488</v>
      </c>
      <c r="C2335" s="461" t="s">
        <v>1104</v>
      </c>
      <c r="D2335" s="461">
        <v>2.3199999999999998</v>
      </c>
      <c r="E2335" s="461" t="s">
        <v>161</v>
      </c>
      <c r="F2335" s="461" t="s">
        <v>8326</v>
      </c>
    </row>
    <row r="2336" spans="1:6" ht="15" x14ac:dyDescent="0.25">
      <c r="A2336" s="461">
        <v>36349</v>
      </c>
      <c r="B2336" s="460" t="s">
        <v>10489</v>
      </c>
      <c r="C2336" s="461" t="s">
        <v>1104</v>
      </c>
      <c r="D2336" s="461">
        <v>3.21</v>
      </c>
      <c r="E2336" s="461" t="s">
        <v>161</v>
      </c>
      <c r="F2336" s="461" t="s">
        <v>8326</v>
      </c>
    </row>
    <row r="2337" spans="1:6" ht="30" x14ac:dyDescent="0.25">
      <c r="A2337" s="461">
        <v>38987</v>
      </c>
      <c r="B2337" s="460" t="s">
        <v>10490</v>
      </c>
      <c r="C2337" s="461" t="s">
        <v>1104</v>
      </c>
      <c r="D2337" s="461">
        <v>15.41</v>
      </c>
      <c r="E2337" s="461" t="s">
        <v>161</v>
      </c>
      <c r="F2337" s="461" t="s">
        <v>8326</v>
      </c>
    </row>
    <row r="2338" spans="1:6" ht="30" x14ac:dyDescent="0.25">
      <c r="A2338" s="461">
        <v>38988</v>
      </c>
      <c r="B2338" s="460" t="s">
        <v>10491</v>
      </c>
      <c r="C2338" s="461" t="s">
        <v>1104</v>
      </c>
      <c r="D2338" s="461">
        <v>25.1</v>
      </c>
      <c r="E2338" s="461" t="s">
        <v>161</v>
      </c>
      <c r="F2338" s="461" t="s">
        <v>8326</v>
      </c>
    </row>
    <row r="2339" spans="1:6" ht="30" x14ac:dyDescent="0.25">
      <c r="A2339" s="461">
        <v>38989</v>
      </c>
      <c r="B2339" s="460" t="s">
        <v>10492</v>
      </c>
      <c r="C2339" s="461" t="s">
        <v>1104</v>
      </c>
      <c r="D2339" s="461">
        <v>42.24</v>
      </c>
      <c r="E2339" s="461" t="s">
        <v>161</v>
      </c>
      <c r="F2339" s="461" t="s">
        <v>8326</v>
      </c>
    </row>
    <row r="2340" spans="1:6" ht="30" x14ac:dyDescent="0.25">
      <c r="A2340" s="461">
        <v>38990</v>
      </c>
      <c r="B2340" s="460" t="s">
        <v>10493</v>
      </c>
      <c r="C2340" s="461" t="s">
        <v>1104</v>
      </c>
      <c r="D2340" s="461">
        <v>84.4</v>
      </c>
      <c r="E2340" s="461" t="s">
        <v>161</v>
      </c>
      <c r="F2340" s="461" t="s">
        <v>8326</v>
      </c>
    </row>
    <row r="2341" spans="1:6" ht="30" x14ac:dyDescent="0.25">
      <c r="A2341" s="461">
        <v>38991</v>
      </c>
      <c r="B2341" s="460" t="s">
        <v>10494</v>
      </c>
      <c r="C2341" s="461" t="s">
        <v>1104</v>
      </c>
      <c r="D2341" s="461">
        <v>151.88</v>
      </c>
      <c r="E2341" s="461" t="s">
        <v>161</v>
      </c>
      <c r="F2341" s="461" t="s">
        <v>8326</v>
      </c>
    </row>
    <row r="2342" spans="1:6" ht="15" x14ac:dyDescent="0.25">
      <c r="A2342" s="461">
        <v>38433</v>
      </c>
      <c r="B2342" s="460" t="s">
        <v>10495</v>
      </c>
      <c r="C2342" s="461" t="s">
        <v>1104</v>
      </c>
      <c r="D2342" s="461">
        <v>7.85</v>
      </c>
      <c r="E2342" s="461" t="s">
        <v>161</v>
      </c>
      <c r="F2342" s="461" t="s">
        <v>8326</v>
      </c>
    </row>
    <row r="2343" spans="1:6" ht="15" x14ac:dyDescent="0.25">
      <c r="A2343" s="461">
        <v>38440</v>
      </c>
      <c r="B2343" s="460" t="s">
        <v>10496</v>
      </c>
      <c r="C2343" s="461" t="s">
        <v>1104</v>
      </c>
      <c r="D2343" s="461">
        <v>331</v>
      </c>
      <c r="E2343" s="461" t="s">
        <v>161</v>
      </c>
      <c r="F2343" s="461" t="s">
        <v>8326</v>
      </c>
    </row>
    <row r="2344" spans="1:6" ht="15" x14ac:dyDescent="0.25">
      <c r="A2344" s="461">
        <v>36359</v>
      </c>
      <c r="B2344" s="460" t="s">
        <v>10497</v>
      </c>
      <c r="C2344" s="461" t="s">
        <v>1104</v>
      </c>
      <c r="D2344" s="461">
        <v>2.06</v>
      </c>
      <c r="E2344" s="461" t="s">
        <v>161</v>
      </c>
      <c r="F2344" s="461" t="s">
        <v>8326</v>
      </c>
    </row>
    <row r="2345" spans="1:6" ht="15" x14ac:dyDescent="0.25">
      <c r="A2345" s="461">
        <v>36360</v>
      </c>
      <c r="B2345" s="460" t="s">
        <v>10498</v>
      </c>
      <c r="C2345" s="461" t="s">
        <v>1104</v>
      </c>
      <c r="D2345" s="461">
        <v>2.77</v>
      </c>
      <c r="E2345" s="461" t="s">
        <v>161</v>
      </c>
      <c r="F2345" s="461" t="s">
        <v>8326</v>
      </c>
    </row>
    <row r="2346" spans="1:6" ht="15" x14ac:dyDescent="0.25">
      <c r="A2346" s="461">
        <v>38434</v>
      </c>
      <c r="B2346" s="460" t="s">
        <v>10499</v>
      </c>
      <c r="C2346" s="461" t="s">
        <v>1104</v>
      </c>
      <c r="D2346" s="461">
        <v>4.2300000000000004</v>
      </c>
      <c r="E2346" s="461" t="s">
        <v>161</v>
      </c>
      <c r="F2346" s="461" t="s">
        <v>8326</v>
      </c>
    </row>
    <row r="2347" spans="1:6" ht="15" x14ac:dyDescent="0.25">
      <c r="A2347" s="461">
        <v>38435</v>
      </c>
      <c r="B2347" s="460" t="s">
        <v>10500</v>
      </c>
      <c r="C2347" s="461" t="s">
        <v>1104</v>
      </c>
      <c r="D2347" s="461">
        <v>9.52</v>
      </c>
      <c r="E2347" s="461" t="s">
        <v>161</v>
      </c>
      <c r="F2347" s="461" t="s">
        <v>8326</v>
      </c>
    </row>
    <row r="2348" spans="1:6" ht="15" x14ac:dyDescent="0.25">
      <c r="A2348" s="461">
        <v>38436</v>
      </c>
      <c r="B2348" s="460" t="s">
        <v>10501</v>
      </c>
      <c r="C2348" s="461" t="s">
        <v>1104</v>
      </c>
      <c r="D2348" s="461">
        <v>15.78</v>
      </c>
      <c r="E2348" s="461" t="s">
        <v>161</v>
      </c>
      <c r="F2348" s="461" t="s">
        <v>8326</v>
      </c>
    </row>
    <row r="2349" spans="1:6" ht="15" x14ac:dyDescent="0.25">
      <c r="A2349" s="461">
        <v>38437</v>
      </c>
      <c r="B2349" s="460" t="s">
        <v>10502</v>
      </c>
      <c r="C2349" s="461" t="s">
        <v>1104</v>
      </c>
      <c r="D2349" s="461">
        <v>25.6</v>
      </c>
      <c r="E2349" s="461" t="s">
        <v>161</v>
      </c>
      <c r="F2349" s="461" t="s">
        <v>8326</v>
      </c>
    </row>
    <row r="2350" spans="1:6" ht="15" x14ac:dyDescent="0.25">
      <c r="A2350" s="461">
        <v>38438</v>
      </c>
      <c r="B2350" s="460" t="s">
        <v>10503</v>
      </c>
      <c r="C2350" s="461" t="s">
        <v>1104</v>
      </c>
      <c r="D2350" s="461">
        <v>74.25</v>
      </c>
      <c r="E2350" s="461" t="s">
        <v>161</v>
      </c>
      <c r="F2350" s="461" t="s">
        <v>8326</v>
      </c>
    </row>
    <row r="2351" spans="1:6" ht="15" x14ac:dyDescent="0.25">
      <c r="A2351" s="461">
        <v>38439</v>
      </c>
      <c r="B2351" s="460" t="s">
        <v>10504</v>
      </c>
      <c r="C2351" s="461" t="s">
        <v>1104</v>
      </c>
      <c r="D2351" s="461">
        <v>94.36</v>
      </c>
      <c r="E2351" s="461" t="s">
        <v>161</v>
      </c>
      <c r="F2351" s="461" t="s">
        <v>8326</v>
      </c>
    </row>
    <row r="2352" spans="1:6" ht="30" x14ac:dyDescent="0.25">
      <c r="A2352" s="461">
        <v>10836</v>
      </c>
      <c r="B2352" s="460" t="s">
        <v>10505</v>
      </c>
      <c r="C2352" s="461" t="s">
        <v>1104</v>
      </c>
      <c r="D2352" s="461">
        <v>17.010000000000002</v>
      </c>
      <c r="E2352" s="461" t="s">
        <v>161</v>
      </c>
      <c r="F2352" s="461" t="s">
        <v>8326</v>
      </c>
    </row>
    <row r="2353" spans="1:6" ht="30" x14ac:dyDescent="0.25">
      <c r="A2353" s="461">
        <v>10835</v>
      </c>
      <c r="B2353" s="460" t="s">
        <v>10506</v>
      </c>
      <c r="C2353" s="461" t="s">
        <v>1104</v>
      </c>
      <c r="D2353" s="461">
        <v>4.75</v>
      </c>
      <c r="E2353" s="461" t="s">
        <v>161</v>
      </c>
      <c r="F2353" s="461" t="s">
        <v>8326</v>
      </c>
    </row>
    <row r="2354" spans="1:6" ht="15" x14ac:dyDescent="0.25">
      <c r="A2354" s="461">
        <v>3475</v>
      </c>
      <c r="B2354" s="460" t="s">
        <v>10507</v>
      </c>
      <c r="C2354" s="461" t="s">
        <v>1104</v>
      </c>
      <c r="D2354" s="461">
        <v>4.71</v>
      </c>
      <c r="E2354" s="461" t="s">
        <v>161</v>
      </c>
      <c r="F2354" s="461" t="s">
        <v>8326</v>
      </c>
    </row>
    <row r="2355" spans="1:6" ht="15" x14ac:dyDescent="0.25">
      <c r="A2355" s="461">
        <v>3485</v>
      </c>
      <c r="B2355" s="460" t="s">
        <v>10508</v>
      </c>
      <c r="C2355" s="461" t="s">
        <v>1104</v>
      </c>
      <c r="D2355" s="461">
        <v>13.02</v>
      </c>
      <c r="E2355" s="461" t="s">
        <v>161</v>
      </c>
      <c r="F2355" s="461" t="s">
        <v>8326</v>
      </c>
    </row>
    <row r="2356" spans="1:6" ht="15" x14ac:dyDescent="0.25">
      <c r="A2356" s="461">
        <v>3534</v>
      </c>
      <c r="B2356" s="460" t="s">
        <v>10509</v>
      </c>
      <c r="C2356" s="461" t="s">
        <v>1104</v>
      </c>
      <c r="D2356" s="461">
        <v>7.46</v>
      </c>
      <c r="E2356" s="461" t="s">
        <v>161</v>
      </c>
      <c r="F2356" s="461" t="s">
        <v>8326</v>
      </c>
    </row>
    <row r="2357" spans="1:6" ht="15" x14ac:dyDescent="0.25">
      <c r="A2357" s="461">
        <v>3543</v>
      </c>
      <c r="B2357" s="460" t="s">
        <v>10510</v>
      </c>
      <c r="C2357" s="461" t="s">
        <v>1104</v>
      </c>
      <c r="D2357" s="461">
        <v>1.73</v>
      </c>
      <c r="E2357" s="461" t="s">
        <v>161</v>
      </c>
      <c r="F2357" s="461" t="s">
        <v>8326</v>
      </c>
    </row>
    <row r="2358" spans="1:6" ht="15" x14ac:dyDescent="0.25">
      <c r="A2358" s="461">
        <v>3482</v>
      </c>
      <c r="B2358" s="460" t="s">
        <v>10511</v>
      </c>
      <c r="C2358" s="461" t="s">
        <v>1104</v>
      </c>
      <c r="D2358" s="461">
        <v>5.34</v>
      </c>
      <c r="E2358" s="461" t="s">
        <v>161</v>
      </c>
      <c r="F2358" s="461" t="s">
        <v>8326</v>
      </c>
    </row>
    <row r="2359" spans="1:6" ht="15" x14ac:dyDescent="0.25">
      <c r="A2359" s="461">
        <v>3505</v>
      </c>
      <c r="B2359" s="460" t="s">
        <v>10512</v>
      </c>
      <c r="C2359" s="461" t="s">
        <v>1104</v>
      </c>
      <c r="D2359" s="461">
        <v>2.58</v>
      </c>
      <c r="E2359" s="461" t="s">
        <v>161</v>
      </c>
      <c r="F2359" s="461" t="s">
        <v>8326</v>
      </c>
    </row>
    <row r="2360" spans="1:6" ht="30" x14ac:dyDescent="0.25">
      <c r="A2360" s="461">
        <v>3521</v>
      </c>
      <c r="B2360" s="460" t="s">
        <v>10513</v>
      </c>
      <c r="C2360" s="461" t="s">
        <v>1104</v>
      </c>
      <c r="D2360" s="461">
        <v>1.94</v>
      </c>
      <c r="E2360" s="461" t="s">
        <v>161</v>
      </c>
      <c r="F2360" s="461" t="s">
        <v>8326</v>
      </c>
    </row>
    <row r="2361" spans="1:6" ht="30" x14ac:dyDescent="0.25">
      <c r="A2361" s="461">
        <v>3531</v>
      </c>
      <c r="B2361" s="460" t="s">
        <v>10514</v>
      </c>
      <c r="C2361" s="461" t="s">
        <v>1104</v>
      </c>
      <c r="D2361" s="461">
        <v>3.7</v>
      </c>
      <c r="E2361" s="461" t="s">
        <v>161</v>
      </c>
      <c r="F2361" s="461" t="s">
        <v>8326</v>
      </c>
    </row>
    <row r="2362" spans="1:6" ht="30" x14ac:dyDescent="0.25">
      <c r="A2362" s="461">
        <v>3522</v>
      </c>
      <c r="B2362" s="460" t="s">
        <v>10515</v>
      </c>
      <c r="C2362" s="461" t="s">
        <v>1104</v>
      </c>
      <c r="D2362" s="461">
        <v>2.38</v>
      </c>
      <c r="E2362" s="461" t="s">
        <v>161</v>
      </c>
      <c r="F2362" s="461" t="s">
        <v>8326</v>
      </c>
    </row>
    <row r="2363" spans="1:6" ht="30" x14ac:dyDescent="0.25">
      <c r="A2363" s="461">
        <v>3527</v>
      </c>
      <c r="B2363" s="460" t="s">
        <v>10516</v>
      </c>
      <c r="C2363" s="461" t="s">
        <v>1104</v>
      </c>
      <c r="D2363" s="461">
        <v>12.55</v>
      </c>
      <c r="E2363" s="461" t="s">
        <v>161</v>
      </c>
      <c r="F2363" s="461" t="s">
        <v>8326</v>
      </c>
    </row>
    <row r="2364" spans="1:6" ht="15" x14ac:dyDescent="0.25">
      <c r="A2364" s="461">
        <v>3516</v>
      </c>
      <c r="B2364" s="460" t="s">
        <v>10517</v>
      </c>
      <c r="C2364" s="461" t="s">
        <v>1104</v>
      </c>
      <c r="D2364" s="461">
        <v>1.96</v>
      </c>
      <c r="E2364" s="461" t="s">
        <v>161</v>
      </c>
      <c r="F2364" s="461" t="s">
        <v>8326</v>
      </c>
    </row>
    <row r="2365" spans="1:6" ht="30" x14ac:dyDescent="0.25">
      <c r="A2365" s="461">
        <v>3517</v>
      </c>
      <c r="B2365" s="460" t="s">
        <v>10518</v>
      </c>
      <c r="C2365" s="461" t="s">
        <v>1104</v>
      </c>
      <c r="D2365" s="461">
        <v>1.77</v>
      </c>
      <c r="E2365" s="461" t="s">
        <v>161</v>
      </c>
      <c r="F2365" s="461" t="s">
        <v>8326</v>
      </c>
    </row>
    <row r="2366" spans="1:6" ht="30" x14ac:dyDescent="0.25">
      <c r="A2366" s="461">
        <v>3515</v>
      </c>
      <c r="B2366" s="460" t="s">
        <v>10519</v>
      </c>
      <c r="C2366" s="461" t="s">
        <v>1104</v>
      </c>
      <c r="D2366" s="461">
        <v>6.4</v>
      </c>
      <c r="E2366" s="461" t="s">
        <v>161</v>
      </c>
      <c r="F2366" s="461" t="s">
        <v>8326</v>
      </c>
    </row>
    <row r="2367" spans="1:6" ht="30" x14ac:dyDescent="0.25">
      <c r="A2367" s="461">
        <v>20147</v>
      </c>
      <c r="B2367" s="460" t="s">
        <v>10520</v>
      </c>
      <c r="C2367" s="461" t="s">
        <v>1104</v>
      </c>
      <c r="D2367" s="461">
        <v>5.26</v>
      </c>
      <c r="E2367" s="461" t="s">
        <v>161</v>
      </c>
      <c r="F2367" s="461" t="s">
        <v>8326</v>
      </c>
    </row>
    <row r="2368" spans="1:6" ht="30" x14ac:dyDescent="0.25">
      <c r="A2368" s="461">
        <v>3524</v>
      </c>
      <c r="B2368" s="460" t="s">
        <v>10521</v>
      </c>
      <c r="C2368" s="461" t="s">
        <v>1104</v>
      </c>
      <c r="D2368" s="461">
        <v>7.92</v>
      </c>
      <c r="E2368" s="461" t="s">
        <v>161</v>
      </c>
      <c r="F2368" s="461" t="s">
        <v>8326</v>
      </c>
    </row>
    <row r="2369" spans="1:6" ht="30" x14ac:dyDescent="0.25">
      <c r="A2369" s="461">
        <v>3532</v>
      </c>
      <c r="B2369" s="460" t="s">
        <v>10522</v>
      </c>
      <c r="C2369" s="461" t="s">
        <v>1104</v>
      </c>
      <c r="D2369" s="461">
        <v>18.3</v>
      </c>
      <c r="E2369" s="461" t="s">
        <v>161</v>
      </c>
      <c r="F2369" s="461" t="s">
        <v>8326</v>
      </c>
    </row>
    <row r="2370" spans="1:6" ht="15" x14ac:dyDescent="0.25">
      <c r="A2370" s="461">
        <v>3528</v>
      </c>
      <c r="B2370" s="460" t="s">
        <v>10523</v>
      </c>
      <c r="C2370" s="461" t="s">
        <v>1104</v>
      </c>
      <c r="D2370" s="461">
        <v>7.66</v>
      </c>
      <c r="E2370" s="461" t="s">
        <v>161</v>
      </c>
      <c r="F2370" s="461" t="s">
        <v>8326</v>
      </c>
    </row>
    <row r="2371" spans="1:6" ht="15" x14ac:dyDescent="0.25">
      <c r="A2371" s="461">
        <v>37952</v>
      </c>
      <c r="B2371" s="460" t="s">
        <v>10524</v>
      </c>
      <c r="C2371" s="461" t="s">
        <v>1104</v>
      </c>
      <c r="D2371" s="461">
        <v>54.91</v>
      </c>
      <c r="E2371" s="461" t="s">
        <v>161</v>
      </c>
      <c r="F2371" s="461" t="s">
        <v>8326</v>
      </c>
    </row>
    <row r="2372" spans="1:6" ht="15" x14ac:dyDescent="0.25">
      <c r="A2372" s="461">
        <v>37951</v>
      </c>
      <c r="B2372" s="460" t="s">
        <v>10525</v>
      </c>
      <c r="C2372" s="461" t="s">
        <v>1104</v>
      </c>
      <c r="D2372" s="461">
        <v>2.06</v>
      </c>
      <c r="E2372" s="461" t="s">
        <v>161</v>
      </c>
      <c r="F2372" s="461" t="s">
        <v>8326</v>
      </c>
    </row>
    <row r="2373" spans="1:6" ht="15" x14ac:dyDescent="0.25">
      <c r="A2373" s="461">
        <v>3518</v>
      </c>
      <c r="B2373" s="460" t="s">
        <v>10526</v>
      </c>
      <c r="C2373" s="461" t="s">
        <v>1104</v>
      </c>
      <c r="D2373" s="461">
        <v>3.17</v>
      </c>
      <c r="E2373" s="461" t="s">
        <v>161</v>
      </c>
      <c r="F2373" s="461" t="s">
        <v>8326</v>
      </c>
    </row>
    <row r="2374" spans="1:6" ht="15" x14ac:dyDescent="0.25">
      <c r="A2374" s="461">
        <v>3519</v>
      </c>
      <c r="B2374" s="460" t="s">
        <v>10527</v>
      </c>
      <c r="C2374" s="461" t="s">
        <v>1104</v>
      </c>
      <c r="D2374" s="461">
        <v>6.64</v>
      </c>
      <c r="E2374" s="461" t="s">
        <v>161</v>
      </c>
      <c r="F2374" s="461" t="s">
        <v>8326</v>
      </c>
    </row>
    <row r="2375" spans="1:6" ht="15" x14ac:dyDescent="0.25">
      <c r="A2375" s="461">
        <v>3520</v>
      </c>
      <c r="B2375" s="460" t="s">
        <v>10528</v>
      </c>
      <c r="C2375" s="461" t="s">
        <v>1104</v>
      </c>
      <c r="D2375" s="461">
        <v>6.96</v>
      </c>
      <c r="E2375" s="461" t="s">
        <v>161</v>
      </c>
      <c r="F2375" s="461" t="s">
        <v>8326</v>
      </c>
    </row>
    <row r="2376" spans="1:6" ht="15" x14ac:dyDescent="0.25">
      <c r="A2376" s="461">
        <v>37950</v>
      </c>
      <c r="B2376" s="460" t="s">
        <v>10529</v>
      </c>
      <c r="C2376" s="461" t="s">
        <v>1104</v>
      </c>
      <c r="D2376" s="461">
        <v>50.55</v>
      </c>
      <c r="E2376" s="461" t="s">
        <v>161</v>
      </c>
      <c r="F2376" s="461" t="s">
        <v>8326</v>
      </c>
    </row>
    <row r="2377" spans="1:6" ht="15" x14ac:dyDescent="0.25">
      <c r="A2377" s="461">
        <v>37949</v>
      </c>
      <c r="B2377" s="460" t="s">
        <v>10530</v>
      </c>
      <c r="C2377" s="461" t="s">
        <v>1104</v>
      </c>
      <c r="D2377" s="461">
        <v>1.86</v>
      </c>
      <c r="E2377" s="461" t="s">
        <v>161</v>
      </c>
      <c r="F2377" s="461" t="s">
        <v>8326</v>
      </c>
    </row>
    <row r="2378" spans="1:6" ht="15" x14ac:dyDescent="0.25">
      <c r="A2378" s="461">
        <v>3526</v>
      </c>
      <c r="B2378" s="460" t="s">
        <v>10531</v>
      </c>
      <c r="C2378" s="461" t="s">
        <v>1104</v>
      </c>
      <c r="D2378" s="461">
        <v>2.56</v>
      </c>
      <c r="E2378" s="461" t="s">
        <v>161</v>
      </c>
      <c r="F2378" s="461" t="s">
        <v>8326</v>
      </c>
    </row>
    <row r="2379" spans="1:6" ht="15" x14ac:dyDescent="0.25">
      <c r="A2379" s="461">
        <v>3509</v>
      </c>
      <c r="B2379" s="460" t="s">
        <v>10532</v>
      </c>
      <c r="C2379" s="461" t="s">
        <v>1104</v>
      </c>
      <c r="D2379" s="461">
        <v>5.83</v>
      </c>
      <c r="E2379" s="461" t="s">
        <v>161</v>
      </c>
      <c r="F2379" s="461" t="s">
        <v>8326</v>
      </c>
    </row>
    <row r="2380" spans="1:6" ht="30" x14ac:dyDescent="0.25">
      <c r="A2380" s="461">
        <v>3530</v>
      </c>
      <c r="B2380" s="460" t="s">
        <v>10533</v>
      </c>
      <c r="C2380" s="461" t="s">
        <v>1104</v>
      </c>
      <c r="D2380" s="461">
        <v>203.18</v>
      </c>
      <c r="E2380" s="461" t="s">
        <v>161</v>
      </c>
      <c r="F2380" s="461" t="s">
        <v>8326</v>
      </c>
    </row>
    <row r="2381" spans="1:6" ht="15" x14ac:dyDescent="0.25">
      <c r="A2381" s="461">
        <v>3542</v>
      </c>
      <c r="B2381" s="460" t="s">
        <v>10534</v>
      </c>
      <c r="C2381" s="461" t="s">
        <v>1104</v>
      </c>
      <c r="D2381" s="461">
        <v>0.57999999999999996</v>
      </c>
      <c r="E2381" s="461" t="s">
        <v>161</v>
      </c>
      <c r="F2381" s="461" t="s">
        <v>8326</v>
      </c>
    </row>
    <row r="2382" spans="1:6" ht="15" x14ac:dyDescent="0.25">
      <c r="A2382" s="461">
        <v>3529</v>
      </c>
      <c r="B2382" s="460" t="s">
        <v>10535</v>
      </c>
      <c r="C2382" s="461" t="s">
        <v>1104</v>
      </c>
      <c r="D2382" s="461">
        <v>0.71</v>
      </c>
      <c r="E2382" s="461" t="s">
        <v>161</v>
      </c>
      <c r="F2382" s="461" t="s">
        <v>8326</v>
      </c>
    </row>
    <row r="2383" spans="1:6" ht="15" x14ac:dyDescent="0.25">
      <c r="A2383" s="461">
        <v>3536</v>
      </c>
      <c r="B2383" s="460" t="s">
        <v>10536</v>
      </c>
      <c r="C2383" s="461" t="s">
        <v>1104</v>
      </c>
      <c r="D2383" s="461">
        <v>2.38</v>
      </c>
      <c r="E2383" s="461" t="s">
        <v>161</v>
      </c>
      <c r="F2383" s="461" t="s">
        <v>8326</v>
      </c>
    </row>
    <row r="2384" spans="1:6" ht="15" x14ac:dyDescent="0.25">
      <c r="A2384" s="461">
        <v>3535</v>
      </c>
      <c r="B2384" s="460" t="s">
        <v>10537</v>
      </c>
      <c r="C2384" s="461" t="s">
        <v>1104</v>
      </c>
      <c r="D2384" s="461">
        <v>5.8</v>
      </c>
      <c r="E2384" s="461" t="s">
        <v>161</v>
      </c>
      <c r="F2384" s="461" t="s">
        <v>8326</v>
      </c>
    </row>
    <row r="2385" spans="1:6" ht="15" x14ac:dyDescent="0.25">
      <c r="A2385" s="461">
        <v>3540</v>
      </c>
      <c r="B2385" s="460" t="s">
        <v>10538</v>
      </c>
      <c r="C2385" s="461" t="s">
        <v>1104</v>
      </c>
      <c r="D2385" s="461">
        <v>4.9000000000000004</v>
      </c>
      <c r="E2385" s="461" t="s">
        <v>161</v>
      </c>
      <c r="F2385" s="461" t="s">
        <v>8326</v>
      </c>
    </row>
    <row r="2386" spans="1:6" ht="15" x14ac:dyDescent="0.25">
      <c r="A2386" s="461">
        <v>3539</v>
      </c>
      <c r="B2386" s="460" t="s">
        <v>10539</v>
      </c>
      <c r="C2386" s="461" t="s">
        <v>1104</v>
      </c>
      <c r="D2386" s="461">
        <v>28.44</v>
      </c>
      <c r="E2386" s="461" t="s">
        <v>161</v>
      </c>
      <c r="F2386" s="461" t="s">
        <v>8326</v>
      </c>
    </row>
    <row r="2387" spans="1:6" ht="15" x14ac:dyDescent="0.25">
      <c r="A2387" s="461">
        <v>3513</v>
      </c>
      <c r="B2387" s="460" t="s">
        <v>10540</v>
      </c>
      <c r="C2387" s="461" t="s">
        <v>1104</v>
      </c>
      <c r="D2387" s="461">
        <v>100.27</v>
      </c>
      <c r="E2387" s="461" t="s">
        <v>161</v>
      </c>
      <c r="F2387" s="461" t="s">
        <v>8326</v>
      </c>
    </row>
    <row r="2388" spans="1:6" ht="15" x14ac:dyDescent="0.25">
      <c r="A2388" s="461">
        <v>3510</v>
      </c>
      <c r="B2388" s="460" t="s">
        <v>10541</v>
      </c>
      <c r="C2388" s="461" t="s">
        <v>1104</v>
      </c>
      <c r="D2388" s="461">
        <v>12.38</v>
      </c>
      <c r="E2388" s="461" t="s">
        <v>161</v>
      </c>
      <c r="F2388" s="461" t="s">
        <v>8326</v>
      </c>
    </row>
    <row r="2389" spans="1:6" ht="30" x14ac:dyDescent="0.25">
      <c r="A2389" s="461">
        <v>38913</v>
      </c>
      <c r="B2389" s="460" t="s">
        <v>10542</v>
      </c>
      <c r="C2389" s="461" t="s">
        <v>1104</v>
      </c>
      <c r="D2389" s="461">
        <v>9.61</v>
      </c>
      <c r="E2389" s="461" t="s">
        <v>161</v>
      </c>
      <c r="F2389" s="461" t="s">
        <v>8328</v>
      </c>
    </row>
    <row r="2390" spans="1:6" ht="30" x14ac:dyDescent="0.25">
      <c r="A2390" s="461">
        <v>38914</v>
      </c>
      <c r="B2390" s="460" t="s">
        <v>10543</v>
      </c>
      <c r="C2390" s="461" t="s">
        <v>1104</v>
      </c>
      <c r="D2390" s="461">
        <v>11.8</v>
      </c>
      <c r="E2390" s="461" t="s">
        <v>161</v>
      </c>
      <c r="F2390" s="461" t="s">
        <v>8328</v>
      </c>
    </row>
    <row r="2391" spans="1:6" ht="30" x14ac:dyDescent="0.25">
      <c r="A2391" s="461">
        <v>38915</v>
      </c>
      <c r="B2391" s="460" t="s">
        <v>10544</v>
      </c>
      <c r="C2391" s="461" t="s">
        <v>1104</v>
      </c>
      <c r="D2391" s="461">
        <v>22.74</v>
      </c>
      <c r="E2391" s="461" t="s">
        <v>161</v>
      </c>
      <c r="F2391" s="461" t="s">
        <v>8328</v>
      </c>
    </row>
    <row r="2392" spans="1:6" ht="30" x14ac:dyDescent="0.25">
      <c r="A2392" s="461">
        <v>38916</v>
      </c>
      <c r="B2392" s="460" t="s">
        <v>10545</v>
      </c>
      <c r="C2392" s="461" t="s">
        <v>1104</v>
      </c>
      <c r="D2392" s="461">
        <v>31.47</v>
      </c>
      <c r="E2392" s="461" t="s">
        <v>161</v>
      </c>
      <c r="F2392" s="461" t="s">
        <v>8328</v>
      </c>
    </row>
    <row r="2393" spans="1:6" ht="30" x14ac:dyDescent="0.25">
      <c r="A2393" s="461">
        <v>39300</v>
      </c>
      <c r="B2393" s="460" t="s">
        <v>10546</v>
      </c>
      <c r="C2393" s="461" t="s">
        <v>1104</v>
      </c>
      <c r="D2393" s="461">
        <v>8.58</v>
      </c>
      <c r="E2393" s="461" t="s">
        <v>161</v>
      </c>
      <c r="F2393" s="461" t="s">
        <v>8328</v>
      </c>
    </row>
    <row r="2394" spans="1:6" ht="30" x14ac:dyDescent="0.25">
      <c r="A2394" s="461">
        <v>39301</v>
      </c>
      <c r="B2394" s="460" t="s">
        <v>10547</v>
      </c>
      <c r="C2394" s="461" t="s">
        <v>1104</v>
      </c>
      <c r="D2394" s="461">
        <v>11.49</v>
      </c>
      <c r="E2394" s="461" t="s">
        <v>161</v>
      </c>
      <c r="F2394" s="461" t="s">
        <v>8328</v>
      </c>
    </row>
    <row r="2395" spans="1:6" ht="30" x14ac:dyDescent="0.25">
      <c r="A2395" s="461">
        <v>39302</v>
      </c>
      <c r="B2395" s="460" t="s">
        <v>10548</v>
      </c>
      <c r="C2395" s="461" t="s">
        <v>1104</v>
      </c>
      <c r="D2395" s="461">
        <v>20.88</v>
      </c>
      <c r="E2395" s="461" t="s">
        <v>161</v>
      </c>
      <c r="F2395" s="461" t="s">
        <v>8328</v>
      </c>
    </row>
    <row r="2396" spans="1:6" ht="45" x14ac:dyDescent="0.25">
      <c r="A2396" s="461">
        <v>38941</v>
      </c>
      <c r="B2396" s="460" t="s">
        <v>10549</v>
      </c>
      <c r="C2396" s="461" t="s">
        <v>1104</v>
      </c>
      <c r="D2396" s="461">
        <v>15.5</v>
      </c>
      <c r="E2396" s="461" t="s">
        <v>161</v>
      </c>
      <c r="F2396" s="461" t="s">
        <v>8328</v>
      </c>
    </row>
    <row r="2397" spans="1:6" ht="45" x14ac:dyDescent="0.25">
      <c r="A2397" s="461">
        <v>38923</v>
      </c>
      <c r="B2397" s="460" t="s">
        <v>10550</v>
      </c>
      <c r="C2397" s="461" t="s">
        <v>1104</v>
      </c>
      <c r="D2397" s="461">
        <v>10.28</v>
      </c>
      <c r="E2397" s="461" t="s">
        <v>161</v>
      </c>
      <c r="F2397" s="461" t="s">
        <v>8328</v>
      </c>
    </row>
    <row r="2398" spans="1:6" ht="45" x14ac:dyDescent="0.25">
      <c r="A2398" s="461">
        <v>38925</v>
      </c>
      <c r="B2398" s="460" t="s">
        <v>10551</v>
      </c>
      <c r="C2398" s="461" t="s">
        <v>1104</v>
      </c>
      <c r="D2398" s="461">
        <v>11.93</v>
      </c>
      <c r="E2398" s="461" t="s">
        <v>161</v>
      </c>
      <c r="F2398" s="461" t="s">
        <v>8328</v>
      </c>
    </row>
    <row r="2399" spans="1:6" ht="45" x14ac:dyDescent="0.25">
      <c r="A2399" s="461">
        <v>38926</v>
      </c>
      <c r="B2399" s="460" t="s">
        <v>10552</v>
      </c>
      <c r="C2399" s="461" t="s">
        <v>1104</v>
      </c>
      <c r="D2399" s="461">
        <v>14.15</v>
      </c>
      <c r="E2399" s="461" t="s">
        <v>161</v>
      </c>
      <c r="F2399" s="461" t="s">
        <v>8328</v>
      </c>
    </row>
    <row r="2400" spans="1:6" ht="45" x14ac:dyDescent="0.25">
      <c r="A2400" s="461">
        <v>38927</v>
      </c>
      <c r="B2400" s="460" t="s">
        <v>10553</v>
      </c>
      <c r="C2400" s="461" t="s">
        <v>1104</v>
      </c>
      <c r="D2400" s="461">
        <v>17.87</v>
      </c>
      <c r="E2400" s="461" t="s">
        <v>161</v>
      </c>
      <c r="F2400" s="461" t="s">
        <v>8328</v>
      </c>
    </row>
    <row r="2401" spans="1:6" ht="30" x14ac:dyDescent="0.25">
      <c r="A2401" s="461">
        <v>39304</v>
      </c>
      <c r="B2401" s="460" t="s">
        <v>10554</v>
      </c>
      <c r="C2401" s="461" t="s">
        <v>1104</v>
      </c>
      <c r="D2401" s="461">
        <v>10.15</v>
      </c>
      <c r="E2401" s="461" t="s">
        <v>161</v>
      </c>
      <c r="F2401" s="461" t="s">
        <v>8328</v>
      </c>
    </row>
    <row r="2402" spans="1:6" ht="30" x14ac:dyDescent="0.25">
      <c r="A2402" s="461">
        <v>39305</v>
      </c>
      <c r="B2402" s="460" t="s">
        <v>10555</v>
      </c>
      <c r="C2402" s="461" t="s">
        <v>1104</v>
      </c>
      <c r="D2402" s="461">
        <v>11.13</v>
      </c>
      <c r="E2402" s="461" t="s">
        <v>161</v>
      </c>
      <c r="F2402" s="461" t="s">
        <v>8328</v>
      </c>
    </row>
    <row r="2403" spans="1:6" ht="30" x14ac:dyDescent="0.25">
      <c r="A2403" s="461">
        <v>39306</v>
      </c>
      <c r="B2403" s="460" t="s">
        <v>10556</v>
      </c>
      <c r="C2403" s="461" t="s">
        <v>1104</v>
      </c>
      <c r="D2403" s="461">
        <v>14.97</v>
      </c>
      <c r="E2403" s="461" t="s">
        <v>161</v>
      </c>
      <c r="F2403" s="461" t="s">
        <v>8328</v>
      </c>
    </row>
    <row r="2404" spans="1:6" ht="30" x14ac:dyDescent="0.25">
      <c r="A2404" s="461">
        <v>38928</v>
      </c>
      <c r="B2404" s="460" t="s">
        <v>10557</v>
      </c>
      <c r="C2404" s="461" t="s">
        <v>1104</v>
      </c>
      <c r="D2404" s="461">
        <v>19.78</v>
      </c>
      <c r="E2404" s="461" t="s">
        <v>161</v>
      </c>
      <c r="F2404" s="461" t="s">
        <v>8328</v>
      </c>
    </row>
    <row r="2405" spans="1:6" ht="45" x14ac:dyDescent="0.25">
      <c r="A2405" s="461">
        <v>38917</v>
      </c>
      <c r="B2405" s="460" t="s">
        <v>10558</v>
      </c>
      <c r="C2405" s="461" t="s">
        <v>1104</v>
      </c>
      <c r="D2405" s="461">
        <v>11.05</v>
      </c>
      <c r="E2405" s="461" t="s">
        <v>161</v>
      </c>
      <c r="F2405" s="461" t="s">
        <v>8328</v>
      </c>
    </row>
    <row r="2406" spans="1:6" ht="45" x14ac:dyDescent="0.25">
      <c r="A2406" s="461">
        <v>38919</v>
      </c>
      <c r="B2406" s="460" t="s">
        <v>10559</v>
      </c>
      <c r="C2406" s="461" t="s">
        <v>1104</v>
      </c>
      <c r="D2406" s="461">
        <v>12.98</v>
      </c>
      <c r="E2406" s="461" t="s">
        <v>161</v>
      </c>
      <c r="F2406" s="461" t="s">
        <v>8328</v>
      </c>
    </row>
    <row r="2407" spans="1:6" ht="45" x14ac:dyDescent="0.25">
      <c r="A2407" s="461">
        <v>38922</v>
      </c>
      <c r="B2407" s="460" t="s">
        <v>10560</v>
      </c>
      <c r="C2407" s="461" t="s">
        <v>1104</v>
      </c>
      <c r="D2407" s="461">
        <v>17.41</v>
      </c>
      <c r="E2407" s="461" t="s">
        <v>161</v>
      </c>
      <c r="F2407" s="461" t="s">
        <v>8328</v>
      </c>
    </row>
    <row r="2408" spans="1:6" ht="15" x14ac:dyDescent="0.25">
      <c r="A2408" s="461">
        <v>20151</v>
      </c>
      <c r="B2408" s="460" t="s">
        <v>10561</v>
      </c>
      <c r="C2408" s="461" t="s">
        <v>1104</v>
      </c>
      <c r="D2408" s="461">
        <v>17.12</v>
      </c>
      <c r="E2408" s="461" t="s">
        <v>161</v>
      </c>
      <c r="F2408" s="461" t="s">
        <v>8326</v>
      </c>
    </row>
    <row r="2409" spans="1:6" ht="15" x14ac:dyDescent="0.25">
      <c r="A2409" s="461">
        <v>20152</v>
      </c>
      <c r="B2409" s="460" t="s">
        <v>10562</v>
      </c>
      <c r="C2409" s="461" t="s">
        <v>1104</v>
      </c>
      <c r="D2409" s="461">
        <v>61.96</v>
      </c>
      <c r="E2409" s="461" t="s">
        <v>161</v>
      </c>
      <c r="F2409" s="461" t="s">
        <v>8326</v>
      </c>
    </row>
    <row r="2410" spans="1:6" ht="15" x14ac:dyDescent="0.25">
      <c r="A2410" s="461">
        <v>20148</v>
      </c>
      <c r="B2410" s="460" t="s">
        <v>10563</v>
      </c>
      <c r="C2410" s="461" t="s">
        <v>1104</v>
      </c>
      <c r="D2410" s="461">
        <v>3.36</v>
      </c>
      <c r="E2410" s="461" t="s">
        <v>161</v>
      </c>
      <c r="F2410" s="461" t="s">
        <v>8326</v>
      </c>
    </row>
    <row r="2411" spans="1:6" ht="15" x14ac:dyDescent="0.25">
      <c r="A2411" s="461">
        <v>20149</v>
      </c>
      <c r="B2411" s="460" t="s">
        <v>10564</v>
      </c>
      <c r="C2411" s="461" t="s">
        <v>1104</v>
      </c>
      <c r="D2411" s="461">
        <v>5.62</v>
      </c>
      <c r="E2411" s="461" t="s">
        <v>161</v>
      </c>
      <c r="F2411" s="461" t="s">
        <v>8326</v>
      </c>
    </row>
    <row r="2412" spans="1:6" ht="15" x14ac:dyDescent="0.25">
      <c r="A2412" s="461">
        <v>20150</v>
      </c>
      <c r="B2412" s="460" t="s">
        <v>10565</v>
      </c>
      <c r="C2412" s="461" t="s">
        <v>1104</v>
      </c>
      <c r="D2412" s="461">
        <v>14.49</v>
      </c>
      <c r="E2412" s="461" t="s">
        <v>161</v>
      </c>
      <c r="F2412" s="461" t="s">
        <v>8326</v>
      </c>
    </row>
    <row r="2413" spans="1:6" ht="15" x14ac:dyDescent="0.25">
      <c r="A2413" s="461">
        <v>20157</v>
      </c>
      <c r="B2413" s="460" t="s">
        <v>10566</v>
      </c>
      <c r="C2413" s="461" t="s">
        <v>1104</v>
      </c>
      <c r="D2413" s="461">
        <v>16.260000000000002</v>
      </c>
      <c r="E2413" s="461" t="s">
        <v>161</v>
      </c>
      <c r="F2413" s="461" t="s">
        <v>8326</v>
      </c>
    </row>
    <row r="2414" spans="1:6" ht="15" x14ac:dyDescent="0.25">
      <c r="A2414" s="461">
        <v>20158</v>
      </c>
      <c r="B2414" s="460" t="s">
        <v>10567</v>
      </c>
      <c r="C2414" s="461" t="s">
        <v>1104</v>
      </c>
      <c r="D2414" s="461">
        <v>64.59</v>
      </c>
      <c r="E2414" s="461" t="s">
        <v>161</v>
      </c>
      <c r="F2414" s="461" t="s">
        <v>8326</v>
      </c>
    </row>
    <row r="2415" spans="1:6" ht="15" x14ac:dyDescent="0.25">
      <c r="A2415" s="461">
        <v>20154</v>
      </c>
      <c r="B2415" s="460" t="s">
        <v>10568</v>
      </c>
      <c r="C2415" s="461" t="s">
        <v>1104</v>
      </c>
      <c r="D2415" s="461">
        <v>3.29</v>
      </c>
      <c r="E2415" s="461" t="s">
        <v>161</v>
      </c>
      <c r="F2415" s="461" t="s">
        <v>8326</v>
      </c>
    </row>
    <row r="2416" spans="1:6" ht="15" x14ac:dyDescent="0.25">
      <c r="A2416" s="461">
        <v>20155</v>
      </c>
      <c r="B2416" s="460" t="s">
        <v>10569</v>
      </c>
      <c r="C2416" s="461" t="s">
        <v>1104</v>
      </c>
      <c r="D2416" s="461">
        <v>5.0199999999999996</v>
      </c>
      <c r="E2416" s="461" t="s">
        <v>161</v>
      </c>
      <c r="F2416" s="461" t="s">
        <v>8326</v>
      </c>
    </row>
    <row r="2417" spans="1:6" ht="15" x14ac:dyDescent="0.25">
      <c r="A2417" s="461">
        <v>20156</v>
      </c>
      <c r="B2417" s="460" t="s">
        <v>10570</v>
      </c>
      <c r="C2417" s="461" t="s">
        <v>1104</v>
      </c>
      <c r="D2417" s="461">
        <v>14.11</v>
      </c>
      <c r="E2417" s="461" t="s">
        <v>161</v>
      </c>
      <c r="F2417" s="461" t="s">
        <v>8326</v>
      </c>
    </row>
    <row r="2418" spans="1:6" ht="15" x14ac:dyDescent="0.25">
      <c r="A2418" s="461">
        <v>3499</v>
      </c>
      <c r="B2418" s="460" t="s">
        <v>10571</v>
      </c>
      <c r="C2418" s="461" t="s">
        <v>1104</v>
      </c>
      <c r="D2418" s="461">
        <v>1.1100000000000001</v>
      </c>
      <c r="E2418" s="461" t="s">
        <v>161</v>
      </c>
      <c r="F2418" s="461" t="s">
        <v>8326</v>
      </c>
    </row>
    <row r="2419" spans="1:6" ht="15" x14ac:dyDescent="0.25">
      <c r="A2419" s="461">
        <v>3500</v>
      </c>
      <c r="B2419" s="460" t="s">
        <v>10572</v>
      </c>
      <c r="C2419" s="461" t="s">
        <v>1104</v>
      </c>
      <c r="D2419" s="461">
        <v>1.47</v>
      </c>
      <c r="E2419" s="461" t="s">
        <v>161</v>
      </c>
      <c r="F2419" s="461" t="s">
        <v>8326</v>
      </c>
    </row>
    <row r="2420" spans="1:6" ht="15" x14ac:dyDescent="0.25">
      <c r="A2420" s="461">
        <v>3501</v>
      </c>
      <c r="B2420" s="460" t="s">
        <v>10573</v>
      </c>
      <c r="C2420" s="461" t="s">
        <v>1104</v>
      </c>
      <c r="D2420" s="461">
        <v>4.07</v>
      </c>
      <c r="E2420" s="461" t="s">
        <v>161</v>
      </c>
      <c r="F2420" s="461" t="s">
        <v>8326</v>
      </c>
    </row>
    <row r="2421" spans="1:6" ht="15" x14ac:dyDescent="0.25">
      <c r="A2421" s="461">
        <v>3502</v>
      </c>
      <c r="B2421" s="460" t="s">
        <v>10574</v>
      </c>
      <c r="C2421" s="461" t="s">
        <v>1104</v>
      </c>
      <c r="D2421" s="461">
        <v>5.85</v>
      </c>
      <c r="E2421" s="461" t="s">
        <v>161</v>
      </c>
      <c r="F2421" s="461" t="s">
        <v>8326</v>
      </c>
    </row>
    <row r="2422" spans="1:6" ht="15" x14ac:dyDescent="0.25">
      <c r="A2422" s="461">
        <v>3503</v>
      </c>
      <c r="B2422" s="460" t="s">
        <v>10575</v>
      </c>
      <c r="C2422" s="461" t="s">
        <v>1104</v>
      </c>
      <c r="D2422" s="461">
        <v>7.35</v>
      </c>
      <c r="E2422" s="461" t="s">
        <v>161</v>
      </c>
      <c r="F2422" s="461" t="s">
        <v>8326</v>
      </c>
    </row>
    <row r="2423" spans="1:6" ht="15" x14ac:dyDescent="0.25">
      <c r="A2423" s="461">
        <v>3477</v>
      </c>
      <c r="B2423" s="460" t="s">
        <v>10576</v>
      </c>
      <c r="C2423" s="461" t="s">
        <v>1104</v>
      </c>
      <c r="D2423" s="461">
        <v>26.72</v>
      </c>
      <c r="E2423" s="461" t="s">
        <v>161</v>
      </c>
      <c r="F2423" s="461" t="s">
        <v>8326</v>
      </c>
    </row>
    <row r="2424" spans="1:6" ht="15" x14ac:dyDescent="0.25">
      <c r="A2424" s="461">
        <v>3478</v>
      </c>
      <c r="B2424" s="460" t="s">
        <v>10577</v>
      </c>
      <c r="C2424" s="461" t="s">
        <v>1104</v>
      </c>
      <c r="D2424" s="461">
        <v>64.069999999999993</v>
      </c>
      <c r="E2424" s="461" t="s">
        <v>161</v>
      </c>
      <c r="F2424" s="461" t="s">
        <v>8326</v>
      </c>
    </row>
    <row r="2425" spans="1:6" ht="15" x14ac:dyDescent="0.25">
      <c r="A2425" s="461">
        <v>3525</v>
      </c>
      <c r="B2425" s="460" t="s">
        <v>10578</v>
      </c>
      <c r="C2425" s="461" t="s">
        <v>1104</v>
      </c>
      <c r="D2425" s="461">
        <v>79.069999999999993</v>
      </c>
      <c r="E2425" s="461" t="s">
        <v>161</v>
      </c>
      <c r="F2425" s="461" t="s">
        <v>8326</v>
      </c>
    </row>
    <row r="2426" spans="1:6" ht="15" x14ac:dyDescent="0.25">
      <c r="A2426" s="461">
        <v>3511</v>
      </c>
      <c r="B2426" s="460" t="s">
        <v>10579</v>
      </c>
      <c r="C2426" s="461" t="s">
        <v>1104</v>
      </c>
      <c r="D2426" s="461">
        <v>83.87</v>
      </c>
      <c r="E2426" s="461" t="s">
        <v>161</v>
      </c>
      <c r="F2426" s="461" t="s">
        <v>8326</v>
      </c>
    </row>
    <row r="2427" spans="1:6" ht="30" x14ac:dyDescent="0.25">
      <c r="A2427" s="461">
        <v>12032</v>
      </c>
      <c r="B2427" s="460" t="s">
        <v>10580</v>
      </c>
      <c r="C2427" s="461" t="s">
        <v>1112</v>
      </c>
      <c r="D2427" s="461">
        <v>50.52</v>
      </c>
      <c r="E2427" s="461" t="s">
        <v>161</v>
      </c>
      <c r="F2427" s="461" t="s">
        <v>8326</v>
      </c>
    </row>
    <row r="2428" spans="1:6" ht="30" x14ac:dyDescent="0.25">
      <c r="A2428" s="461">
        <v>12030</v>
      </c>
      <c r="B2428" s="460" t="s">
        <v>10581</v>
      </c>
      <c r="C2428" s="461" t="s">
        <v>1112</v>
      </c>
      <c r="D2428" s="461">
        <v>47.47</v>
      </c>
      <c r="E2428" s="461" t="s">
        <v>161</v>
      </c>
      <c r="F2428" s="461" t="s">
        <v>8326</v>
      </c>
    </row>
    <row r="2429" spans="1:6" ht="30" x14ac:dyDescent="0.25">
      <c r="A2429" s="461">
        <v>10908</v>
      </c>
      <c r="B2429" s="460" t="s">
        <v>10582</v>
      </c>
      <c r="C2429" s="461" t="s">
        <v>1104</v>
      </c>
      <c r="D2429" s="461">
        <v>15.99</v>
      </c>
      <c r="E2429" s="461" t="s">
        <v>161</v>
      </c>
      <c r="F2429" s="461" t="s">
        <v>8326</v>
      </c>
    </row>
    <row r="2430" spans="1:6" ht="30" x14ac:dyDescent="0.25">
      <c r="A2430" s="461">
        <v>10909</v>
      </c>
      <c r="B2430" s="460" t="s">
        <v>10583</v>
      </c>
      <c r="C2430" s="461" t="s">
        <v>1104</v>
      </c>
      <c r="D2430" s="461">
        <v>18.600000000000001</v>
      </c>
      <c r="E2430" s="461" t="s">
        <v>161</v>
      </c>
      <c r="F2430" s="461" t="s">
        <v>8326</v>
      </c>
    </row>
    <row r="2431" spans="1:6" ht="30" x14ac:dyDescent="0.25">
      <c r="A2431" s="461">
        <v>3669</v>
      </c>
      <c r="B2431" s="460" t="s">
        <v>10584</v>
      </c>
      <c r="C2431" s="461" t="s">
        <v>1104</v>
      </c>
      <c r="D2431" s="461">
        <v>11.42</v>
      </c>
      <c r="E2431" s="461" t="s">
        <v>161</v>
      </c>
      <c r="F2431" s="461" t="s">
        <v>8326</v>
      </c>
    </row>
    <row r="2432" spans="1:6" ht="15" x14ac:dyDescent="0.25">
      <c r="A2432" s="461">
        <v>20139</v>
      </c>
      <c r="B2432" s="460" t="s">
        <v>10585</v>
      </c>
      <c r="C2432" s="461" t="s">
        <v>1104</v>
      </c>
      <c r="D2432" s="461">
        <v>98.26</v>
      </c>
      <c r="E2432" s="461" t="s">
        <v>161</v>
      </c>
      <c r="F2432" s="461" t="s">
        <v>8326</v>
      </c>
    </row>
    <row r="2433" spans="1:6" ht="30" x14ac:dyDescent="0.25">
      <c r="A2433" s="461">
        <v>3668</v>
      </c>
      <c r="B2433" s="460" t="s">
        <v>13232</v>
      </c>
      <c r="C2433" s="461" t="s">
        <v>1104</v>
      </c>
      <c r="D2433" s="461">
        <v>35.1</v>
      </c>
      <c r="E2433" s="461" t="s">
        <v>161</v>
      </c>
      <c r="F2433" s="461" t="s">
        <v>8326</v>
      </c>
    </row>
    <row r="2434" spans="1:6" ht="30" x14ac:dyDescent="0.25">
      <c r="A2434" s="461">
        <v>10911</v>
      </c>
      <c r="B2434" s="460" t="s">
        <v>10586</v>
      </c>
      <c r="C2434" s="461" t="s">
        <v>1104</v>
      </c>
      <c r="D2434" s="461">
        <v>15.39</v>
      </c>
      <c r="E2434" s="461" t="s">
        <v>161</v>
      </c>
      <c r="F2434" s="461" t="s">
        <v>8326</v>
      </c>
    </row>
    <row r="2435" spans="1:6" ht="30" x14ac:dyDescent="0.25">
      <c r="A2435" s="461">
        <v>3659</v>
      </c>
      <c r="B2435" s="460" t="s">
        <v>10587</v>
      </c>
      <c r="C2435" s="461" t="s">
        <v>1104</v>
      </c>
      <c r="D2435" s="461">
        <v>15.68</v>
      </c>
      <c r="E2435" s="461" t="s">
        <v>161</v>
      </c>
      <c r="F2435" s="461" t="s">
        <v>8326</v>
      </c>
    </row>
    <row r="2436" spans="1:6" ht="30" x14ac:dyDescent="0.25">
      <c r="A2436" s="461">
        <v>3660</v>
      </c>
      <c r="B2436" s="460" t="s">
        <v>10588</v>
      </c>
      <c r="C2436" s="461" t="s">
        <v>1104</v>
      </c>
      <c r="D2436" s="461">
        <v>20.27</v>
      </c>
      <c r="E2436" s="461" t="s">
        <v>161</v>
      </c>
      <c r="F2436" s="461" t="s">
        <v>8326</v>
      </c>
    </row>
    <row r="2437" spans="1:6" ht="15" x14ac:dyDescent="0.25">
      <c r="A2437" s="461">
        <v>20144</v>
      </c>
      <c r="B2437" s="460" t="s">
        <v>10589</v>
      </c>
      <c r="C2437" s="461" t="s">
        <v>1104</v>
      </c>
      <c r="D2437" s="461">
        <v>45.4</v>
      </c>
      <c r="E2437" s="461" t="s">
        <v>161</v>
      </c>
      <c r="F2437" s="461" t="s">
        <v>8326</v>
      </c>
    </row>
    <row r="2438" spans="1:6" ht="15" x14ac:dyDescent="0.25">
      <c r="A2438" s="461">
        <v>20143</v>
      </c>
      <c r="B2438" s="460" t="s">
        <v>10590</v>
      </c>
      <c r="C2438" s="461" t="s">
        <v>1104</v>
      </c>
      <c r="D2438" s="461">
        <v>58.09</v>
      </c>
      <c r="E2438" s="461" t="s">
        <v>161</v>
      </c>
      <c r="F2438" s="461" t="s">
        <v>8326</v>
      </c>
    </row>
    <row r="2439" spans="1:6" ht="15" x14ac:dyDescent="0.25">
      <c r="A2439" s="461">
        <v>20145</v>
      </c>
      <c r="B2439" s="460" t="s">
        <v>10591</v>
      </c>
      <c r="C2439" s="461" t="s">
        <v>1104</v>
      </c>
      <c r="D2439" s="461">
        <v>112.05</v>
      </c>
      <c r="E2439" s="461" t="s">
        <v>161</v>
      </c>
      <c r="F2439" s="461" t="s">
        <v>8326</v>
      </c>
    </row>
    <row r="2440" spans="1:6" ht="15" x14ac:dyDescent="0.25">
      <c r="A2440" s="461">
        <v>20146</v>
      </c>
      <c r="B2440" s="460" t="s">
        <v>10592</v>
      </c>
      <c r="C2440" s="461" t="s">
        <v>1104</v>
      </c>
      <c r="D2440" s="461">
        <v>153.16999999999999</v>
      </c>
      <c r="E2440" s="461" t="s">
        <v>161</v>
      </c>
      <c r="F2440" s="461" t="s">
        <v>8326</v>
      </c>
    </row>
    <row r="2441" spans="1:6" ht="15" x14ac:dyDescent="0.25">
      <c r="A2441" s="461">
        <v>20140</v>
      </c>
      <c r="B2441" s="460" t="s">
        <v>10593</v>
      </c>
      <c r="C2441" s="461" t="s">
        <v>1104</v>
      </c>
      <c r="D2441" s="461">
        <v>7.18</v>
      </c>
      <c r="E2441" s="461" t="s">
        <v>161</v>
      </c>
      <c r="F2441" s="461" t="s">
        <v>8326</v>
      </c>
    </row>
    <row r="2442" spans="1:6" ht="15" x14ac:dyDescent="0.25">
      <c r="A2442" s="461">
        <v>20141</v>
      </c>
      <c r="B2442" s="460" t="s">
        <v>10594</v>
      </c>
      <c r="C2442" s="461" t="s">
        <v>1104</v>
      </c>
      <c r="D2442" s="461">
        <v>17.600000000000001</v>
      </c>
      <c r="E2442" s="461" t="s">
        <v>161</v>
      </c>
      <c r="F2442" s="461" t="s">
        <v>8326</v>
      </c>
    </row>
    <row r="2443" spans="1:6" ht="15" x14ac:dyDescent="0.25">
      <c r="A2443" s="461">
        <v>20142</v>
      </c>
      <c r="B2443" s="460" t="s">
        <v>10595</v>
      </c>
      <c r="C2443" s="461" t="s">
        <v>1104</v>
      </c>
      <c r="D2443" s="461">
        <v>30.96</v>
      </c>
      <c r="E2443" s="461" t="s">
        <v>161</v>
      </c>
      <c r="F2443" s="461" t="s">
        <v>8326</v>
      </c>
    </row>
    <row r="2444" spans="1:6" ht="30" x14ac:dyDescent="0.25">
      <c r="A2444" s="461">
        <v>3670</v>
      </c>
      <c r="B2444" s="460" t="s">
        <v>10596</v>
      </c>
      <c r="C2444" s="461" t="s">
        <v>1104</v>
      </c>
      <c r="D2444" s="461">
        <v>20.13</v>
      </c>
      <c r="E2444" s="461" t="s">
        <v>161</v>
      </c>
      <c r="F2444" s="461" t="s">
        <v>8326</v>
      </c>
    </row>
    <row r="2445" spans="1:6" ht="30" x14ac:dyDescent="0.25">
      <c r="A2445" s="461">
        <v>3666</v>
      </c>
      <c r="B2445" s="460" t="s">
        <v>10597</v>
      </c>
      <c r="C2445" s="461" t="s">
        <v>1104</v>
      </c>
      <c r="D2445" s="461">
        <v>3.17</v>
      </c>
      <c r="E2445" s="461" t="s">
        <v>161</v>
      </c>
      <c r="F2445" s="461" t="s">
        <v>8326</v>
      </c>
    </row>
    <row r="2446" spans="1:6" ht="30" x14ac:dyDescent="0.25">
      <c r="A2446" s="461">
        <v>3662</v>
      </c>
      <c r="B2446" s="460" t="s">
        <v>10598</v>
      </c>
      <c r="C2446" s="461" t="s">
        <v>1104</v>
      </c>
      <c r="D2446" s="461">
        <v>8.26</v>
      </c>
      <c r="E2446" s="461" t="s">
        <v>161</v>
      </c>
      <c r="F2446" s="461" t="s">
        <v>8326</v>
      </c>
    </row>
    <row r="2447" spans="1:6" ht="30" x14ac:dyDescent="0.25">
      <c r="A2447" s="461">
        <v>3658</v>
      </c>
      <c r="B2447" s="460" t="s">
        <v>10599</v>
      </c>
      <c r="C2447" s="461" t="s">
        <v>1104</v>
      </c>
      <c r="D2447" s="461">
        <v>15.65</v>
      </c>
      <c r="E2447" s="461" t="s">
        <v>161</v>
      </c>
      <c r="F2447" s="461" t="s">
        <v>8326</v>
      </c>
    </row>
    <row r="2448" spans="1:6" ht="15" x14ac:dyDescent="0.25">
      <c r="A2448" s="461">
        <v>14157</v>
      </c>
      <c r="B2448" s="460" t="s">
        <v>10600</v>
      </c>
      <c r="C2448" s="461" t="s">
        <v>1104</v>
      </c>
      <c r="D2448" s="461">
        <v>1.36</v>
      </c>
      <c r="E2448" s="461" t="s">
        <v>161</v>
      </c>
      <c r="F2448" s="461" t="s">
        <v>8328</v>
      </c>
    </row>
    <row r="2449" spans="1:6" ht="30" x14ac:dyDescent="0.25">
      <c r="A2449" s="461">
        <v>42696</v>
      </c>
      <c r="B2449" s="460" t="s">
        <v>10601</v>
      </c>
      <c r="C2449" s="461" t="s">
        <v>1104</v>
      </c>
      <c r="D2449" s="461">
        <v>124.11</v>
      </c>
      <c r="E2449" s="461" t="s">
        <v>161</v>
      </c>
      <c r="F2449" s="461" t="s">
        <v>8326</v>
      </c>
    </row>
    <row r="2450" spans="1:6" ht="15" x14ac:dyDescent="0.25">
      <c r="A2450" s="461">
        <v>39875</v>
      </c>
      <c r="B2450" s="460" t="s">
        <v>10602</v>
      </c>
      <c r="C2450" s="461" t="s">
        <v>1104</v>
      </c>
      <c r="D2450" s="461">
        <v>731.15</v>
      </c>
      <c r="E2450" s="461" t="s">
        <v>161</v>
      </c>
      <c r="F2450" s="461" t="s">
        <v>8326</v>
      </c>
    </row>
    <row r="2451" spans="1:6" ht="15" x14ac:dyDescent="0.25">
      <c r="A2451" s="461">
        <v>39876</v>
      </c>
      <c r="B2451" s="460" t="s">
        <v>10603</v>
      </c>
      <c r="C2451" s="461" t="s">
        <v>1104</v>
      </c>
      <c r="D2451" s="461">
        <v>915.39</v>
      </c>
      <c r="E2451" s="461" t="s">
        <v>161</v>
      </c>
      <c r="F2451" s="461" t="s">
        <v>8326</v>
      </c>
    </row>
    <row r="2452" spans="1:6" ht="15" x14ac:dyDescent="0.25">
      <c r="A2452" s="461">
        <v>39877</v>
      </c>
      <c r="B2452" s="460" t="s">
        <v>10604</v>
      </c>
      <c r="C2452" s="461" t="s">
        <v>1104</v>
      </c>
      <c r="D2452" s="461">
        <v>1269.6099999999999</v>
      </c>
      <c r="E2452" s="461" t="s">
        <v>161</v>
      </c>
      <c r="F2452" s="461" t="s">
        <v>8326</v>
      </c>
    </row>
    <row r="2453" spans="1:6" ht="15" x14ac:dyDescent="0.25">
      <c r="A2453" s="461">
        <v>39878</v>
      </c>
      <c r="B2453" s="460" t="s">
        <v>10605</v>
      </c>
      <c r="C2453" s="461" t="s">
        <v>1104</v>
      </c>
      <c r="D2453" s="461">
        <v>1676.95</v>
      </c>
      <c r="E2453" s="461" t="s">
        <v>161</v>
      </c>
      <c r="F2453" s="461" t="s">
        <v>8326</v>
      </c>
    </row>
    <row r="2454" spans="1:6" ht="15" x14ac:dyDescent="0.25">
      <c r="A2454" s="461">
        <v>39872</v>
      </c>
      <c r="B2454" s="460" t="s">
        <v>10606</v>
      </c>
      <c r="C2454" s="461" t="s">
        <v>1104</v>
      </c>
      <c r="D2454" s="461">
        <v>501.4</v>
      </c>
      <c r="E2454" s="461" t="s">
        <v>161</v>
      </c>
      <c r="F2454" s="461" t="s">
        <v>8326</v>
      </c>
    </row>
    <row r="2455" spans="1:6" ht="15" x14ac:dyDescent="0.25">
      <c r="A2455" s="461">
        <v>39873</v>
      </c>
      <c r="B2455" s="460" t="s">
        <v>10607</v>
      </c>
      <c r="C2455" s="461" t="s">
        <v>1104</v>
      </c>
      <c r="D2455" s="461">
        <v>581.6</v>
      </c>
      <c r="E2455" s="461" t="s">
        <v>161</v>
      </c>
      <c r="F2455" s="461" t="s">
        <v>8326</v>
      </c>
    </row>
    <row r="2456" spans="1:6" ht="15" x14ac:dyDescent="0.25">
      <c r="A2456" s="461">
        <v>39874</v>
      </c>
      <c r="B2456" s="460" t="s">
        <v>10608</v>
      </c>
      <c r="C2456" s="461" t="s">
        <v>1104</v>
      </c>
      <c r="D2456" s="461">
        <v>638.79999999999995</v>
      </c>
      <c r="E2456" s="461" t="s">
        <v>161</v>
      </c>
      <c r="F2456" s="461" t="s">
        <v>8326</v>
      </c>
    </row>
    <row r="2457" spans="1:6" ht="15" x14ac:dyDescent="0.25">
      <c r="A2457" s="461">
        <v>3674</v>
      </c>
      <c r="B2457" s="460" t="s">
        <v>10609</v>
      </c>
      <c r="C2457" s="461" t="s">
        <v>1107</v>
      </c>
      <c r="D2457" s="461">
        <v>100.65</v>
      </c>
      <c r="E2457" s="461" t="s">
        <v>161</v>
      </c>
      <c r="F2457" s="461" t="s">
        <v>8326</v>
      </c>
    </row>
    <row r="2458" spans="1:6" ht="15" x14ac:dyDescent="0.25">
      <c r="A2458" s="461">
        <v>3681</v>
      </c>
      <c r="B2458" s="460" t="s">
        <v>10610</v>
      </c>
      <c r="C2458" s="461" t="s">
        <v>1107</v>
      </c>
      <c r="D2458" s="511">
        <v>149.75</v>
      </c>
      <c r="E2458" s="461" t="s">
        <v>161</v>
      </c>
      <c r="F2458" s="461" t="s">
        <v>8326</v>
      </c>
    </row>
    <row r="2459" spans="1:6" ht="15" x14ac:dyDescent="0.25">
      <c r="A2459" s="461">
        <v>3676</v>
      </c>
      <c r="B2459" s="460" t="s">
        <v>10611</v>
      </c>
      <c r="C2459" s="461" t="s">
        <v>1107</v>
      </c>
      <c r="D2459" s="511">
        <v>563.57000000000005</v>
      </c>
      <c r="E2459" s="461" t="s">
        <v>161</v>
      </c>
      <c r="F2459" s="461" t="s">
        <v>8326</v>
      </c>
    </row>
    <row r="2460" spans="1:6" ht="15" x14ac:dyDescent="0.25">
      <c r="A2460" s="461">
        <v>3679</v>
      </c>
      <c r="B2460" s="460" t="s">
        <v>10612</v>
      </c>
      <c r="C2460" s="461" t="s">
        <v>1107</v>
      </c>
      <c r="D2460" s="461">
        <v>466.25</v>
      </c>
      <c r="E2460" s="461" t="s">
        <v>161</v>
      </c>
      <c r="F2460" s="461" t="s">
        <v>8326</v>
      </c>
    </row>
    <row r="2461" spans="1:6" ht="30" x14ac:dyDescent="0.25">
      <c r="A2461" s="461">
        <v>3672</v>
      </c>
      <c r="B2461" s="460" t="s">
        <v>10613</v>
      </c>
      <c r="C2461" s="461" t="s">
        <v>1107</v>
      </c>
      <c r="D2461" s="461">
        <v>1.59</v>
      </c>
      <c r="E2461" s="461" t="s">
        <v>161</v>
      </c>
      <c r="F2461" s="461" t="s">
        <v>8326</v>
      </c>
    </row>
    <row r="2462" spans="1:6" ht="30" x14ac:dyDescent="0.25">
      <c r="A2462" s="461">
        <v>3671</v>
      </c>
      <c r="B2462" s="460" t="s">
        <v>10614</v>
      </c>
      <c r="C2462" s="461" t="s">
        <v>1107</v>
      </c>
      <c r="D2462" s="461">
        <v>1.5</v>
      </c>
      <c r="E2462" s="461" t="s">
        <v>161</v>
      </c>
      <c r="F2462" s="461" t="s">
        <v>8333</v>
      </c>
    </row>
    <row r="2463" spans="1:6" ht="30" x14ac:dyDescent="0.25">
      <c r="A2463" s="461">
        <v>3673</v>
      </c>
      <c r="B2463" s="460" t="s">
        <v>10615</v>
      </c>
      <c r="C2463" s="461" t="s">
        <v>1107</v>
      </c>
      <c r="D2463" s="461">
        <v>2.35</v>
      </c>
      <c r="E2463" s="461" t="s">
        <v>161</v>
      </c>
      <c r="F2463" s="461" t="s">
        <v>8326</v>
      </c>
    </row>
    <row r="2464" spans="1:6" ht="30" x14ac:dyDescent="0.25">
      <c r="A2464" s="461">
        <v>38394</v>
      </c>
      <c r="B2464" s="460" t="s">
        <v>10616</v>
      </c>
      <c r="C2464" s="461" t="s">
        <v>1104</v>
      </c>
      <c r="D2464" s="461">
        <v>323.58999999999997</v>
      </c>
      <c r="E2464" s="461" t="s">
        <v>161</v>
      </c>
      <c r="F2464" s="461" t="s">
        <v>8326</v>
      </c>
    </row>
    <row r="2465" spans="1:6" ht="30" x14ac:dyDescent="0.25">
      <c r="A2465" s="461">
        <v>3729</v>
      </c>
      <c r="B2465" s="460" t="s">
        <v>10617</v>
      </c>
      <c r="C2465" s="461" t="s">
        <v>1104</v>
      </c>
      <c r="D2465" s="461">
        <v>136.24</v>
      </c>
      <c r="E2465" s="461" t="s">
        <v>161</v>
      </c>
      <c r="F2465" s="461" t="s">
        <v>8326</v>
      </c>
    </row>
    <row r="2466" spans="1:6" ht="60" x14ac:dyDescent="0.25">
      <c r="A2466" s="461">
        <v>39357</v>
      </c>
      <c r="B2466" s="460" t="s">
        <v>10618</v>
      </c>
      <c r="C2466" s="461" t="s">
        <v>1104</v>
      </c>
      <c r="D2466" s="461">
        <v>53.26</v>
      </c>
      <c r="E2466" s="461" t="s">
        <v>161</v>
      </c>
      <c r="F2466" s="461" t="s">
        <v>8328</v>
      </c>
    </row>
    <row r="2467" spans="1:6" ht="60" x14ac:dyDescent="0.25">
      <c r="A2467" s="461">
        <v>39358</v>
      </c>
      <c r="B2467" s="460" t="s">
        <v>10619</v>
      </c>
      <c r="C2467" s="461" t="s">
        <v>1104</v>
      </c>
      <c r="D2467" s="461">
        <v>53.26</v>
      </c>
      <c r="E2467" s="461" t="s">
        <v>161</v>
      </c>
      <c r="F2467" s="461" t="s">
        <v>8328</v>
      </c>
    </row>
    <row r="2468" spans="1:6" ht="60" x14ac:dyDescent="0.25">
      <c r="A2468" s="461">
        <v>39355</v>
      </c>
      <c r="B2468" s="460" t="s">
        <v>10620</v>
      </c>
      <c r="C2468" s="461" t="s">
        <v>1104</v>
      </c>
      <c r="D2468" s="461">
        <v>77.599999999999994</v>
      </c>
      <c r="E2468" s="461" t="s">
        <v>161</v>
      </c>
      <c r="F2468" s="461" t="s">
        <v>8328</v>
      </c>
    </row>
    <row r="2469" spans="1:6" ht="60" x14ac:dyDescent="0.25">
      <c r="A2469" s="461">
        <v>39356</v>
      </c>
      <c r="B2469" s="460" t="s">
        <v>10621</v>
      </c>
      <c r="C2469" s="461" t="s">
        <v>1104</v>
      </c>
      <c r="D2469" s="461">
        <v>74.05</v>
      </c>
      <c r="E2469" s="461" t="s">
        <v>161</v>
      </c>
      <c r="F2469" s="461" t="s">
        <v>8328</v>
      </c>
    </row>
    <row r="2470" spans="1:6" ht="45" x14ac:dyDescent="0.25">
      <c r="A2470" s="461">
        <v>39353</v>
      </c>
      <c r="B2470" s="460" t="s">
        <v>10622</v>
      </c>
      <c r="C2470" s="461" t="s">
        <v>1104</v>
      </c>
      <c r="D2470" s="461">
        <v>170.01</v>
      </c>
      <c r="E2470" s="461" t="s">
        <v>161</v>
      </c>
      <c r="F2470" s="461" t="s">
        <v>8328</v>
      </c>
    </row>
    <row r="2471" spans="1:6" ht="45" x14ac:dyDescent="0.25">
      <c r="A2471" s="461">
        <v>39354</v>
      </c>
      <c r="B2471" s="460" t="s">
        <v>10623</v>
      </c>
      <c r="C2471" s="461" t="s">
        <v>1104</v>
      </c>
      <c r="D2471" s="461">
        <v>358.68</v>
      </c>
      <c r="E2471" s="461" t="s">
        <v>161</v>
      </c>
      <c r="F2471" s="461" t="s">
        <v>8328</v>
      </c>
    </row>
    <row r="2472" spans="1:6" ht="15" x14ac:dyDescent="0.25">
      <c r="A2472" s="461">
        <v>39398</v>
      </c>
      <c r="B2472" s="460" t="s">
        <v>10624</v>
      </c>
      <c r="C2472" s="461" t="s">
        <v>1104</v>
      </c>
      <c r="D2472" s="461">
        <v>97.28</v>
      </c>
      <c r="E2472" s="461" t="s">
        <v>161</v>
      </c>
      <c r="F2472" s="461" t="s">
        <v>8326</v>
      </c>
    </row>
    <row r="2473" spans="1:6" ht="30" x14ac:dyDescent="0.25">
      <c r="A2473" s="461">
        <v>13343</v>
      </c>
      <c r="B2473" s="460" t="s">
        <v>10625</v>
      </c>
      <c r="C2473" s="461" t="s">
        <v>1104</v>
      </c>
      <c r="D2473" s="461">
        <v>49.25</v>
      </c>
      <c r="E2473" s="461" t="s">
        <v>161</v>
      </c>
      <c r="F2473" s="461" t="s">
        <v>8328</v>
      </c>
    </row>
    <row r="2474" spans="1:6" ht="30" x14ac:dyDescent="0.25">
      <c r="A2474" s="461">
        <v>12118</v>
      </c>
      <c r="B2474" s="460" t="s">
        <v>10626</v>
      </c>
      <c r="C2474" s="461" t="s">
        <v>1104</v>
      </c>
      <c r="D2474" s="461">
        <v>29.29</v>
      </c>
      <c r="E2474" s="461" t="s">
        <v>161</v>
      </c>
      <c r="F2474" s="461" t="s">
        <v>8326</v>
      </c>
    </row>
    <row r="2475" spans="1:6" ht="60" x14ac:dyDescent="0.25">
      <c r="A2475" s="461">
        <v>39482</v>
      </c>
      <c r="B2475" s="460" t="s">
        <v>10627</v>
      </c>
      <c r="C2475" s="461" t="s">
        <v>1104</v>
      </c>
      <c r="D2475" s="461">
        <v>703.96</v>
      </c>
      <c r="E2475" s="461" t="s">
        <v>161</v>
      </c>
      <c r="F2475" s="461" t="s">
        <v>8326</v>
      </c>
    </row>
    <row r="2476" spans="1:6" ht="60" x14ac:dyDescent="0.25">
      <c r="A2476" s="461">
        <v>39486</v>
      </c>
      <c r="B2476" s="460" t="s">
        <v>10628</v>
      </c>
      <c r="C2476" s="461" t="s">
        <v>1104</v>
      </c>
      <c r="D2476" s="461">
        <v>574.53</v>
      </c>
      <c r="E2476" s="461" t="s">
        <v>161</v>
      </c>
      <c r="F2476" s="461" t="s">
        <v>8326</v>
      </c>
    </row>
    <row r="2477" spans="1:6" ht="60" x14ac:dyDescent="0.25">
      <c r="A2477" s="461">
        <v>39484</v>
      </c>
      <c r="B2477" s="460" t="s">
        <v>10629</v>
      </c>
      <c r="C2477" s="461" t="s">
        <v>1104</v>
      </c>
      <c r="D2477" s="461">
        <v>703.96</v>
      </c>
      <c r="E2477" s="461" t="s">
        <v>161</v>
      </c>
      <c r="F2477" s="461" t="s">
        <v>8326</v>
      </c>
    </row>
    <row r="2478" spans="1:6" ht="60" x14ac:dyDescent="0.25">
      <c r="A2478" s="461">
        <v>39488</v>
      </c>
      <c r="B2478" s="460" t="s">
        <v>10630</v>
      </c>
      <c r="C2478" s="461" t="s">
        <v>1104</v>
      </c>
      <c r="D2478" s="461">
        <v>583.94000000000005</v>
      </c>
      <c r="E2478" s="461" t="s">
        <v>161</v>
      </c>
      <c r="F2478" s="461" t="s">
        <v>8326</v>
      </c>
    </row>
    <row r="2479" spans="1:6" ht="60" x14ac:dyDescent="0.25">
      <c r="A2479" s="461">
        <v>39485</v>
      </c>
      <c r="B2479" s="460" t="s">
        <v>10631</v>
      </c>
      <c r="C2479" s="461" t="s">
        <v>1104</v>
      </c>
      <c r="D2479" s="461">
        <v>703.96</v>
      </c>
      <c r="E2479" s="461" t="s">
        <v>161</v>
      </c>
      <c r="F2479" s="461" t="s">
        <v>8326</v>
      </c>
    </row>
    <row r="2480" spans="1:6" ht="60" x14ac:dyDescent="0.25">
      <c r="A2480" s="461">
        <v>39489</v>
      </c>
      <c r="B2480" s="460" t="s">
        <v>10632</v>
      </c>
      <c r="C2480" s="461" t="s">
        <v>1104</v>
      </c>
      <c r="D2480" s="461">
        <v>593.84</v>
      </c>
      <c r="E2480" s="461" t="s">
        <v>161</v>
      </c>
      <c r="F2480" s="461" t="s">
        <v>8326</v>
      </c>
    </row>
    <row r="2481" spans="1:6" ht="60" x14ac:dyDescent="0.25">
      <c r="A2481" s="461">
        <v>39490</v>
      </c>
      <c r="B2481" s="460" t="s">
        <v>10633</v>
      </c>
      <c r="C2481" s="461" t="s">
        <v>1104</v>
      </c>
      <c r="D2481" s="461">
        <v>884.9</v>
      </c>
      <c r="E2481" s="461" t="s">
        <v>161</v>
      </c>
      <c r="F2481" s="461" t="s">
        <v>8326</v>
      </c>
    </row>
    <row r="2482" spans="1:6" ht="60" x14ac:dyDescent="0.25">
      <c r="A2482" s="461">
        <v>39494</v>
      </c>
      <c r="B2482" s="460" t="s">
        <v>10634</v>
      </c>
      <c r="C2482" s="461" t="s">
        <v>1104</v>
      </c>
      <c r="D2482" s="461">
        <v>635.42999999999995</v>
      </c>
      <c r="E2482" s="461" t="s">
        <v>161</v>
      </c>
      <c r="F2482" s="461" t="s">
        <v>8326</v>
      </c>
    </row>
    <row r="2483" spans="1:6" ht="60" x14ac:dyDescent="0.25">
      <c r="A2483" s="461">
        <v>39495</v>
      </c>
      <c r="B2483" s="460" t="s">
        <v>10635</v>
      </c>
      <c r="C2483" s="461" t="s">
        <v>1104</v>
      </c>
      <c r="D2483" s="461">
        <v>716.05</v>
      </c>
      <c r="E2483" s="461" t="s">
        <v>161</v>
      </c>
      <c r="F2483" s="461" t="s">
        <v>8326</v>
      </c>
    </row>
    <row r="2484" spans="1:6" ht="60" x14ac:dyDescent="0.25">
      <c r="A2484" s="461">
        <v>39496</v>
      </c>
      <c r="B2484" s="460" t="s">
        <v>13233</v>
      </c>
      <c r="C2484" s="461" t="s">
        <v>1104</v>
      </c>
      <c r="D2484" s="461">
        <v>787.65</v>
      </c>
      <c r="E2484" s="461" t="s">
        <v>161</v>
      </c>
      <c r="F2484" s="461" t="s">
        <v>8326</v>
      </c>
    </row>
    <row r="2485" spans="1:6" ht="60" x14ac:dyDescent="0.25">
      <c r="A2485" s="461">
        <v>39492</v>
      </c>
      <c r="B2485" s="460" t="s">
        <v>10636</v>
      </c>
      <c r="C2485" s="461" t="s">
        <v>1104</v>
      </c>
      <c r="D2485" s="461">
        <v>911.88</v>
      </c>
      <c r="E2485" s="461" t="s">
        <v>161</v>
      </c>
      <c r="F2485" s="461" t="s">
        <v>8326</v>
      </c>
    </row>
    <row r="2486" spans="1:6" ht="60" x14ac:dyDescent="0.25">
      <c r="A2486" s="461">
        <v>39497</v>
      </c>
      <c r="B2486" s="460" t="s">
        <v>10637</v>
      </c>
      <c r="C2486" s="461" t="s">
        <v>1104</v>
      </c>
      <c r="D2486" s="461">
        <v>823.67</v>
      </c>
      <c r="E2486" s="461" t="s">
        <v>161</v>
      </c>
      <c r="F2486" s="461" t="s">
        <v>8326</v>
      </c>
    </row>
    <row r="2487" spans="1:6" ht="60" x14ac:dyDescent="0.25">
      <c r="A2487" s="461">
        <v>39493</v>
      </c>
      <c r="B2487" s="460" t="s">
        <v>10638</v>
      </c>
      <c r="C2487" s="461" t="s">
        <v>1104</v>
      </c>
      <c r="D2487" s="461">
        <v>978.08</v>
      </c>
      <c r="E2487" s="461" t="s">
        <v>161</v>
      </c>
      <c r="F2487" s="461" t="s">
        <v>8326</v>
      </c>
    </row>
    <row r="2488" spans="1:6" ht="60" x14ac:dyDescent="0.25">
      <c r="A2488" s="461">
        <v>43628</v>
      </c>
      <c r="B2488" s="460" t="s">
        <v>10639</v>
      </c>
      <c r="C2488" s="461" t="s">
        <v>1104</v>
      </c>
      <c r="D2488" s="461">
        <v>1037.42</v>
      </c>
      <c r="E2488" s="461" t="s">
        <v>161</v>
      </c>
      <c r="F2488" s="461" t="s">
        <v>8326</v>
      </c>
    </row>
    <row r="2489" spans="1:6" ht="60" x14ac:dyDescent="0.25">
      <c r="A2489" s="461">
        <v>39500</v>
      </c>
      <c r="B2489" s="460" t="s">
        <v>13234</v>
      </c>
      <c r="C2489" s="461" t="s">
        <v>1104</v>
      </c>
      <c r="D2489" s="461">
        <v>1067.17</v>
      </c>
      <c r="E2489" s="461" t="s">
        <v>161</v>
      </c>
      <c r="F2489" s="461" t="s">
        <v>8326</v>
      </c>
    </row>
    <row r="2490" spans="1:6" ht="60" x14ac:dyDescent="0.25">
      <c r="A2490" s="461">
        <v>39498</v>
      </c>
      <c r="B2490" s="460" t="s">
        <v>13235</v>
      </c>
      <c r="C2490" s="461" t="s">
        <v>1104</v>
      </c>
      <c r="D2490" s="461">
        <v>1316.17</v>
      </c>
      <c r="E2490" s="461" t="s">
        <v>161</v>
      </c>
      <c r="F2490" s="461" t="s">
        <v>8326</v>
      </c>
    </row>
    <row r="2491" spans="1:6" ht="60" x14ac:dyDescent="0.25">
      <c r="A2491" s="461">
        <v>43621</v>
      </c>
      <c r="B2491" s="460" t="s">
        <v>10640</v>
      </c>
      <c r="C2491" s="461" t="s">
        <v>1104</v>
      </c>
      <c r="D2491" s="461">
        <v>1102.26</v>
      </c>
      <c r="E2491" s="461" t="s">
        <v>161</v>
      </c>
      <c r="F2491" s="461" t="s">
        <v>8326</v>
      </c>
    </row>
    <row r="2492" spans="1:6" ht="60" x14ac:dyDescent="0.25">
      <c r="A2492" s="461">
        <v>39501</v>
      </c>
      <c r="B2492" s="460" t="s">
        <v>13236</v>
      </c>
      <c r="C2492" s="461" t="s">
        <v>1104</v>
      </c>
      <c r="D2492" s="461">
        <v>1096.07</v>
      </c>
      <c r="E2492" s="461" t="s">
        <v>161</v>
      </c>
      <c r="F2492" s="461" t="s">
        <v>8326</v>
      </c>
    </row>
    <row r="2493" spans="1:6" ht="60" x14ac:dyDescent="0.25">
      <c r="A2493" s="461">
        <v>39499</v>
      </c>
      <c r="B2493" s="460" t="s">
        <v>13237</v>
      </c>
      <c r="C2493" s="461" t="s">
        <v>1104</v>
      </c>
      <c r="D2493" s="461">
        <v>1334.86</v>
      </c>
      <c r="E2493" s="461" t="s">
        <v>161</v>
      </c>
      <c r="F2493" s="461" t="s">
        <v>8326</v>
      </c>
    </row>
    <row r="2494" spans="1:6" ht="30" x14ac:dyDescent="0.25">
      <c r="A2494" s="461">
        <v>3733</v>
      </c>
      <c r="B2494" s="460" t="s">
        <v>13238</v>
      </c>
      <c r="C2494" s="461" t="s">
        <v>1106</v>
      </c>
      <c r="D2494" s="511">
        <v>81.34</v>
      </c>
      <c r="E2494" s="461" t="s">
        <v>161</v>
      </c>
      <c r="F2494" s="461" t="s">
        <v>8328</v>
      </c>
    </row>
    <row r="2495" spans="1:6" ht="15" x14ac:dyDescent="0.25">
      <c r="A2495" s="461">
        <v>3731</v>
      </c>
      <c r="B2495" s="460" t="s">
        <v>10641</v>
      </c>
      <c r="C2495" s="461" t="s">
        <v>1106</v>
      </c>
      <c r="D2495" s="511">
        <v>75.5</v>
      </c>
      <c r="E2495" s="461" t="s">
        <v>161</v>
      </c>
      <c r="F2495" s="461" t="s">
        <v>8328</v>
      </c>
    </row>
    <row r="2496" spans="1:6" ht="15" x14ac:dyDescent="0.25">
      <c r="A2496" s="461">
        <v>38137</v>
      </c>
      <c r="B2496" s="460" t="s">
        <v>10642</v>
      </c>
      <c r="C2496" s="461" t="s">
        <v>1106</v>
      </c>
      <c r="D2496" s="511">
        <v>75.94</v>
      </c>
      <c r="E2496" s="461" t="s">
        <v>161</v>
      </c>
      <c r="F2496" s="461" t="s">
        <v>8328</v>
      </c>
    </row>
    <row r="2497" spans="1:6" ht="15" x14ac:dyDescent="0.25">
      <c r="A2497" s="461">
        <v>38138</v>
      </c>
      <c r="B2497" s="460" t="s">
        <v>10643</v>
      </c>
      <c r="C2497" s="461" t="s">
        <v>1106</v>
      </c>
      <c r="D2497" s="511">
        <v>74.58</v>
      </c>
      <c r="E2497" s="461" t="s">
        <v>161</v>
      </c>
      <c r="F2497" s="461" t="s">
        <v>8328</v>
      </c>
    </row>
    <row r="2498" spans="1:6" ht="30" x14ac:dyDescent="0.25">
      <c r="A2498" s="461">
        <v>3736</v>
      </c>
      <c r="B2498" s="460" t="s">
        <v>10644</v>
      </c>
      <c r="C2498" s="461" t="s">
        <v>1106</v>
      </c>
      <c r="D2498" s="511">
        <v>48.9</v>
      </c>
      <c r="E2498" s="461" t="s">
        <v>161</v>
      </c>
      <c r="F2498" s="461" t="s">
        <v>8333</v>
      </c>
    </row>
    <row r="2499" spans="1:6" ht="30" x14ac:dyDescent="0.25">
      <c r="A2499" s="461">
        <v>3741</v>
      </c>
      <c r="B2499" s="460" t="s">
        <v>10645</v>
      </c>
      <c r="C2499" s="461" t="s">
        <v>1106</v>
      </c>
      <c r="D2499" s="511">
        <v>50.97</v>
      </c>
      <c r="E2499" s="461" t="s">
        <v>161</v>
      </c>
      <c r="F2499" s="461" t="s">
        <v>8326</v>
      </c>
    </row>
    <row r="2500" spans="1:6" ht="30" x14ac:dyDescent="0.25">
      <c r="A2500" s="461">
        <v>3745</v>
      </c>
      <c r="B2500" s="460" t="s">
        <v>10646</v>
      </c>
      <c r="C2500" s="461" t="s">
        <v>1106</v>
      </c>
      <c r="D2500" s="461">
        <v>54.96</v>
      </c>
      <c r="E2500" s="461" t="s">
        <v>161</v>
      </c>
      <c r="F2500" s="461" t="s">
        <v>8326</v>
      </c>
    </row>
    <row r="2501" spans="1:6" ht="30" x14ac:dyDescent="0.25">
      <c r="A2501" s="461">
        <v>3743</v>
      </c>
      <c r="B2501" s="460" t="s">
        <v>10647</v>
      </c>
      <c r="C2501" s="461" t="s">
        <v>1106</v>
      </c>
      <c r="D2501" s="461">
        <v>50.79</v>
      </c>
      <c r="E2501" s="461" t="s">
        <v>161</v>
      </c>
      <c r="F2501" s="461" t="s">
        <v>8326</v>
      </c>
    </row>
    <row r="2502" spans="1:6" ht="30" x14ac:dyDescent="0.25">
      <c r="A2502" s="461">
        <v>3744</v>
      </c>
      <c r="B2502" s="460" t="s">
        <v>10648</v>
      </c>
      <c r="C2502" s="461" t="s">
        <v>1106</v>
      </c>
      <c r="D2502" s="461">
        <v>55.91</v>
      </c>
      <c r="E2502" s="461" t="s">
        <v>161</v>
      </c>
      <c r="F2502" s="461" t="s">
        <v>8326</v>
      </c>
    </row>
    <row r="2503" spans="1:6" ht="30" x14ac:dyDescent="0.25">
      <c r="A2503" s="461">
        <v>3739</v>
      </c>
      <c r="B2503" s="460" t="s">
        <v>10649</v>
      </c>
      <c r="C2503" s="461" t="s">
        <v>1106</v>
      </c>
      <c r="D2503" s="461">
        <v>58.75</v>
      </c>
      <c r="E2503" s="461" t="s">
        <v>161</v>
      </c>
      <c r="F2503" s="461" t="s">
        <v>8326</v>
      </c>
    </row>
    <row r="2504" spans="1:6" ht="30" x14ac:dyDescent="0.25">
      <c r="A2504" s="461">
        <v>3737</v>
      </c>
      <c r="B2504" s="460" t="s">
        <v>10650</v>
      </c>
      <c r="C2504" s="461" t="s">
        <v>1106</v>
      </c>
      <c r="D2504" s="461">
        <v>61.59</v>
      </c>
      <c r="E2504" s="461" t="s">
        <v>161</v>
      </c>
      <c r="F2504" s="461" t="s">
        <v>8326</v>
      </c>
    </row>
    <row r="2505" spans="1:6" ht="30" x14ac:dyDescent="0.25">
      <c r="A2505" s="461">
        <v>3738</v>
      </c>
      <c r="B2505" s="460" t="s">
        <v>10651</v>
      </c>
      <c r="C2505" s="461" t="s">
        <v>1106</v>
      </c>
      <c r="D2505" s="461">
        <v>71.069999999999993</v>
      </c>
      <c r="E2505" s="461" t="s">
        <v>161</v>
      </c>
      <c r="F2505" s="461" t="s">
        <v>8326</v>
      </c>
    </row>
    <row r="2506" spans="1:6" ht="30" x14ac:dyDescent="0.25">
      <c r="A2506" s="461">
        <v>3747</v>
      </c>
      <c r="B2506" s="460" t="s">
        <v>10652</v>
      </c>
      <c r="C2506" s="461" t="s">
        <v>1106</v>
      </c>
      <c r="D2506" s="461">
        <v>55.91</v>
      </c>
      <c r="E2506" s="461" t="s">
        <v>161</v>
      </c>
      <c r="F2506" s="461" t="s">
        <v>8326</v>
      </c>
    </row>
    <row r="2507" spans="1:6" ht="30" x14ac:dyDescent="0.25">
      <c r="A2507" s="461">
        <v>11649</v>
      </c>
      <c r="B2507" s="460" t="s">
        <v>10653</v>
      </c>
      <c r="C2507" s="461" t="s">
        <v>1104</v>
      </c>
      <c r="D2507" s="461">
        <v>405.6</v>
      </c>
      <c r="E2507" s="461" t="s">
        <v>161</v>
      </c>
      <c r="F2507" s="461" t="s">
        <v>8326</v>
      </c>
    </row>
    <row r="2508" spans="1:6" ht="30" x14ac:dyDescent="0.25">
      <c r="A2508" s="461">
        <v>11650</v>
      </c>
      <c r="B2508" s="460" t="s">
        <v>10654</v>
      </c>
      <c r="C2508" s="461" t="s">
        <v>1104</v>
      </c>
      <c r="D2508" s="461">
        <v>691.32</v>
      </c>
      <c r="E2508" s="461" t="s">
        <v>161</v>
      </c>
      <c r="F2508" s="461" t="s">
        <v>8326</v>
      </c>
    </row>
    <row r="2509" spans="1:6" ht="30" x14ac:dyDescent="0.25">
      <c r="A2509" s="461">
        <v>3742</v>
      </c>
      <c r="B2509" s="460" t="s">
        <v>10655</v>
      </c>
      <c r="C2509" s="461" t="s">
        <v>1106</v>
      </c>
      <c r="D2509" s="461">
        <v>73.72</v>
      </c>
      <c r="E2509" s="461" t="s">
        <v>161</v>
      </c>
      <c r="F2509" s="461" t="s">
        <v>8326</v>
      </c>
    </row>
    <row r="2510" spans="1:6" ht="30" x14ac:dyDescent="0.25">
      <c r="A2510" s="461">
        <v>3746</v>
      </c>
      <c r="B2510" s="460" t="s">
        <v>10656</v>
      </c>
      <c r="C2510" s="461" t="s">
        <v>1106</v>
      </c>
      <c r="D2510" s="461">
        <v>86.08</v>
      </c>
      <c r="E2510" s="461" t="s">
        <v>161</v>
      </c>
      <c r="F2510" s="461" t="s">
        <v>8326</v>
      </c>
    </row>
    <row r="2511" spans="1:6" ht="30" x14ac:dyDescent="0.25">
      <c r="A2511" s="461">
        <v>21106</v>
      </c>
      <c r="B2511" s="460" t="s">
        <v>10657</v>
      </c>
      <c r="C2511" s="461" t="s">
        <v>1108</v>
      </c>
      <c r="D2511" s="461">
        <v>37.26</v>
      </c>
      <c r="E2511" s="461" t="s">
        <v>161</v>
      </c>
      <c r="F2511" s="461" t="s">
        <v>8328</v>
      </c>
    </row>
    <row r="2512" spans="1:6" ht="15" x14ac:dyDescent="0.25">
      <c r="A2512" s="461">
        <v>39388</v>
      </c>
      <c r="B2512" s="460" t="s">
        <v>10658</v>
      </c>
      <c r="C2512" s="461" t="s">
        <v>1104</v>
      </c>
      <c r="D2512" s="461">
        <v>6.88</v>
      </c>
      <c r="E2512" s="461" t="s">
        <v>161</v>
      </c>
      <c r="F2512" s="461" t="s">
        <v>8326</v>
      </c>
    </row>
    <row r="2513" spans="1:6" ht="15" x14ac:dyDescent="0.25">
      <c r="A2513" s="461">
        <v>39387</v>
      </c>
      <c r="B2513" s="460" t="s">
        <v>10659</v>
      </c>
      <c r="C2513" s="461" t="s">
        <v>1104</v>
      </c>
      <c r="D2513" s="461">
        <v>10.73</v>
      </c>
      <c r="E2513" s="461" t="s">
        <v>161</v>
      </c>
      <c r="F2513" s="461" t="s">
        <v>8326</v>
      </c>
    </row>
    <row r="2514" spans="1:6" ht="15" x14ac:dyDescent="0.25">
      <c r="A2514" s="461">
        <v>39386</v>
      </c>
      <c r="B2514" s="460" t="s">
        <v>10660</v>
      </c>
      <c r="C2514" s="461" t="s">
        <v>1104</v>
      </c>
      <c r="D2514" s="461">
        <v>7.48</v>
      </c>
      <c r="E2514" s="461" t="s">
        <v>161</v>
      </c>
      <c r="F2514" s="461" t="s">
        <v>8326</v>
      </c>
    </row>
    <row r="2515" spans="1:6" ht="15" x14ac:dyDescent="0.25">
      <c r="A2515" s="461">
        <v>38194</v>
      </c>
      <c r="B2515" s="460" t="s">
        <v>10661</v>
      </c>
      <c r="C2515" s="461" t="s">
        <v>1104</v>
      </c>
      <c r="D2515" s="461">
        <v>5.6</v>
      </c>
      <c r="E2515" s="461" t="s">
        <v>161</v>
      </c>
      <c r="F2515" s="461" t="s">
        <v>8333</v>
      </c>
    </row>
    <row r="2516" spans="1:6" ht="15" x14ac:dyDescent="0.25">
      <c r="A2516" s="461">
        <v>38193</v>
      </c>
      <c r="B2516" s="460" t="s">
        <v>10662</v>
      </c>
      <c r="C2516" s="461" t="s">
        <v>1104</v>
      </c>
      <c r="D2516" s="461">
        <v>4.8600000000000003</v>
      </c>
      <c r="E2516" s="461" t="s">
        <v>161</v>
      </c>
      <c r="F2516" s="461" t="s">
        <v>8326</v>
      </c>
    </row>
    <row r="2517" spans="1:6" ht="45" x14ac:dyDescent="0.25">
      <c r="A2517" s="461">
        <v>746</v>
      </c>
      <c r="B2517" s="460" t="s">
        <v>13239</v>
      </c>
      <c r="C2517" s="461" t="s">
        <v>1104</v>
      </c>
      <c r="D2517" s="461">
        <v>3021.95</v>
      </c>
      <c r="E2517" s="461" t="s">
        <v>161</v>
      </c>
      <c r="F2517" s="461" t="s">
        <v>8328</v>
      </c>
    </row>
    <row r="2518" spans="1:6" ht="30" x14ac:dyDescent="0.25">
      <c r="A2518" s="461">
        <v>20269</v>
      </c>
      <c r="B2518" s="460" t="s">
        <v>10663</v>
      </c>
      <c r="C2518" s="461" t="s">
        <v>1104</v>
      </c>
      <c r="D2518" s="461">
        <v>93.77</v>
      </c>
      <c r="E2518" s="461" t="s">
        <v>161</v>
      </c>
      <c r="F2518" s="461" t="s">
        <v>8326</v>
      </c>
    </row>
    <row r="2519" spans="1:6" ht="30" x14ac:dyDescent="0.25">
      <c r="A2519" s="461">
        <v>20270</v>
      </c>
      <c r="B2519" s="460" t="s">
        <v>10664</v>
      </c>
      <c r="C2519" s="461" t="s">
        <v>1104</v>
      </c>
      <c r="D2519" s="461">
        <v>103.62</v>
      </c>
      <c r="E2519" s="461" t="s">
        <v>161</v>
      </c>
      <c r="F2519" s="461" t="s">
        <v>8326</v>
      </c>
    </row>
    <row r="2520" spans="1:6" ht="30" x14ac:dyDescent="0.25">
      <c r="A2520" s="461">
        <v>11696</v>
      </c>
      <c r="B2520" s="460" t="s">
        <v>10665</v>
      </c>
      <c r="C2520" s="461" t="s">
        <v>1104</v>
      </c>
      <c r="D2520" s="461">
        <v>165.87</v>
      </c>
      <c r="E2520" s="461" t="s">
        <v>161</v>
      </c>
      <c r="F2520" s="461" t="s">
        <v>8326</v>
      </c>
    </row>
    <row r="2521" spans="1:6" ht="30" x14ac:dyDescent="0.25">
      <c r="A2521" s="461">
        <v>10427</v>
      </c>
      <c r="B2521" s="460" t="s">
        <v>10666</v>
      </c>
      <c r="C2521" s="461" t="s">
        <v>1104</v>
      </c>
      <c r="D2521" s="461">
        <v>464.17</v>
      </c>
      <c r="E2521" s="461" t="s">
        <v>161</v>
      </c>
      <c r="F2521" s="461" t="s">
        <v>8326</v>
      </c>
    </row>
    <row r="2522" spans="1:6" ht="30" x14ac:dyDescent="0.25">
      <c r="A2522" s="461">
        <v>10428</v>
      </c>
      <c r="B2522" s="460" t="s">
        <v>10667</v>
      </c>
      <c r="C2522" s="461" t="s">
        <v>1104</v>
      </c>
      <c r="D2522" s="461">
        <v>478.25</v>
      </c>
      <c r="E2522" s="461" t="s">
        <v>161</v>
      </c>
      <c r="F2522" s="461" t="s">
        <v>8326</v>
      </c>
    </row>
    <row r="2523" spans="1:6" ht="30" x14ac:dyDescent="0.25">
      <c r="A2523" s="461">
        <v>36521</v>
      </c>
      <c r="B2523" s="460" t="s">
        <v>10668</v>
      </c>
      <c r="C2523" s="461" t="s">
        <v>1104</v>
      </c>
      <c r="D2523" s="461">
        <v>149.22</v>
      </c>
      <c r="E2523" s="461" t="s">
        <v>161</v>
      </c>
      <c r="F2523" s="461" t="s">
        <v>8326</v>
      </c>
    </row>
    <row r="2524" spans="1:6" ht="15" x14ac:dyDescent="0.25">
      <c r="A2524" s="461">
        <v>36794</v>
      </c>
      <c r="B2524" s="460" t="s">
        <v>10669</v>
      </c>
      <c r="C2524" s="461" t="s">
        <v>1104</v>
      </c>
      <c r="D2524" s="461">
        <v>158.86000000000001</v>
      </c>
      <c r="E2524" s="461" t="s">
        <v>161</v>
      </c>
      <c r="F2524" s="461" t="s">
        <v>8326</v>
      </c>
    </row>
    <row r="2525" spans="1:6" ht="15" x14ac:dyDescent="0.25">
      <c r="A2525" s="461">
        <v>10426</v>
      </c>
      <c r="B2525" s="460" t="s">
        <v>10670</v>
      </c>
      <c r="C2525" s="461" t="s">
        <v>1104</v>
      </c>
      <c r="D2525" s="511">
        <v>177.88</v>
      </c>
      <c r="E2525" s="461" t="s">
        <v>161</v>
      </c>
      <c r="F2525" s="461" t="s">
        <v>8326</v>
      </c>
    </row>
    <row r="2526" spans="1:6" ht="15" x14ac:dyDescent="0.25">
      <c r="A2526" s="461">
        <v>10425</v>
      </c>
      <c r="B2526" s="460" t="s">
        <v>10671</v>
      </c>
      <c r="C2526" s="461" t="s">
        <v>1104</v>
      </c>
      <c r="D2526" s="461">
        <v>90.24</v>
      </c>
      <c r="E2526" s="461" t="s">
        <v>161</v>
      </c>
      <c r="F2526" s="461" t="s">
        <v>8326</v>
      </c>
    </row>
    <row r="2527" spans="1:6" ht="15" x14ac:dyDescent="0.25">
      <c r="A2527" s="461">
        <v>10431</v>
      </c>
      <c r="B2527" s="460" t="s">
        <v>10672</v>
      </c>
      <c r="C2527" s="461" t="s">
        <v>1104</v>
      </c>
      <c r="D2527" s="461">
        <v>308.95999999999998</v>
      </c>
      <c r="E2527" s="461" t="s">
        <v>161</v>
      </c>
      <c r="F2527" s="461" t="s">
        <v>8326</v>
      </c>
    </row>
    <row r="2528" spans="1:6" ht="30" x14ac:dyDescent="0.25">
      <c r="A2528" s="461">
        <v>10429</v>
      </c>
      <c r="B2528" s="460" t="s">
        <v>10673</v>
      </c>
      <c r="C2528" s="461" t="s">
        <v>1104</v>
      </c>
      <c r="D2528" s="461">
        <v>152.41999999999999</v>
      </c>
      <c r="E2528" s="461" t="s">
        <v>161</v>
      </c>
      <c r="F2528" s="461" t="s">
        <v>8326</v>
      </c>
    </row>
    <row r="2529" spans="1:6" ht="15" x14ac:dyDescent="0.25">
      <c r="A2529" s="461">
        <v>10853</v>
      </c>
      <c r="B2529" s="460" t="s">
        <v>10674</v>
      </c>
      <c r="C2529" s="461" t="s">
        <v>1104</v>
      </c>
      <c r="D2529" s="461">
        <v>97.64</v>
      </c>
      <c r="E2529" s="461" t="s">
        <v>161</v>
      </c>
      <c r="F2529" s="461" t="s">
        <v>8326</v>
      </c>
    </row>
    <row r="2530" spans="1:6" ht="15" x14ac:dyDescent="0.25">
      <c r="A2530" s="461">
        <v>5093</v>
      </c>
      <c r="B2530" s="460" t="s">
        <v>10675</v>
      </c>
      <c r="C2530" s="461" t="s">
        <v>1111</v>
      </c>
      <c r="D2530" s="461">
        <v>16.05</v>
      </c>
      <c r="E2530" s="461" t="s">
        <v>161</v>
      </c>
      <c r="F2530" s="461" t="s">
        <v>8326</v>
      </c>
    </row>
    <row r="2531" spans="1:6" ht="15" x14ac:dyDescent="0.25">
      <c r="A2531" s="461">
        <v>44331</v>
      </c>
      <c r="B2531" s="460" t="s">
        <v>10676</v>
      </c>
      <c r="C2531" s="461" t="s">
        <v>1109</v>
      </c>
      <c r="D2531" s="461">
        <v>45.6</v>
      </c>
      <c r="E2531" s="461" t="s">
        <v>161</v>
      </c>
      <c r="F2531" s="461" t="s">
        <v>8326</v>
      </c>
    </row>
    <row r="2532" spans="1:6" ht="30" x14ac:dyDescent="0.25">
      <c r="A2532" s="461">
        <v>37768</v>
      </c>
      <c r="B2532" s="460" t="s">
        <v>10677</v>
      </c>
      <c r="C2532" s="461" t="s">
        <v>1104</v>
      </c>
      <c r="D2532" s="461">
        <v>295000</v>
      </c>
      <c r="E2532" s="461" t="s">
        <v>1497</v>
      </c>
      <c r="F2532" s="461" t="s">
        <v>8328</v>
      </c>
    </row>
    <row r="2533" spans="1:6" ht="30" x14ac:dyDescent="0.25">
      <c r="A2533" s="461">
        <v>37773</v>
      </c>
      <c r="B2533" s="460" t="s">
        <v>10678</v>
      </c>
      <c r="C2533" s="461" t="s">
        <v>1104</v>
      </c>
      <c r="D2533" s="461">
        <v>250504.73</v>
      </c>
      <c r="E2533" s="461" t="s">
        <v>1497</v>
      </c>
      <c r="F2533" s="461" t="s">
        <v>8328</v>
      </c>
    </row>
    <row r="2534" spans="1:6" ht="30" x14ac:dyDescent="0.25">
      <c r="A2534" s="461">
        <v>37769</v>
      </c>
      <c r="B2534" s="460" t="s">
        <v>10679</v>
      </c>
      <c r="C2534" s="461" t="s">
        <v>1104</v>
      </c>
      <c r="D2534" s="461">
        <v>419376.48</v>
      </c>
      <c r="E2534" s="461" t="s">
        <v>1497</v>
      </c>
      <c r="F2534" s="461" t="s">
        <v>8328</v>
      </c>
    </row>
    <row r="2535" spans="1:6" ht="30" x14ac:dyDescent="0.25">
      <c r="A2535" s="461">
        <v>37770</v>
      </c>
      <c r="B2535" s="460" t="s">
        <v>10680</v>
      </c>
      <c r="C2535" s="461" t="s">
        <v>1104</v>
      </c>
      <c r="D2535" s="461">
        <v>711748.8</v>
      </c>
      <c r="E2535" s="461" t="s">
        <v>1497</v>
      </c>
      <c r="F2535" s="461" t="s">
        <v>8328</v>
      </c>
    </row>
    <row r="2536" spans="1:6" ht="15" x14ac:dyDescent="0.25">
      <c r="A2536" s="461">
        <v>38382</v>
      </c>
      <c r="B2536" s="460" t="s">
        <v>10681</v>
      </c>
      <c r="C2536" s="461" t="s">
        <v>1104</v>
      </c>
      <c r="D2536" s="461">
        <v>11.77</v>
      </c>
      <c r="E2536" s="461" t="s">
        <v>161</v>
      </c>
      <c r="F2536" s="461" t="s">
        <v>8326</v>
      </c>
    </row>
    <row r="2537" spans="1:6" ht="15" x14ac:dyDescent="0.25">
      <c r="A2537" s="461">
        <v>38383</v>
      </c>
      <c r="B2537" s="460" t="s">
        <v>10682</v>
      </c>
      <c r="C2537" s="461" t="s">
        <v>1104</v>
      </c>
      <c r="D2537" s="461">
        <v>2.2000000000000002</v>
      </c>
      <c r="E2537" s="461" t="s">
        <v>161</v>
      </c>
      <c r="F2537" s="461" t="s">
        <v>8326</v>
      </c>
    </row>
    <row r="2538" spans="1:6" ht="15" x14ac:dyDescent="0.25">
      <c r="A2538" s="461">
        <v>3768</v>
      </c>
      <c r="B2538" s="460" t="s">
        <v>10683</v>
      </c>
      <c r="C2538" s="461" t="s">
        <v>1104</v>
      </c>
      <c r="D2538" s="461">
        <v>4.22</v>
      </c>
      <c r="E2538" s="461" t="s">
        <v>161</v>
      </c>
      <c r="F2538" s="461" t="s">
        <v>8326</v>
      </c>
    </row>
    <row r="2539" spans="1:6" ht="15" x14ac:dyDescent="0.25">
      <c r="A2539" s="461">
        <v>3767</v>
      </c>
      <c r="B2539" s="460" t="s">
        <v>10684</v>
      </c>
      <c r="C2539" s="461" t="s">
        <v>1104</v>
      </c>
      <c r="D2539" s="461">
        <v>1.41</v>
      </c>
      <c r="E2539" s="461" t="s">
        <v>161</v>
      </c>
      <c r="F2539" s="461" t="s">
        <v>8326</v>
      </c>
    </row>
    <row r="2540" spans="1:6" ht="30" x14ac:dyDescent="0.25">
      <c r="A2540" s="461">
        <v>13192</v>
      </c>
      <c r="B2540" s="460" t="s">
        <v>13240</v>
      </c>
      <c r="C2540" s="461" t="s">
        <v>1104</v>
      </c>
      <c r="D2540" s="511">
        <v>6372.64</v>
      </c>
      <c r="E2540" s="461" t="s">
        <v>161</v>
      </c>
      <c r="F2540" s="461" t="s">
        <v>8326</v>
      </c>
    </row>
    <row r="2541" spans="1:6" ht="30" x14ac:dyDescent="0.25">
      <c r="A2541" s="461">
        <v>38413</v>
      </c>
      <c r="B2541" s="460" t="s">
        <v>13241</v>
      </c>
      <c r="C2541" s="461" t="s">
        <v>1104</v>
      </c>
      <c r="D2541" s="511">
        <v>1053.94</v>
      </c>
      <c r="E2541" s="461" t="s">
        <v>161</v>
      </c>
      <c r="F2541" s="461" t="s">
        <v>8326</v>
      </c>
    </row>
    <row r="2542" spans="1:6" ht="45" x14ac:dyDescent="0.25">
      <c r="A2542" s="461">
        <v>42440</v>
      </c>
      <c r="B2542" s="460" t="s">
        <v>10685</v>
      </c>
      <c r="C2542" s="461" t="s">
        <v>1104</v>
      </c>
      <c r="D2542" s="511">
        <v>1235.9100000000001</v>
      </c>
      <c r="E2542" s="461" t="s">
        <v>161</v>
      </c>
      <c r="F2542" s="461" t="s">
        <v>8328</v>
      </c>
    </row>
    <row r="2543" spans="1:6" ht="60" x14ac:dyDescent="0.25">
      <c r="A2543" s="461">
        <v>20193</v>
      </c>
      <c r="B2543" s="460" t="s">
        <v>10686</v>
      </c>
      <c r="C2543" s="461" t="s">
        <v>1491</v>
      </c>
      <c r="D2543" s="511">
        <v>18.75</v>
      </c>
      <c r="E2543" s="461" t="s">
        <v>161</v>
      </c>
      <c r="F2543" s="461" t="s">
        <v>8326</v>
      </c>
    </row>
    <row r="2544" spans="1:6" ht="60" x14ac:dyDescent="0.25">
      <c r="A2544" s="461">
        <v>10527</v>
      </c>
      <c r="B2544" s="460" t="s">
        <v>10687</v>
      </c>
      <c r="C2544" s="461" t="s">
        <v>1492</v>
      </c>
      <c r="D2544" s="461">
        <v>25</v>
      </c>
      <c r="E2544" s="461" t="s">
        <v>161</v>
      </c>
      <c r="F2544" s="461" t="s">
        <v>8333</v>
      </c>
    </row>
    <row r="2545" spans="1:6" ht="45" x14ac:dyDescent="0.25">
      <c r="A2545" s="461">
        <v>41805</v>
      </c>
      <c r="B2545" s="460" t="s">
        <v>10688</v>
      </c>
      <c r="C2545" s="461" t="s">
        <v>1110</v>
      </c>
      <c r="D2545" s="461">
        <v>718.75</v>
      </c>
      <c r="E2545" s="461" t="s">
        <v>1497</v>
      </c>
      <c r="F2545" s="461" t="s">
        <v>8326</v>
      </c>
    </row>
    <row r="2546" spans="1:6" ht="30" x14ac:dyDescent="0.25">
      <c r="A2546" s="461">
        <v>40271</v>
      </c>
      <c r="B2546" s="460" t="s">
        <v>10689</v>
      </c>
      <c r="C2546" s="461" t="s">
        <v>10690</v>
      </c>
      <c r="D2546" s="461">
        <v>19.13</v>
      </c>
      <c r="E2546" s="461" t="s">
        <v>161</v>
      </c>
      <c r="F2546" s="461" t="s">
        <v>8326</v>
      </c>
    </row>
    <row r="2547" spans="1:6" ht="30" x14ac:dyDescent="0.25">
      <c r="A2547" s="461">
        <v>40287</v>
      </c>
      <c r="B2547" s="460" t="s">
        <v>10691</v>
      </c>
      <c r="C2547" s="461" t="s">
        <v>1110</v>
      </c>
      <c r="D2547" s="461">
        <v>7.36</v>
      </c>
      <c r="E2547" s="461" t="s">
        <v>1497</v>
      </c>
      <c r="F2547" s="461" t="s">
        <v>8326</v>
      </c>
    </row>
    <row r="2548" spans="1:6" ht="60" x14ac:dyDescent="0.25">
      <c r="A2548" s="461">
        <v>4084</v>
      </c>
      <c r="B2548" s="460" t="s">
        <v>10692</v>
      </c>
      <c r="C2548" s="461" t="s">
        <v>1103</v>
      </c>
      <c r="D2548" s="511">
        <v>4.01</v>
      </c>
      <c r="E2548" s="461" t="s">
        <v>1497</v>
      </c>
      <c r="F2548" s="461" t="s">
        <v>8326</v>
      </c>
    </row>
    <row r="2549" spans="1:6" ht="60" x14ac:dyDescent="0.25">
      <c r="A2549" s="461">
        <v>743</v>
      </c>
      <c r="B2549" s="460" t="s">
        <v>10693</v>
      </c>
      <c r="C2549" s="461" t="s">
        <v>1103</v>
      </c>
      <c r="D2549" s="461">
        <v>4.01</v>
      </c>
      <c r="E2549" s="461" t="s">
        <v>1497</v>
      </c>
      <c r="F2549" s="461" t="s">
        <v>8333</v>
      </c>
    </row>
    <row r="2550" spans="1:6" ht="60" x14ac:dyDescent="0.25">
      <c r="A2550" s="461">
        <v>40293</v>
      </c>
      <c r="B2550" s="460" t="s">
        <v>10694</v>
      </c>
      <c r="C2550" s="461" t="s">
        <v>1103</v>
      </c>
      <c r="D2550" s="511">
        <v>4.8099999999999996</v>
      </c>
      <c r="E2550" s="461" t="s">
        <v>1497</v>
      </c>
      <c r="F2550" s="461" t="s">
        <v>8326</v>
      </c>
    </row>
    <row r="2551" spans="1:6" ht="60" x14ac:dyDescent="0.25">
      <c r="A2551" s="461">
        <v>40294</v>
      </c>
      <c r="B2551" s="460" t="s">
        <v>10695</v>
      </c>
      <c r="C2551" s="461" t="s">
        <v>1103</v>
      </c>
      <c r="D2551" s="461">
        <v>4.01</v>
      </c>
      <c r="E2551" s="461" t="s">
        <v>1497</v>
      </c>
      <c r="F2551" s="461" t="s">
        <v>8326</v>
      </c>
    </row>
    <row r="2552" spans="1:6" ht="60" x14ac:dyDescent="0.25">
      <c r="A2552" s="461">
        <v>4085</v>
      </c>
      <c r="B2552" s="460" t="s">
        <v>10696</v>
      </c>
      <c r="C2552" s="461" t="s">
        <v>1103</v>
      </c>
      <c r="D2552" s="461">
        <v>5.61</v>
      </c>
      <c r="E2552" s="461" t="s">
        <v>1497</v>
      </c>
      <c r="F2552" s="461" t="s">
        <v>8326</v>
      </c>
    </row>
    <row r="2553" spans="1:6" ht="30" x14ac:dyDescent="0.25">
      <c r="A2553" s="461">
        <v>10779</v>
      </c>
      <c r="B2553" s="460" t="s">
        <v>10697</v>
      </c>
      <c r="C2553" s="461" t="s">
        <v>1110</v>
      </c>
      <c r="D2553" s="461">
        <v>1750</v>
      </c>
      <c r="E2553" s="461" t="s">
        <v>1497</v>
      </c>
      <c r="F2553" s="461" t="s">
        <v>8326</v>
      </c>
    </row>
    <row r="2554" spans="1:6" ht="45" x14ac:dyDescent="0.25">
      <c r="A2554" s="461">
        <v>10777</v>
      </c>
      <c r="B2554" s="460" t="s">
        <v>10698</v>
      </c>
      <c r="C2554" s="461" t="s">
        <v>1110</v>
      </c>
      <c r="D2554" s="461">
        <v>1589.58</v>
      </c>
      <c r="E2554" s="461" t="s">
        <v>1497</v>
      </c>
      <c r="F2554" s="461" t="s">
        <v>8326</v>
      </c>
    </row>
    <row r="2555" spans="1:6" ht="45" x14ac:dyDescent="0.25">
      <c r="A2555" s="461">
        <v>10775</v>
      </c>
      <c r="B2555" s="460" t="s">
        <v>10699</v>
      </c>
      <c r="C2555" s="461" t="s">
        <v>1110</v>
      </c>
      <c r="D2555" s="461">
        <v>1400</v>
      </c>
      <c r="E2555" s="461" t="s">
        <v>1497</v>
      </c>
      <c r="F2555" s="461" t="s">
        <v>8333</v>
      </c>
    </row>
    <row r="2556" spans="1:6" ht="45" x14ac:dyDescent="0.25">
      <c r="A2556" s="461">
        <v>10776</v>
      </c>
      <c r="B2556" s="460" t="s">
        <v>10700</v>
      </c>
      <c r="C2556" s="461" t="s">
        <v>1110</v>
      </c>
      <c r="D2556" s="461">
        <v>1093.75</v>
      </c>
      <c r="E2556" s="461" t="s">
        <v>1497</v>
      </c>
      <c r="F2556" s="461" t="s">
        <v>8326</v>
      </c>
    </row>
    <row r="2557" spans="1:6" ht="45" x14ac:dyDescent="0.25">
      <c r="A2557" s="461">
        <v>10778</v>
      </c>
      <c r="B2557" s="460" t="s">
        <v>10701</v>
      </c>
      <c r="C2557" s="461" t="s">
        <v>1110</v>
      </c>
      <c r="D2557" s="461">
        <v>1750</v>
      </c>
      <c r="E2557" s="461" t="s">
        <v>1497</v>
      </c>
      <c r="F2557" s="461" t="s">
        <v>8326</v>
      </c>
    </row>
    <row r="2558" spans="1:6" ht="45" x14ac:dyDescent="0.25">
      <c r="A2558" s="461">
        <v>40339</v>
      </c>
      <c r="B2558" s="460" t="s">
        <v>10702</v>
      </c>
      <c r="C2558" s="461" t="s">
        <v>10690</v>
      </c>
      <c r="D2558" s="461">
        <v>6.71</v>
      </c>
      <c r="E2558" s="461" t="s">
        <v>161</v>
      </c>
      <c r="F2558" s="461" t="s">
        <v>8326</v>
      </c>
    </row>
    <row r="2559" spans="1:6" ht="45" x14ac:dyDescent="0.25">
      <c r="A2559" s="461">
        <v>10749</v>
      </c>
      <c r="B2559" s="460" t="s">
        <v>10703</v>
      </c>
      <c r="C2559" s="461" t="s">
        <v>10690</v>
      </c>
      <c r="D2559" s="461">
        <v>22.18</v>
      </c>
      <c r="E2559" s="461" t="s">
        <v>161</v>
      </c>
      <c r="F2559" s="461" t="s">
        <v>8326</v>
      </c>
    </row>
    <row r="2560" spans="1:6" ht="30" x14ac:dyDescent="0.25">
      <c r="A2560" s="461">
        <v>40290</v>
      </c>
      <c r="B2560" s="460" t="s">
        <v>10704</v>
      </c>
      <c r="C2560" s="461" t="s">
        <v>10690</v>
      </c>
      <c r="D2560" s="461">
        <v>12</v>
      </c>
      <c r="E2560" s="461" t="s">
        <v>161</v>
      </c>
      <c r="F2560" s="461" t="s">
        <v>8326</v>
      </c>
    </row>
    <row r="2561" spans="1:6" ht="30" x14ac:dyDescent="0.25">
      <c r="A2561" s="461">
        <v>3346</v>
      </c>
      <c r="B2561" s="460" t="s">
        <v>10705</v>
      </c>
      <c r="C2561" s="461" t="s">
        <v>1103</v>
      </c>
      <c r="D2561" s="511">
        <v>19.309999999999999</v>
      </c>
      <c r="E2561" s="461" t="s">
        <v>1497</v>
      </c>
      <c r="F2561" s="461" t="s">
        <v>8328</v>
      </c>
    </row>
    <row r="2562" spans="1:6" ht="30" x14ac:dyDescent="0.25">
      <c r="A2562" s="461">
        <v>3348</v>
      </c>
      <c r="B2562" s="460" t="s">
        <v>10706</v>
      </c>
      <c r="C2562" s="461" t="s">
        <v>1103</v>
      </c>
      <c r="D2562" s="511">
        <v>23.1</v>
      </c>
      <c r="E2562" s="461" t="s">
        <v>1497</v>
      </c>
      <c r="F2562" s="461" t="s">
        <v>8328</v>
      </c>
    </row>
    <row r="2563" spans="1:6" ht="30" x14ac:dyDescent="0.25">
      <c r="A2563" s="461">
        <v>39833</v>
      </c>
      <c r="B2563" s="460" t="s">
        <v>10707</v>
      </c>
      <c r="C2563" s="461" t="s">
        <v>1103</v>
      </c>
      <c r="D2563" s="511">
        <v>31.64</v>
      </c>
      <c r="E2563" s="461" t="s">
        <v>1497</v>
      </c>
      <c r="F2563" s="461" t="s">
        <v>8328</v>
      </c>
    </row>
    <row r="2564" spans="1:6" ht="15" x14ac:dyDescent="0.25">
      <c r="A2564" s="461">
        <v>7252</v>
      </c>
      <c r="B2564" s="460" t="s">
        <v>10708</v>
      </c>
      <c r="C2564" s="461" t="s">
        <v>1103</v>
      </c>
      <c r="D2564" s="461">
        <v>2.34</v>
      </c>
      <c r="E2564" s="461" t="s">
        <v>1497</v>
      </c>
      <c r="F2564" s="461" t="s">
        <v>8328</v>
      </c>
    </row>
    <row r="2565" spans="1:6" ht="30" x14ac:dyDescent="0.25">
      <c r="A2565" s="461">
        <v>7247</v>
      </c>
      <c r="B2565" s="460" t="s">
        <v>10709</v>
      </c>
      <c r="C2565" s="461" t="s">
        <v>1103</v>
      </c>
      <c r="D2565" s="511">
        <v>2.34</v>
      </c>
      <c r="E2565" s="461" t="s">
        <v>1497</v>
      </c>
      <c r="F2565" s="461" t="s">
        <v>8328</v>
      </c>
    </row>
    <row r="2566" spans="1:6" ht="30" x14ac:dyDescent="0.25">
      <c r="A2566" s="461">
        <v>40291</v>
      </c>
      <c r="B2566" s="460" t="s">
        <v>13242</v>
      </c>
      <c r="C2566" s="461" t="s">
        <v>10690</v>
      </c>
      <c r="D2566" s="461">
        <v>625</v>
      </c>
      <c r="E2566" s="461" t="s">
        <v>161</v>
      </c>
      <c r="F2566" s="461" t="s">
        <v>8326</v>
      </c>
    </row>
    <row r="2567" spans="1:6" ht="30" x14ac:dyDescent="0.25">
      <c r="A2567" s="461">
        <v>40275</v>
      </c>
      <c r="B2567" s="460" t="s">
        <v>10710</v>
      </c>
      <c r="C2567" s="461" t="s">
        <v>10690</v>
      </c>
      <c r="D2567" s="461">
        <v>20</v>
      </c>
      <c r="E2567" s="461" t="s">
        <v>161</v>
      </c>
      <c r="F2567" s="461" t="s">
        <v>8326</v>
      </c>
    </row>
    <row r="2568" spans="1:6" ht="15" x14ac:dyDescent="0.25">
      <c r="A2568" s="461">
        <v>42408</v>
      </c>
      <c r="B2568" s="460" t="s">
        <v>10711</v>
      </c>
      <c r="C2568" s="461" t="s">
        <v>1106</v>
      </c>
      <c r="D2568" s="461">
        <v>2.06</v>
      </c>
      <c r="E2568" s="461" t="s">
        <v>161</v>
      </c>
      <c r="F2568" s="461" t="s">
        <v>8326</v>
      </c>
    </row>
    <row r="2569" spans="1:6" ht="15" x14ac:dyDescent="0.25">
      <c r="A2569" s="461">
        <v>3777</v>
      </c>
      <c r="B2569" s="460" t="s">
        <v>10712</v>
      </c>
      <c r="C2569" s="461" t="s">
        <v>1106</v>
      </c>
      <c r="D2569" s="461">
        <v>1.49</v>
      </c>
      <c r="E2569" s="461" t="s">
        <v>161</v>
      </c>
      <c r="F2569" s="461" t="s">
        <v>8333</v>
      </c>
    </row>
    <row r="2570" spans="1:6" ht="30" x14ac:dyDescent="0.25">
      <c r="A2570" s="461">
        <v>44699</v>
      </c>
      <c r="B2570" s="460" t="s">
        <v>10713</v>
      </c>
      <c r="C2570" s="461" t="s">
        <v>1108</v>
      </c>
      <c r="D2570" s="461">
        <v>46.39</v>
      </c>
      <c r="E2570" s="461" t="s">
        <v>161</v>
      </c>
      <c r="F2570" s="461" t="s">
        <v>8326</v>
      </c>
    </row>
    <row r="2571" spans="1:6" ht="15" x14ac:dyDescent="0.25">
      <c r="A2571" s="461">
        <v>3798</v>
      </c>
      <c r="B2571" s="460" t="s">
        <v>10714</v>
      </c>
      <c r="C2571" s="461" t="s">
        <v>1104</v>
      </c>
      <c r="D2571" s="461">
        <v>50.3</v>
      </c>
      <c r="E2571" s="461" t="s">
        <v>161</v>
      </c>
      <c r="F2571" s="461" t="s">
        <v>8326</v>
      </c>
    </row>
    <row r="2572" spans="1:6" ht="30" x14ac:dyDescent="0.25">
      <c r="A2572" s="461">
        <v>38769</v>
      </c>
      <c r="B2572" s="460" t="s">
        <v>10715</v>
      </c>
      <c r="C2572" s="461" t="s">
        <v>1104</v>
      </c>
      <c r="D2572" s="461">
        <v>39.28</v>
      </c>
      <c r="E2572" s="461" t="s">
        <v>161</v>
      </c>
      <c r="F2572" s="461" t="s">
        <v>8326</v>
      </c>
    </row>
    <row r="2573" spans="1:6" ht="30" x14ac:dyDescent="0.25">
      <c r="A2573" s="461">
        <v>38774</v>
      </c>
      <c r="B2573" s="460" t="s">
        <v>10716</v>
      </c>
      <c r="C2573" s="461" t="s">
        <v>1104</v>
      </c>
      <c r="D2573" s="461">
        <v>14.07</v>
      </c>
      <c r="E2573" s="461" t="s">
        <v>161</v>
      </c>
      <c r="F2573" s="461" t="s">
        <v>8326</v>
      </c>
    </row>
    <row r="2574" spans="1:6" ht="30" x14ac:dyDescent="0.25">
      <c r="A2574" s="461">
        <v>42247</v>
      </c>
      <c r="B2574" s="460" t="s">
        <v>10717</v>
      </c>
      <c r="C2574" s="461" t="s">
        <v>1104</v>
      </c>
      <c r="D2574" s="461">
        <v>480.19</v>
      </c>
      <c r="E2574" s="461" t="s">
        <v>161</v>
      </c>
      <c r="F2574" s="461" t="s">
        <v>8326</v>
      </c>
    </row>
    <row r="2575" spans="1:6" ht="30" x14ac:dyDescent="0.25">
      <c r="A2575" s="461">
        <v>42248</v>
      </c>
      <c r="B2575" s="460" t="s">
        <v>10718</v>
      </c>
      <c r="C2575" s="461" t="s">
        <v>1104</v>
      </c>
      <c r="D2575" s="461">
        <v>557.78</v>
      </c>
      <c r="E2575" s="461" t="s">
        <v>161</v>
      </c>
      <c r="F2575" s="461" t="s">
        <v>8326</v>
      </c>
    </row>
    <row r="2576" spans="1:6" ht="30" x14ac:dyDescent="0.25">
      <c r="A2576" s="461">
        <v>42249</v>
      </c>
      <c r="B2576" s="460" t="s">
        <v>10719</v>
      </c>
      <c r="C2576" s="461" t="s">
        <v>1104</v>
      </c>
      <c r="D2576" s="461">
        <v>924.04</v>
      </c>
      <c r="E2576" s="461" t="s">
        <v>161</v>
      </c>
      <c r="F2576" s="461" t="s">
        <v>8326</v>
      </c>
    </row>
    <row r="2577" spans="1:6" ht="30" x14ac:dyDescent="0.25">
      <c r="A2577" s="461">
        <v>42244</v>
      </c>
      <c r="B2577" s="460" t="s">
        <v>10720</v>
      </c>
      <c r="C2577" s="461" t="s">
        <v>1104</v>
      </c>
      <c r="D2577" s="461">
        <v>144.31</v>
      </c>
      <c r="E2577" s="461" t="s">
        <v>161</v>
      </c>
      <c r="F2577" s="461" t="s">
        <v>8326</v>
      </c>
    </row>
    <row r="2578" spans="1:6" ht="30" x14ac:dyDescent="0.25">
      <c r="A2578" s="461">
        <v>42245</v>
      </c>
      <c r="B2578" s="460" t="s">
        <v>10721</v>
      </c>
      <c r="C2578" s="461" t="s">
        <v>1104</v>
      </c>
      <c r="D2578" s="461">
        <v>266.29000000000002</v>
      </c>
      <c r="E2578" s="461" t="s">
        <v>161</v>
      </c>
      <c r="F2578" s="461" t="s">
        <v>8326</v>
      </c>
    </row>
    <row r="2579" spans="1:6" ht="30" x14ac:dyDescent="0.25">
      <c r="A2579" s="461">
        <v>42246</v>
      </c>
      <c r="B2579" s="460" t="s">
        <v>10722</v>
      </c>
      <c r="C2579" s="461" t="s">
        <v>1104</v>
      </c>
      <c r="D2579" s="461">
        <v>294.77</v>
      </c>
      <c r="E2579" s="461" t="s">
        <v>161</v>
      </c>
      <c r="F2579" s="461" t="s">
        <v>8326</v>
      </c>
    </row>
    <row r="2580" spans="1:6" ht="30" x14ac:dyDescent="0.25">
      <c r="A2580" s="461">
        <v>42243</v>
      </c>
      <c r="B2580" s="460" t="s">
        <v>10723</v>
      </c>
      <c r="C2580" s="461" t="s">
        <v>1104</v>
      </c>
      <c r="D2580" s="461">
        <v>355.44</v>
      </c>
      <c r="E2580" s="461" t="s">
        <v>161</v>
      </c>
      <c r="F2580" s="461" t="s">
        <v>8326</v>
      </c>
    </row>
    <row r="2581" spans="1:6" ht="30" x14ac:dyDescent="0.25">
      <c r="A2581" s="461">
        <v>38889</v>
      </c>
      <c r="B2581" s="460" t="s">
        <v>10724</v>
      </c>
      <c r="C2581" s="461" t="s">
        <v>1104</v>
      </c>
      <c r="D2581" s="461">
        <v>30.1</v>
      </c>
      <c r="E2581" s="461" t="s">
        <v>161</v>
      </c>
      <c r="F2581" s="461" t="s">
        <v>8326</v>
      </c>
    </row>
    <row r="2582" spans="1:6" ht="30" x14ac:dyDescent="0.25">
      <c r="A2582" s="461">
        <v>38784</v>
      </c>
      <c r="B2582" s="460" t="s">
        <v>10725</v>
      </c>
      <c r="C2582" s="461" t="s">
        <v>1104</v>
      </c>
      <c r="D2582" s="461">
        <v>40.28</v>
      </c>
      <c r="E2582" s="461" t="s">
        <v>161</v>
      </c>
      <c r="F2582" s="461" t="s">
        <v>8326</v>
      </c>
    </row>
    <row r="2583" spans="1:6" ht="30" x14ac:dyDescent="0.25">
      <c r="A2583" s="461">
        <v>3780</v>
      </c>
      <c r="B2583" s="460" t="s">
        <v>10726</v>
      </c>
      <c r="C2583" s="461" t="s">
        <v>1104</v>
      </c>
      <c r="D2583" s="461">
        <v>61.93</v>
      </c>
      <c r="E2583" s="461" t="s">
        <v>161</v>
      </c>
      <c r="F2583" s="461" t="s">
        <v>8333</v>
      </c>
    </row>
    <row r="2584" spans="1:6" ht="30" x14ac:dyDescent="0.25">
      <c r="A2584" s="461">
        <v>38773</v>
      </c>
      <c r="B2584" s="460" t="s">
        <v>10727</v>
      </c>
      <c r="C2584" s="461" t="s">
        <v>1104</v>
      </c>
      <c r="D2584" s="461">
        <v>3.95</v>
      </c>
      <c r="E2584" s="461" t="s">
        <v>161</v>
      </c>
      <c r="F2584" s="461" t="s">
        <v>8326</v>
      </c>
    </row>
    <row r="2585" spans="1:6" ht="15" x14ac:dyDescent="0.25">
      <c r="A2585" s="461">
        <v>12271</v>
      </c>
      <c r="B2585" s="460" t="s">
        <v>10728</v>
      </c>
      <c r="C2585" s="461" t="s">
        <v>1104</v>
      </c>
      <c r="D2585" s="461">
        <v>220.27</v>
      </c>
      <c r="E2585" s="461" t="s">
        <v>161</v>
      </c>
      <c r="F2585" s="461" t="s">
        <v>8326</v>
      </c>
    </row>
    <row r="2586" spans="1:6" ht="15" x14ac:dyDescent="0.25">
      <c r="A2586" s="461">
        <v>39385</v>
      </c>
      <c r="B2586" s="460" t="s">
        <v>13243</v>
      </c>
      <c r="C2586" s="461" t="s">
        <v>1104</v>
      </c>
      <c r="D2586" s="461">
        <v>12.86</v>
      </c>
      <c r="E2586" s="461" t="s">
        <v>161</v>
      </c>
      <c r="F2586" s="461" t="s">
        <v>8326</v>
      </c>
    </row>
    <row r="2587" spans="1:6" ht="15" x14ac:dyDescent="0.25">
      <c r="A2587" s="461">
        <v>39389</v>
      </c>
      <c r="B2587" s="460" t="s">
        <v>10729</v>
      </c>
      <c r="C2587" s="461" t="s">
        <v>1104</v>
      </c>
      <c r="D2587" s="461">
        <v>13.96</v>
      </c>
      <c r="E2587" s="461" t="s">
        <v>161</v>
      </c>
      <c r="F2587" s="461" t="s">
        <v>8326</v>
      </c>
    </row>
    <row r="2588" spans="1:6" ht="15" x14ac:dyDescent="0.25">
      <c r="A2588" s="461">
        <v>39390</v>
      </c>
      <c r="B2588" s="460" t="s">
        <v>10730</v>
      </c>
      <c r="C2588" s="461" t="s">
        <v>1104</v>
      </c>
      <c r="D2588" s="461">
        <v>29.26</v>
      </c>
      <c r="E2588" s="461" t="s">
        <v>161</v>
      </c>
      <c r="F2588" s="461" t="s">
        <v>8326</v>
      </c>
    </row>
    <row r="2589" spans="1:6" ht="15" x14ac:dyDescent="0.25">
      <c r="A2589" s="461">
        <v>39391</v>
      </c>
      <c r="B2589" s="460" t="s">
        <v>10731</v>
      </c>
      <c r="C2589" s="461" t="s">
        <v>1104</v>
      </c>
      <c r="D2589" s="461">
        <v>32.85</v>
      </c>
      <c r="E2589" s="461" t="s">
        <v>161</v>
      </c>
      <c r="F2589" s="461" t="s">
        <v>8326</v>
      </c>
    </row>
    <row r="2590" spans="1:6" ht="30" x14ac:dyDescent="0.25">
      <c r="A2590" s="461">
        <v>3803</v>
      </c>
      <c r="B2590" s="460" t="s">
        <v>10732</v>
      </c>
      <c r="C2590" s="461" t="s">
        <v>1104</v>
      </c>
      <c r="D2590" s="461">
        <v>37.24</v>
      </c>
      <c r="E2590" s="461" t="s">
        <v>161</v>
      </c>
      <c r="F2590" s="461" t="s">
        <v>8326</v>
      </c>
    </row>
    <row r="2591" spans="1:6" ht="30" x14ac:dyDescent="0.25">
      <c r="A2591" s="461">
        <v>38770</v>
      </c>
      <c r="B2591" s="460" t="s">
        <v>10733</v>
      </c>
      <c r="C2591" s="461" t="s">
        <v>1104</v>
      </c>
      <c r="D2591" s="461">
        <v>43.13</v>
      </c>
      <c r="E2591" s="461" t="s">
        <v>161</v>
      </c>
      <c r="F2591" s="461" t="s">
        <v>8326</v>
      </c>
    </row>
    <row r="2592" spans="1:6" ht="15" x14ac:dyDescent="0.25">
      <c r="A2592" s="461">
        <v>12267</v>
      </c>
      <c r="B2592" s="460" t="s">
        <v>10734</v>
      </c>
      <c r="C2592" s="461" t="s">
        <v>1104</v>
      </c>
      <c r="D2592" s="461">
        <v>126.38</v>
      </c>
      <c r="E2592" s="461" t="s">
        <v>161</v>
      </c>
      <c r="F2592" s="461" t="s">
        <v>8326</v>
      </c>
    </row>
    <row r="2593" spans="1:6" ht="75" x14ac:dyDescent="0.25">
      <c r="A2593" s="461">
        <v>43265</v>
      </c>
      <c r="B2593" s="460" t="s">
        <v>10735</v>
      </c>
      <c r="C2593" s="461" t="s">
        <v>1104</v>
      </c>
      <c r="D2593" s="461">
        <v>40.24</v>
      </c>
      <c r="E2593" s="461" t="s">
        <v>161</v>
      </c>
      <c r="F2593" s="461" t="s">
        <v>8326</v>
      </c>
    </row>
    <row r="2594" spans="1:6" ht="30" x14ac:dyDescent="0.25">
      <c r="A2594" s="461">
        <v>12266</v>
      </c>
      <c r="B2594" s="460" t="s">
        <v>10736</v>
      </c>
      <c r="C2594" s="461" t="s">
        <v>1104</v>
      </c>
      <c r="D2594" s="461">
        <v>64.680000000000007</v>
      </c>
      <c r="E2594" s="461" t="s">
        <v>161</v>
      </c>
      <c r="F2594" s="461" t="s">
        <v>8326</v>
      </c>
    </row>
    <row r="2595" spans="1:6" ht="30" x14ac:dyDescent="0.25">
      <c r="A2595" s="461">
        <v>39378</v>
      </c>
      <c r="B2595" s="460" t="s">
        <v>10737</v>
      </c>
      <c r="C2595" s="461" t="s">
        <v>1104</v>
      </c>
      <c r="D2595" s="461">
        <v>45.86</v>
      </c>
      <c r="E2595" s="461" t="s">
        <v>161</v>
      </c>
      <c r="F2595" s="461" t="s">
        <v>8326</v>
      </c>
    </row>
    <row r="2596" spans="1:6" ht="45" x14ac:dyDescent="0.25">
      <c r="A2596" s="461">
        <v>43543</v>
      </c>
      <c r="B2596" s="460" t="s">
        <v>10738</v>
      </c>
      <c r="C2596" s="461" t="s">
        <v>1104</v>
      </c>
      <c r="D2596" s="461">
        <v>95.54</v>
      </c>
      <c r="E2596" s="461" t="s">
        <v>161</v>
      </c>
      <c r="F2596" s="461" t="s">
        <v>8326</v>
      </c>
    </row>
    <row r="2597" spans="1:6" ht="30" x14ac:dyDescent="0.25">
      <c r="A2597" s="461">
        <v>38775</v>
      </c>
      <c r="B2597" s="460" t="s">
        <v>10739</v>
      </c>
      <c r="C2597" s="461" t="s">
        <v>1104</v>
      </c>
      <c r="D2597" s="461">
        <v>48.62</v>
      </c>
      <c r="E2597" s="461" t="s">
        <v>161</v>
      </c>
      <c r="F2597" s="461" t="s">
        <v>8326</v>
      </c>
    </row>
    <row r="2598" spans="1:6" ht="15" x14ac:dyDescent="0.25">
      <c r="A2598" s="461">
        <v>44252</v>
      </c>
      <c r="B2598" s="460" t="s">
        <v>10740</v>
      </c>
      <c r="C2598" s="461" t="s">
        <v>1104</v>
      </c>
      <c r="D2598" s="461">
        <v>153.55000000000001</v>
      </c>
      <c r="E2598" s="461" t="s">
        <v>161</v>
      </c>
      <c r="F2598" s="461" t="s">
        <v>8326</v>
      </c>
    </row>
    <row r="2599" spans="1:6" ht="15" x14ac:dyDescent="0.25">
      <c r="A2599" s="461">
        <v>21119</v>
      </c>
      <c r="B2599" s="460" t="s">
        <v>10741</v>
      </c>
      <c r="C2599" s="461" t="s">
        <v>1104</v>
      </c>
      <c r="D2599" s="461">
        <v>1.54</v>
      </c>
      <c r="E2599" s="461" t="s">
        <v>161</v>
      </c>
      <c r="F2599" s="461" t="s">
        <v>8326</v>
      </c>
    </row>
    <row r="2600" spans="1:6" ht="15" x14ac:dyDescent="0.25">
      <c r="A2600" s="461">
        <v>37974</v>
      </c>
      <c r="B2600" s="460" t="s">
        <v>10742</v>
      </c>
      <c r="C2600" s="461" t="s">
        <v>1104</v>
      </c>
      <c r="D2600" s="461">
        <v>1.99</v>
      </c>
      <c r="E2600" s="461" t="s">
        <v>161</v>
      </c>
      <c r="F2600" s="461" t="s">
        <v>8326</v>
      </c>
    </row>
    <row r="2601" spans="1:6" ht="15" x14ac:dyDescent="0.25">
      <c r="A2601" s="461">
        <v>37975</v>
      </c>
      <c r="B2601" s="460" t="s">
        <v>10743</v>
      </c>
      <c r="C2601" s="461" t="s">
        <v>1104</v>
      </c>
      <c r="D2601" s="461">
        <v>4.43</v>
      </c>
      <c r="E2601" s="461" t="s">
        <v>161</v>
      </c>
      <c r="F2601" s="461" t="s">
        <v>8326</v>
      </c>
    </row>
    <row r="2602" spans="1:6" ht="15" x14ac:dyDescent="0.25">
      <c r="A2602" s="461">
        <v>37976</v>
      </c>
      <c r="B2602" s="460" t="s">
        <v>10744</v>
      </c>
      <c r="C2602" s="461" t="s">
        <v>1104</v>
      </c>
      <c r="D2602" s="461">
        <v>9.8699999999999992</v>
      </c>
      <c r="E2602" s="461" t="s">
        <v>161</v>
      </c>
      <c r="F2602" s="461" t="s">
        <v>8326</v>
      </c>
    </row>
    <row r="2603" spans="1:6" ht="15" x14ac:dyDescent="0.25">
      <c r="A2603" s="461">
        <v>37977</v>
      </c>
      <c r="B2603" s="460" t="s">
        <v>10745</v>
      </c>
      <c r="C2603" s="461" t="s">
        <v>1104</v>
      </c>
      <c r="D2603" s="461">
        <v>13.66</v>
      </c>
      <c r="E2603" s="461" t="s">
        <v>161</v>
      </c>
      <c r="F2603" s="461" t="s">
        <v>8326</v>
      </c>
    </row>
    <row r="2604" spans="1:6" ht="15" x14ac:dyDescent="0.25">
      <c r="A2604" s="461">
        <v>37978</v>
      </c>
      <c r="B2604" s="460" t="s">
        <v>10746</v>
      </c>
      <c r="C2604" s="461" t="s">
        <v>1104</v>
      </c>
      <c r="D2604" s="461">
        <v>27.09</v>
      </c>
      <c r="E2604" s="461" t="s">
        <v>161</v>
      </c>
      <c r="F2604" s="461" t="s">
        <v>8326</v>
      </c>
    </row>
    <row r="2605" spans="1:6" ht="15" x14ac:dyDescent="0.25">
      <c r="A2605" s="461">
        <v>37979</v>
      </c>
      <c r="B2605" s="460" t="s">
        <v>10747</v>
      </c>
      <c r="C2605" s="461" t="s">
        <v>1104</v>
      </c>
      <c r="D2605" s="461">
        <v>114.96</v>
      </c>
      <c r="E2605" s="461" t="s">
        <v>161</v>
      </c>
      <c r="F2605" s="461" t="s">
        <v>8326</v>
      </c>
    </row>
    <row r="2606" spans="1:6" ht="15" x14ac:dyDescent="0.25">
      <c r="A2606" s="461">
        <v>37980</v>
      </c>
      <c r="B2606" s="460" t="s">
        <v>10748</v>
      </c>
      <c r="C2606" s="461" t="s">
        <v>1104</v>
      </c>
      <c r="D2606" s="461">
        <v>132.05000000000001</v>
      </c>
      <c r="E2606" s="461" t="s">
        <v>161</v>
      </c>
      <c r="F2606" s="461" t="s">
        <v>8326</v>
      </c>
    </row>
    <row r="2607" spans="1:6" ht="30" x14ac:dyDescent="0.25">
      <c r="A2607" s="461">
        <v>36147</v>
      </c>
      <c r="B2607" s="460" t="s">
        <v>10749</v>
      </c>
      <c r="C2607" s="461" t="s">
        <v>1111</v>
      </c>
      <c r="D2607" s="461">
        <v>401.08</v>
      </c>
      <c r="E2607" s="461" t="s">
        <v>161</v>
      </c>
      <c r="F2607" s="461" t="s">
        <v>8326</v>
      </c>
    </row>
    <row r="2608" spans="1:6" ht="15" x14ac:dyDescent="0.25">
      <c r="A2608" s="461">
        <v>12731</v>
      </c>
      <c r="B2608" s="460" t="s">
        <v>10750</v>
      </c>
      <c r="C2608" s="461" t="s">
        <v>1104</v>
      </c>
      <c r="D2608" s="461">
        <v>417.26</v>
      </c>
      <c r="E2608" s="461" t="s">
        <v>161</v>
      </c>
      <c r="F2608" s="461" t="s">
        <v>8326</v>
      </c>
    </row>
    <row r="2609" spans="1:6" ht="15" x14ac:dyDescent="0.25">
      <c r="A2609" s="461">
        <v>12723</v>
      </c>
      <c r="B2609" s="460" t="s">
        <v>10751</v>
      </c>
      <c r="C2609" s="461" t="s">
        <v>1104</v>
      </c>
      <c r="D2609" s="461">
        <v>3.23</v>
      </c>
      <c r="E2609" s="461" t="s">
        <v>161</v>
      </c>
      <c r="F2609" s="461" t="s">
        <v>8326</v>
      </c>
    </row>
    <row r="2610" spans="1:6" ht="15" x14ac:dyDescent="0.25">
      <c r="A2610" s="461">
        <v>12724</v>
      </c>
      <c r="B2610" s="460" t="s">
        <v>10752</v>
      </c>
      <c r="C2610" s="461" t="s">
        <v>1104</v>
      </c>
      <c r="D2610" s="461">
        <v>6.21</v>
      </c>
      <c r="E2610" s="461" t="s">
        <v>161</v>
      </c>
      <c r="F2610" s="461" t="s">
        <v>8326</v>
      </c>
    </row>
    <row r="2611" spans="1:6" ht="15" x14ac:dyDescent="0.25">
      <c r="A2611" s="461">
        <v>12725</v>
      </c>
      <c r="B2611" s="460" t="s">
        <v>10753</v>
      </c>
      <c r="C2611" s="461" t="s">
        <v>1104</v>
      </c>
      <c r="D2611" s="461">
        <v>12.47</v>
      </c>
      <c r="E2611" s="461" t="s">
        <v>161</v>
      </c>
      <c r="F2611" s="461" t="s">
        <v>8326</v>
      </c>
    </row>
    <row r="2612" spans="1:6" ht="15" x14ac:dyDescent="0.25">
      <c r="A2612" s="461">
        <v>12726</v>
      </c>
      <c r="B2612" s="460" t="s">
        <v>10754</v>
      </c>
      <c r="C2612" s="461" t="s">
        <v>1104</v>
      </c>
      <c r="D2612" s="461">
        <v>27.53</v>
      </c>
      <c r="E2612" s="461" t="s">
        <v>161</v>
      </c>
      <c r="F2612" s="461" t="s">
        <v>8326</v>
      </c>
    </row>
    <row r="2613" spans="1:6" ht="15" x14ac:dyDescent="0.25">
      <c r="A2613" s="461">
        <v>12727</v>
      </c>
      <c r="B2613" s="460" t="s">
        <v>10755</v>
      </c>
      <c r="C2613" s="461" t="s">
        <v>1104</v>
      </c>
      <c r="D2613" s="461">
        <v>34.909999999999997</v>
      </c>
      <c r="E2613" s="461" t="s">
        <v>161</v>
      </c>
      <c r="F2613" s="461" t="s">
        <v>8326</v>
      </c>
    </row>
    <row r="2614" spans="1:6" ht="15" x14ac:dyDescent="0.25">
      <c r="A2614" s="461">
        <v>12728</v>
      </c>
      <c r="B2614" s="460" t="s">
        <v>10756</v>
      </c>
      <c r="C2614" s="461" t="s">
        <v>1104</v>
      </c>
      <c r="D2614" s="461">
        <v>57.02</v>
      </c>
      <c r="E2614" s="461" t="s">
        <v>161</v>
      </c>
      <c r="F2614" s="461" t="s">
        <v>8326</v>
      </c>
    </row>
    <row r="2615" spans="1:6" ht="15" x14ac:dyDescent="0.25">
      <c r="A2615" s="461">
        <v>12729</v>
      </c>
      <c r="B2615" s="460" t="s">
        <v>10757</v>
      </c>
      <c r="C2615" s="461" t="s">
        <v>1104</v>
      </c>
      <c r="D2615" s="461">
        <v>186.9</v>
      </c>
      <c r="E2615" s="461" t="s">
        <v>161</v>
      </c>
      <c r="F2615" s="461" t="s">
        <v>8326</v>
      </c>
    </row>
    <row r="2616" spans="1:6" ht="15" x14ac:dyDescent="0.25">
      <c r="A2616" s="461">
        <v>12730</v>
      </c>
      <c r="B2616" s="460" t="s">
        <v>10758</v>
      </c>
      <c r="C2616" s="461" t="s">
        <v>1104</v>
      </c>
      <c r="D2616" s="461">
        <v>286.14999999999998</v>
      </c>
      <c r="E2616" s="461" t="s">
        <v>161</v>
      </c>
      <c r="F2616" s="461" t="s">
        <v>8326</v>
      </c>
    </row>
    <row r="2617" spans="1:6" ht="15" x14ac:dyDescent="0.25">
      <c r="A2617" s="461">
        <v>3840</v>
      </c>
      <c r="B2617" s="460" t="s">
        <v>10759</v>
      </c>
      <c r="C2617" s="461" t="s">
        <v>1104</v>
      </c>
      <c r="D2617" s="461">
        <v>42.54</v>
      </c>
      <c r="E2617" s="461" t="s">
        <v>161</v>
      </c>
      <c r="F2617" s="461" t="s">
        <v>8328</v>
      </c>
    </row>
    <row r="2618" spans="1:6" ht="15" x14ac:dyDescent="0.25">
      <c r="A2618" s="461">
        <v>3838</v>
      </c>
      <c r="B2618" s="460" t="s">
        <v>10760</v>
      </c>
      <c r="C2618" s="461" t="s">
        <v>1104</v>
      </c>
      <c r="D2618" s="461">
        <v>93.89</v>
      </c>
      <c r="E2618" s="461" t="s">
        <v>161</v>
      </c>
      <c r="F2618" s="461" t="s">
        <v>8328</v>
      </c>
    </row>
    <row r="2619" spans="1:6" ht="15" x14ac:dyDescent="0.25">
      <c r="A2619" s="461">
        <v>3844</v>
      </c>
      <c r="B2619" s="460" t="s">
        <v>10761</v>
      </c>
      <c r="C2619" s="461" t="s">
        <v>1104</v>
      </c>
      <c r="D2619" s="461">
        <v>167.48</v>
      </c>
      <c r="E2619" s="461" t="s">
        <v>161</v>
      </c>
      <c r="F2619" s="461" t="s">
        <v>8328</v>
      </c>
    </row>
    <row r="2620" spans="1:6" ht="15" x14ac:dyDescent="0.25">
      <c r="A2620" s="461">
        <v>3839</v>
      </c>
      <c r="B2620" s="460" t="s">
        <v>10762</v>
      </c>
      <c r="C2620" s="461" t="s">
        <v>1104</v>
      </c>
      <c r="D2620" s="461">
        <v>305.05</v>
      </c>
      <c r="E2620" s="461" t="s">
        <v>161</v>
      </c>
      <c r="F2620" s="461" t="s">
        <v>8328</v>
      </c>
    </row>
    <row r="2621" spans="1:6" ht="15" x14ac:dyDescent="0.25">
      <c r="A2621" s="461">
        <v>3843</v>
      </c>
      <c r="B2621" s="460" t="s">
        <v>10763</v>
      </c>
      <c r="C2621" s="461" t="s">
        <v>1104</v>
      </c>
      <c r="D2621" s="461">
        <v>418.69</v>
      </c>
      <c r="E2621" s="461" t="s">
        <v>161</v>
      </c>
      <c r="F2621" s="461" t="s">
        <v>8328</v>
      </c>
    </row>
    <row r="2622" spans="1:6" ht="15" x14ac:dyDescent="0.25">
      <c r="A2622" s="461">
        <v>3900</v>
      </c>
      <c r="B2622" s="460" t="s">
        <v>10764</v>
      </c>
      <c r="C2622" s="461" t="s">
        <v>1104</v>
      </c>
      <c r="D2622" s="461">
        <v>45.81</v>
      </c>
      <c r="E2622" s="461" t="s">
        <v>161</v>
      </c>
      <c r="F2622" s="461" t="s">
        <v>8326</v>
      </c>
    </row>
    <row r="2623" spans="1:6" ht="15" x14ac:dyDescent="0.25">
      <c r="A2623" s="461">
        <v>3846</v>
      </c>
      <c r="B2623" s="460" t="s">
        <v>10765</v>
      </c>
      <c r="C2623" s="461" t="s">
        <v>1104</v>
      </c>
      <c r="D2623" s="461">
        <v>13.76</v>
      </c>
      <c r="E2623" s="461" t="s">
        <v>161</v>
      </c>
      <c r="F2623" s="461" t="s">
        <v>8326</v>
      </c>
    </row>
    <row r="2624" spans="1:6" ht="15" x14ac:dyDescent="0.25">
      <c r="A2624" s="461">
        <v>3886</v>
      </c>
      <c r="B2624" s="460" t="s">
        <v>10766</v>
      </c>
      <c r="C2624" s="461" t="s">
        <v>1104</v>
      </c>
      <c r="D2624" s="461">
        <v>18.27</v>
      </c>
      <c r="E2624" s="461" t="s">
        <v>161</v>
      </c>
      <c r="F2624" s="461" t="s">
        <v>8326</v>
      </c>
    </row>
    <row r="2625" spans="1:6" ht="15" x14ac:dyDescent="0.25">
      <c r="A2625" s="461">
        <v>3854</v>
      </c>
      <c r="B2625" s="460" t="s">
        <v>10767</v>
      </c>
      <c r="C2625" s="461" t="s">
        <v>1104</v>
      </c>
      <c r="D2625" s="461">
        <v>10.41</v>
      </c>
      <c r="E2625" s="461" t="s">
        <v>161</v>
      </c>
      <c r="F2625" s="461" t="s">
        <v>8326</v>
      </c>
    </row>
    <row r="2626" spans="1:6" ht="15" x14ac:dyDescent="0.25">
      <c r="A2626" s="461">
        <v>3873</v>
      </c>
      <c r="B2626" s="460" t="s">
        <v>10768</v>
      </c>
      <c r="C2626" s="461" t="s">
        <v>1104</v>
      </c>
      <c r="D2626" s="461">
        <v>12.12</v>
      </c>
      <c r="E2626" s="461" t="s">
        <v>161</v>
      </c>
      <c r="F2626" s="461" t="s">
        <v>8326</v>
      </c>
    </row>
    <row r="2627" spans="1:6" ht="15" x14ac:dyDescent="0.25">
      <c r="A2627" s="461">
        <v>38021</v>
      </c>
      <c r="B2627" s="460" t="s">
        <v>10769</v>
      </c>
      <c r="C2627" s="461" t="s">
        <v>1104</v>
      </c>
      <c r="D2627" s="461">
        <v>21.52</v>
      </c>
      <c r="E2627" s="461" t="s">
        <v>161</v>
      </c>
      <c r="F2627" s="461" t="s">
        <v>8326</v>
      </c>
    </row>
    <row r="2628" spans="1:6" ht="15" x14ac:dyDescent="0.25">
      <c r="A2628" s="461">
        <v>43838</v>
      </c>
      <c r="B2628" s="460" t="s">
        <v>10770</v>
      </c>
      <c r="C2628" s="461" t="s">
        <v>1104</v>
      </c>
      <c r="D2628" s="461">
        <v>27.82</v>
      </c>
      <c r="E2628" s="461" t="s">
        <v>161</v>
      </c>
      <c r="F2628" s="461" t="s">
        <v>8326</v>
      </c>
    </row>
    <row r="2629" spans="1:6" ht="15" x14ac:dyDescent="0.25">
      <c r="A2629" s="461">
        <v>3847</v>
      </c>
      <c r="B2629" s="460" t="s">
        <v>10771</v>
      </c>
      <c r="C2629" s="461" t="s">
        <v>1104</v>
      </c>
      <c r="D2629" s="461">
        <v>28.06</v>
      </c>
      <c r="E2629" s="461" t="s">
        <v>161</v>
      </c>
      <c r="F2629" s="461" t="s">
        <v>8326</v>
      </c>
    </row>
    <row r="2630" spans="1:6" ht="15" x14ac:dyDescent="0.25">
      <c r="A2630" s="461">
        <v>38022</v>
      </c>
      <c r="B2630" s="460" t="s">
        <v>10772</v>
      </c>
      <c r="C2630" s="461" t="s">
        <v>1104</v>
      </c>
      <c r="D2630" s="461">
        <v>38.56</v>
      </c>
      <c r="E2630" s="461" t="s">
        <v>161</v>
      </c>
      <c r="F2630" s="461" t="s">
        <v>8326</v>
      </c>
    </row>
    <row r="2631" spans="1:6" ht="15" x14ac:dyDescent="0.25">
      <c r="A2631" s="461">
        <v>3826</v>
      </c>
      <c r="B2631" s="460" t="s">
        <v>10773</v>
      </c>
      <c r="C2631" s="461" t="s">
        <v>1104</v>
      </c>
      <c r="D2631" s="461">
        <v>42.21</v>
      </c>
      <c r="E2631" s="461" t="s">
        <v>161</v>
      </c>
      <c r="F2631" s="461" t="s">
        <v>8328</v>
      </c>
    </row>
    <row r="2632" spans="1:6" ht="15" x14ac:dyDescent="0.25">
      <c r="A2632" s="461">
        <v>3825</v>
      </c>
      <c r="B2632" s="460" t="s">
        <v>10774</v>
      </c>
      <c r="C2632" s="461" t="s">
        <v>1104</v>
      </c>
      <c r="D2632" s="461">
        <v>12.14</v>
      </c>
      <c r="E2632" s="461" t="s">
        <v>161</v>
      </c>
      <c r="F2632" s="461" t="s">
        <v>8328</v>
      </c>
    </row>
    <row r="2633" spans="1:6" ht="15" x14ac:dyDescent="0.25">
      <c r="A2633" s="461">
        <v>3827</v>
      </c>
      <c r="B2633" s="460" t="s">
        <v>10775</v>
      </c>
      <c r="C2633" s="461" t="s">
        <v>1104</v>
      </c>
      <c r="D2633" s="461">
        <v>26.52</v>
      </c>
      <c r="E2633" s="461" t="s">
        <v>161</v>
      </c>
      <c r="F2633" s="461" t="s">
        <v>8328</v>
      </c>
    </row>
    <row r="2634" spans="1:6" ht="15" x14ac:dyDescent="0.25">
      <c r="A2634" s="461">
        <v>3830</v>
      </c>
      <c r="B2634" s="460" t="s">
        <v>10776</v>
      </c>
      <c r="C2634" s="461" t="s">
        <v>1104</v>
      </c>
      <c r="D2634" s="461">
        <v>165.66</v>
      </c>
      <c r="E2634" s="461" t="s">
        <v>161</v>
      </c>
      <c r="F2634" s="461" t="s">
        <v>8326</v>
      </c>
    </row>
    <row r="2635" spans="1:6" ht="15" x14ac:dyDescent="0.25">
      <c r="A2635" s="461">
        <v>37981</v>
      </c>
      <c r="B2635" s="460" t="s">
        <v>10777</v>
      </c>
      <c r="C2635" s="461" t="s">
        <v>1104</v>
      </c>
      <c r="D2635" s="461">
        <v>5.75</v>
      </c>
      <c r="E2635" s="461" t="s">
        <v>161</v>
      </c>
      <c r="F2635" s="461" t="s">
        <v>8326</v>
      </c>
    </row>
    <row r="2636" spans="1:6" ht="15" x14ac:dyDescent="0.25">
      <c r="A2636" s="461">
        <v>37982</v>
      </c>
      <c r="B2636" s="460" t="s">
        <v>10778</v>
      </c>
      <c r="C2636" s="461" t="s">
        <v>1104</v>
      </c>
      <c r="D2636" s="461">
        <v>8.35</v>
      </c>
      <c r="E2636" s="461" t="s">
        <v>161</v>
      </c>
      <c r="F2636" s="461" t="s">
        <v>8326</v>
      </c>
    </row>
    <row r="2637" spans="1:6" ht="15" x14ac:dyDescent="0.25">
      <c r="A2637" s="461">
        <v>37983</v>
      </c>
      <c r="B2637" s="460" t="s">
        <v>10779</v>
      </c>
      <c r="C2637" s="461" t="s">
        <v>1104</v>
      </c>
      <c r="D2637" s="461">
        <v>12.34</v>
      </c>
      <c r="E2637" s="461" t="s">
        <v>161</v>
      </c>
      <c r="F2637" s="461" t="s">
        <v>8326</v>
      </c>
    </row>
    <row r="2638" spans="1:6" ht="15" x14ac:dyDescent="0.25">
      <c r="A2638" s="461">
        <v>37984</v>
      </c>
      <c r="B2638" s="460" t="s">
        <v>10780</v>
      </c>
      <c r="C2638" s="461" t="s">
        <v>1104</v>
      </c>
      <c r="D2638" s="461">
        <v>17.329999999999998</v>
      </c>
      <c r="E2638" s="461" t="s">
        <v>161</v>
      </c>
      <c r="F2638" s="461" t="s">
        <v>8326</v>
      </c>
    </row>
    <row r="2639" spans="1:6" ht="15" x14ac:dyDescent="0.25">
      <c r="A2639" s="461">
        <v>37985</v>
      </c>
      <c r="B2639" s="460" t="s">
        <v>10781</v>
      </c>
      <c r="C2639" s="461" t="s">
        <v>1104</v>
      </c>
      <c r="D2639" s="461">
        <v>24.63</v>
      </c>
      <c r="E2639" s="461" t="s">
        <v>161</v>
      </c>
      <c r="F2639" s="461" t="s">
        <v>8326</v>
      </c>
    </row>
    <row r="2640" spans="1:6" ht="15" x14ac:dyDescent="0.25">
      <c r="A2640" s="461">
        <v>20165</v>
      </c>
      <c r="B2640" s="460" t="s">
        <v>10782</v>
      </c>
      <c r="C2640" s="461" t="s">
        <v>1104</v>
      </c>
      <c r="D2640" s="461">
        <v>20.53</v>
      </c>
      <c r="E2640" s="461" t="s">
        <v>161</v>
      </c>
      <c r="F2640" s="461" t="s">
        <v>8326</v>
      </c>
    </row>
    <row r="2641" spans="1:6" ht="15" x14ac:dyDescent="0.25">
      <c r="A2641" s="461">
        <v>20166</v>
      </c>
      <c r="B2641" s="460" t="s">
        <v>10783</v>
      </c>
      <c r="C2641" s="461" t="s">
        <v>1104</v>
      </c>
      <c r="D2641" s="461">
        <v>62.72</v>
      </c>
      <c r="E2641" s="461" t="s">
        <v>161</v>
      </c>
      <c r="F2641" s="461" t="s">
        <v>8326</v>
      </c>
    </row>
    <row r="2642" spans="1:6" ht="15" x14ac:dyDescent="0.25">
      <c r="A2642" s="461">
        <v>20164</v>
      </c>
      <c r="B2642" s="460" t="s">
        <v>10784</v>
      </c>
      <c r="C2642" s="461" t="s">
        <v>1104</v>
      </c>
      <c r="D2642" s="461">
        <v>9.86</v>
      </c>
      <c r="E2642" s="461" t="s">
        <v>161</v>
      </c>
      <c r="F2642" s="461" t="s">
        <v>8326</v>
      </c>
    </row>
    <row r="2643" spans="1:6" ht="15" x14ac:dyDescent="0.25">
      <c r="A2643" s="461">
        <v>3893</v>
      </c>
      <c r="B2643" s="460" t="s">
        <v>10785</v>
      </c>
      <c r="C2643" s="461" t="s">
        <v>1104</v>
      </c>
      <c r="D2643" s="461">
        <v>15.46</v>
      </c>
      <c r="E2643" s="461" t="s">
        <v>161</v>
      </c>
      <c r="F2643" s="461" t="s">
        <v>8326</v>
      </c>
    </row>
    <row r="2644" spans="1:6" ht="15" x14ac:dyDescent="0.25">
      <c r="A2644" s="461">
        <v>3848</v>
      </c>
      <c r="B2644" s="460" t="s">
        <v>10786</v>
      </c>
      <c r="C2644" s="461" t="s">
        <v>1104</v>
      </c>
      <c r="D2644" s="461">
        <v>9.43</v>
      </c>
      <c r="E2644" s="461" t="s">
        <v>161</v>
      </c>
      <c r="F2644" s="461" t="s">
        <v>8326</v>
      </c>
    </row>
    <row r="2645" spans="1:6" ht="15" x14ac:dyDescent="0.25">
      <c r="A2645" s="461">
        <v>3895</v>
      </c>
      <c r="B2645" s="460" t="s">
        <v>10787</v>
      </c>
      <c r="C2645" s="461" t="s">
        <v>1104</v>
      </c>
      <c r="D2645" s="461">
        <v>10.47</v>
      </c>
      <c r="E2645" s="461" t="s">
        <v>161</v>
      </c>
      <c r="F2645" s="461" t="s">
        <v>8326</v>
      </c>
    </row>
    <row r="2646" spans="1:6" ht="15" x14ac:dyDescent="0.25">
      <c r="A2646" s="461">
        <v>12404</v>
      </c>
      <c r="B2646" s="460" t="s">
        <v>10788</v>
      </c>
      <c r="C2646" s="461" t="s">
        <v>1104</v>
      </c>
      <c r="D2646" s="461">
        <v>12.43</v>
      </c>
      <c r="E2646" s="461" t="s">
        <v>161</v>
      </c>
      <c r="F2646" s="461" t="s">
        <v>8328</v>
      </c>
    </row>
    <row r="2647" spans="1:6" ht="15" x14ac:dyDescent="0.25">
      <c r="A2647" s="461">
        <v>3939</v>
      </c>
      <c r="B2647" s="460" t="s">
        <v>10789</v>
      </c>
      <c r="C2647" s="461" t="s">
        <v>1104</v>
      </c>
      <c r="D2647" s="461">
        <v>25.6</v>
      </c>
      <c r="E2647" s="461" t="s">
        <v>161</v>
      </c>
      <c r="F2647" s="461" t="s">
        <v>8328</v>
      </c>
    </row>
    <row r="2648" spans="1:6" ht="15" x14ac:dyDescent="0.25">
      <c r="A2648" s="461">
        <v>3911</v>
      </c>
      <c r="B2648" s="460" t="s">
        <v>10790</v>
      </c>
      <c r="C2648" s="461" t="s">
        <v>1104</v>
      </c>
      <c r="D2648" s="461">
        <v>20.92</v>
      </c>
      <c r="E2648" s="461" t="s">
        <v>161</v>
      </c>
      <c r="F2648" s="461" t="s">
        <v>8328</v>
      </c>
    </row>
    <row r="2649" spans="1:6" ht="15" x14ac:dyDescent="0.25">
      <c r="A2649" s="461">
        <v>3908</v>
      </c>
      <c r="B2649" s="460" t="s">
        <v>10791</v>
      </c>
      <c r="C2649" s="461" t="s">
        <v>1104</v>
      </c>
      <c r="D2649" s="461">
        <v>6.76</v>
      </c>
      <c r="E2649" s="461" t="s">
        <v>161</v>
      </c>
      <c r="F2649" s="461" t="s">
        <v>8328</v>
      </c>
    </row>
    <row r="2650" spans="1:6" ht="15" x14ac:dyDescent="0.25">
      <c r="A2650" s="461">
        <v>3910</v>
      </c>
      <c r="B2650" s="460" t="s">
        <v>10792</v>
      </c>
      <c r="C2650" s="461" t="s">
        <v>1104</v>
      </c>
      <c r="D2650" s="461">
        <v>14.96</v>
      </c>
      <c r="E2650" s="461" t="s">
        <v>161</v>
      </c>
      <c r="F2650" s="461" t="s">
        <v>8328</v>
      </c>
    </row>
    <row r="2651" spans="1:6" ht="15" x14ac:dyDescent="0.25">
      <c r="A2651" s="461">
        <v>3913</v>
      </c>
      <c r="B2651" s="460" t="s">
        <v>10793</v>
      </c>
      <c r="C2651" s="461" t="s">
        <v>1104</v>
      </c>
      <c r="D2651" s="461">
        <v>71.53</v>
      </c>
      <c r="E2651" s="461" t="s">
        <v>161</v>
      </c>
      <c r="F2651" s="461" t="s">
        <v>8328</v>
      </c>
    </row>
    <row r="2652" spans="1:6" ht="15" x14ac:dyDescent="0.25">
      <c r="A2652" s="461">
        <v>3912</v>
      </c>
      <c r="B2652" s="460" t="s">
        <v>10794</v>
      </c>
      <c r="C2652" s="461" t="s">
        <v>1104</v>
      </c>
      <c r="D2652" s="461">
        <v>39.21</v>
      </c>
      <c r="E2652" s="461" t="s">
        <v>161</v>
      </c>
      <c r="F2652" s="461" t="s">
        <v>8328</v>
      </c>
    </row>
    <row r="2653" spans="1:6" ht="15" x14ac:dyDescent="0.25">
      <c r="A2653" s="461">
        <v>3909</v>
      </c>
      <c r="B2653" s="460" t="s">
        <v>10795</v>
      </c>
      <c r="C2653" s="461" t="s">
        <v>1104</v>
      </c>
      <c r="D2653" s="461">
        <v>9.1999999999999993</v>
      </c>
      <c r="E2653" s="461" t="s">
        <v>161</v>
      </c>
      <c r="F2653" s="461" t="s">
        <v>8328</v>
      </c>
    </row>
    <row r="2654" spans="1:6" ht="15" x14ac:dyDescent="0.25">
      <c r="A2654" s="461">
        <v>3914</v>
      </c>
      <c r="B2654" s="460" t="s">
        <v>10796</v>
      </c>
      <c r="C2654" s="461" t="s">
        <v>1104</v>
      </c>
      <c r="D2654" s="461">
        <v>107.91</v>
      </c>
      <c r="E2654" s="461" t="s">
        <v>161</v>
      </c>
      <c r="F2654" s="461" t="s">
        <v>8328</v>
      </c>
    </row>
    <row r="2655" spans="1:6" ht="15" x14ac:dyDescent="0.25">
      <c r="A2655" s="461">
        <v>3915</v>
      </c>
      <c r="B2655" s="460" t="s">
        <v>10797</v>
      </c>
      <c r="C2655" s="461" t="s">
        <v>1104</v>
      </c>
      <c r="D2655" s="461">
        <v>170.17</v>
      </c>
      <c r="E2655" s="461" t="s">
        <v>161</v>
      </c>
      <c r="F2655" s="461" t="s">
        <v>8328</v>
      </c>
    </row>
    <row r="2656" spans="1:6" ht="15" x14ac:dyDescent="0.25">
      <c r="A2656" s="461">
        <v>3916</v>
      </c>
      <c r="B2656" s="460" t="s">
        <v>10798</v>
      </c>
      <c r="C2656" s="461" t="s">
        <v>1104</v>
      </c>
      <c r="D2656" s="461">
        <v>310.02</v>
      </c>
      <c r="E2656" s="461" t="s">
        <v>161</v>
      </c>
      <c r="F2656" s="461" t="s">
        <v>8328</v>
      </c>
    </row>
    <row r="2657" spans="1:6" ht="15" x14ac:dyDescent="0.25">
      <c r="A2657" s="461">
        <v>3917</v>
      </c>
      <c r="B2657" s="460" t="s">
        <v>10799</v>
      </c>
      <c r="C2657" s="461" t="s">
        <v>1104</v>
      </c>
      <c r="D2657" s="461">
        <v>511.33</v>
      </c>
      <c r="E2657" s="461" t="s">
        <v>161</v>
      </c>
      <c r="F2657" s="461" t="s">
        <v>8328</v>
      </c>
    </row>
    <row r="2658" spans="1:6" ht="15" x14ac:dyDescent="0.25">
      <c r="A2658" s="461">
        <v>1904</v>
      </c>
      <c r="B2658" s="460" t="s">
        <v>10800</v>
      </c>
      <c r="C2658" s="461" t="s">
        <v>1104</v>
      </c>
      <c r="D2658" s="461">
        <v>1.04</v>
      </c>
      <c r="E2658" s="461" t="s">
        <v>161</v>
      </c>
      <c r="F2658" s="461" t="s">
        <v>8326</v>
      </c>
    </row>
    <row r="2659" spans="1:6" ht="15" x14ac:dyDescent="0.25">
      <c r="A2659" s="461">
        <v>1899</v>
      </c>
      <c r="B2659" s="460" t="s">
        <v>10801</v>
      </c>
      <c r="C2659" s="461" t="s">
        <v>1104</v>
      </c>
      <c r="D2659" s="461">
        <v>1.18</v>
      </c>
      <c r="E2659" s="461" t="s">
        <v>161</v>
      </c>
      <c r="F2659" s="461" t="s">
        <v>8326</v>
      </c>
    </row>
    <row r="2660" spans="1:6" ht="15" x14ac:dyDescent="0.25">
      <c r="A2660" s="461">
        <v>1900</v>
      </c>
      <c r="B2660" s="460" t="s">
        <v>10802</v>
      </c>
      <c r="C2660" s="461" t="s">
        <v>1104</v>
      </c>
      <c r="D2660" s="461">
        <v>1.91</v>
      </c>
      <c r="E2660" s="461" t="s">
        <v>161</v>
      </c>
      <c r="F2660" s="461" t="s">
        <v>8326</v>
      </c>
    </row>
    <row r="2661" spans="1:6" ht="30" x14ac:dyDescent="0.25">
      <c r="A2661" s="461">
        <v>12407</v>
      </c>
      <c r="B2661" s="460" t="s">
        <v>10803</v>
      </c>
      <c r="C2661" s="461" t="s">
        <v>1104</v>
      </c>
      <c r="D2661" s="461">
        <v>38.71</v>
      </c>
      <c r="E2661" s="461" t="s">
        <v>161</v>
      </c>
      <c r="F2661" s="461" t="s">
        <v>8328</v>
      </c>
    </row>
    <row r="2662" spans="1:6" ht="30" x14ac:dyDescent="0.25">
      <c r="A2662" s="461">
        <v>12408</v>
      </c>
      <c r="B2662" s="460" t="s">
        <v>10804</v>
      </c>
      <c r="C2662" s="461" t="s">
        <v>1104</v>
      </c>
      <c r="D2662" s="461">
        <v>21.85</v>
      </c>
      <c r="E2662" s="461" t="s">
        <v>161</v>
      </c>
      <c r="F2662" s="461" t="s">
        <v>8328</v>
      </c>
    </row>
    <row r="2663" spans="1:6" ht="30" x14ac:dyDescent="0.25">
      <c r="A2663" s="461">
        <v>12409</v>
      </c>
      <c r="B2663" s="460" t="s">
        <v>10805</v>
      </c>
      <c r="C2663" s="461" t="s">
        <v>1104</v>
      </c>
      <c r="D2663" s="461">
        <v>21.85</v>
      </c>
      <c r="E2663" s="461" t="s">
        <v>161</v>
      </c>
      <c r="F2663" s="461" t="s">
        <v>8328</v>
      </c>
    </row>
    <row r="2664" spans="1:6" ht="30" x14ac:dyDescent="0.25">
      <c r="A2664" s="461">
        <v>12410</v>
      </c>
      <c r="B2664" s="460" t="s">
        <v>10806</v>
      </c>
      <c r="C2664" s="461" t="s">
        <v>1104</v>
      </c>
      <c r="D2664" s="461">
        <v>15.05</v>
      </c>
      <c r="E2664" s="461" t="s">
        <v>161</v>
      </c>
      <c r="F2664" s="461" t="s">
        <v>8328</v>
      </c>
    </row>
    <row r="2665" spans="1:6" ht="15" x14ac:dyDescent="0.25">
      <c r="A2665" s="461">
        <v>3936</v>
      </c>
      <c r="B2665" s="460" t="s">
        <v>10807</v>
      </c>
      <c r="C2665" s="461" t="s">
        <v>1104</v>
      </c>
      <c r="D2665" s="461">
        <v>27.2</v>
      </c>
      <c r="E2665" s="461" t="s">
        <v>161</v>
      </c>
      <c r="F2665" s="461" t="s">
        <v>8328</v>
      </c>
    </row>
    <row r="2666" spans="1:6" ht="15" x14ac:dyDescent="0.25">
      <c r="A2666" s="461">
        <v>3922</v>
      </c>
      <c r="B2666" s="460" t="s">
        <v>10808</v>
      </c>
      <c r="C2666" s="461" t="s">
        <v>1104</v>
      </c>
      <c r="D2666" s="461">
        <v>25.02</v>
      </c>
      <c r="E2666" s="461" t="s">
        <v>161</v>
      </c>
      <c r="F2666" s="461" t="s">
        <v>8328</v>
      </c>
    </row>
    <row r="2667" spans="1:6" ht="15" x14ac:dyDescent="0.25">
      <c r="A2667" s="461">
        <v>3924</v>
      </c>
      <c r="B2667" s="460" t="s">
        <v>10809</v>
      </c>
      <c r="C2667" s="461" t="s">
        <v>1104</v>
      </c>
      <c r="D2667" s="461">
        <v>27.2</v>
      </c>
      <c r="E2667" s="461" t="s">
        <v>161</v>
      </c>
      <c r="F2667" s="461" t="s">
        <v>8328</v>
      </c>
    </row>
    <row r="2668" spans="1:6" ht="15" x14ac:dyDescent="0.25">
      <c r="A2668" s="461">
        <v>3923</v>
      </c>
      <c r="B2668" s="460" t="s">
        <v>10810</v>
      </c>
      <c r="C2668" s="461" t="s">
        <v>1104</v>
      </c>
      <c r="D2668" s="461">
        <v>27.2</v>
      </c>
      <c r="E2668" s="461" t="s">
        <v>161</v>
      </c>
      <c r="F2668" s="461" t="s">
        <v>8328</v>
      </c>
    </row>
    <row r="2669" spans="1:6" ht="15" x14ac:dyDescent="0.25">
      <c r="A2669" s="461">
        <v>3937</v>
      </c>
      <c r="B2669" s="460" t="s">
        <v>10811</v>
      </c>
      <c r="C2669" s="461" t="s">
        <v>1104</v>
      </c>
      <c r="D2669" s="461">
        <v>22.44</v>
      </c>
      <c r="E2669" s="461" t="s">
        <v>161</v>
      </c>
      <c r="F2669" s="461" t="s">
        <v>8328</v>
      </c>
    </row>
    <row r="2670" spans="1:6" ht="15" x14ac:dyDescent="0.25">
      <c r="A2670" s="461">
        <v>3921</v>
      </c>
      <c r="B2670" s="460" t="s">
        <v>10812</v>
      </c>
      <c r="C2670" s="461" t="s">
        <v>1104</v>
      </c>
      <c r="D2670" s="461">
        <v>22.45</v>
      </c>
      <c r="E2670" s="461" t="s">
        <v>161</v>
      </c>
      <c r="F2670" s="461" t="s">
        <v>8328</v>
      </c>
    </row>
    <row r="2671" spans="1:6" ht="15" x14ac:dyDescent="0.25">
      <c r="A2671" s="461">
        <v>3920</v>
      </c>
      <c r="B2671" s="460" t="s">
        <v>10813</v>
      </c>
      <c r="C2671" s="461" t="s">
        <v>1104</v>
      </c>
      <c r="D2671" s="461">
        <v>22.44</v>
      </c>
      <c r="E2671" s="461" t="s">
        <v>161</v>
      </c>
      <c r="F2671" s="461" t="s">
        <v>8328</v>
      </c>
    </row>
    <row r="2672" spans="1:6" ht="15" x14ac:dyDescent="0.25">
      <c r="A2672" s="461">
        <v>3938</v>
      </c>
      <c r="B2672" s="460" t="s">
        <v>10814</v>
      </c>
      <c r="C2672" s="461" t="s">
        <v>1104</v>
      </c>
      <c r="D2672" s="461">
        <v>14.79</v>
      </c>
      <c r="E2672" s="461" t="s">
        <v>161</v>
      </c>
      <c r="F2672" s="461" t="s">
        <v>8328</v>
      </c>
    </row>
    <row r="2673" spans="1:6" ht="15" x14ac:dyDescent="0.25">
      <c r="A2673" s="461">
        <v>3919</v>
      </c>
      <c r="B2673" s="460" t="s">
        <v>10815</v>
      </c>
      <c r="C2673" s="461" t="s">
        <v>1104</v>
      </c>
      <c r="D2673" s="461">
        <v>15.08</v>
      </c>
      <c r="E2673" s="461" t="s">
        <v>161</v>
      </c>
      <c r="F2673" s="461" t="s">
        <v>8328</v>
      </c>
    </row>
    <row r="2674" spans="1:6" ht="15" x14ac:dyDescent="0.25">
      <c r="A2674" s="461">
        <v>3927</v>
      </c>
      <c r="B2674" s="460" t="s">
        <v>10816</v>
      </c>
      <c r="C2674" s="461" t="s">
        <v>1104</v>
      </c>
      <c r="D2674" s="461">
        <v>76.38</v>
      </c>
      <c r="E2674" s="461" t="s">
        <v>161</v>
      </c>
      <c r="F2674" s="461" t="s">
        <v>8328</v>
      </c>
    </row>
    <row r="2675" spans="1:6" ht="15" x14ac:dyDescent="0.25">
      <c r="A2675" s="461">
        <v>3928</v>
      </c>
      <c r="B2675" s="460" t="s">
        <v>10817</v>
      </c>
      <c r="C2675" s="461" t="s">
        <v>1104</v>
      </c>
      <c r="D2675" s="461">
        <v>76.38</v>
      </c>
      <c r="E2675" s="461" t="s">
        <v>161</v>
      </c>
      <c r="F2675" s="461" t="s">
        <v>8328</v>
      </c>
    </row>
    <row r="2676" spans="1:6" ht="15" x14ac:dyDescent="0.25">
      <c r="A2676" s="461">
        <v>3926</v>
      </c>
      <c r="B2676" s="460" t="s">
        <v>10818</v>
      </c>
      <c r="C2676" s="461" t="s">
        <v>1104</v>
      </c>
      <c r="D2676" s="461">
        <v>43.54</v>
      </c>
      <c r="E2676" s="461" t="s">
        <v>161</v>
      </c>
      <c r="F2676" s="461" t="s">
        <v>8328</v>
      </c>
    </row>
    <row r="2677" spans="1:6" ht="15" x14ac:dyDescent="0.25">
      <c r="A2677" s="461">
        <v>3935</v>
      </c>
      <c r="B2677" s="460" t="s">
        <v>10819</v>
      </c>
      <c r="C2677" s="461" t="s">
        <v>1104</v>
      </c>
      <c r="D2677" s="461">
        <v>43.54</v>
      </c>
      <c r="E2677" s="461" t="s">
        <v>161</v>
      </c>
      <c r="F2677" s="461" t="s">
        <v>8328</v>
      </c>
    </row>
    <row r="2678" spans="1:6" ht="15" x14ac:dyDescent="0.25">
      <c r="A2678" s="461">
        <v>3925</v>
      </c>
      <c r="B2678" s="460" t="s">
        <v>10820</v>
      </c>
      <c r="C2678" s="461" t="s">
        <v>1104</v>
      </c>
      <c r="D2678" s="461">
        <v>43.54</v>
      </c>
      <c r="E2678" s="461" t="s">
        <v>161</v>
      </c>
      <c r="F2678" s="461" t="s">
        <v>8328</v>
      </c>
    </row>
    <row r="2679" spans="1:6" ht="15" x14ac:dyDescent="0.25">
      <c r="A2679" s="461">
        <v>12406</v>
      </c>
      <c r="B2679" s="460" t="s">
        <v>10821</v>
      </c>
      <c r="C2679" s="461" t="s">
        <v>1104</v>
      </c>
      <c r="D2679" s="461">
        <v>10.69</v>
      </c>
      <c r="E2679" s="461" t="s">
        <v>161</v>
      </c>
      <c r="F2679" s="461" t="s">
        <v>8328</v>
      </c>
    </row>
    <row r="2680" spans="1:6" ht="15" x14ac:dyDescent="0.25">
      <c r="A2680" s="461">
        <v>3929</v>
      </c>
      <c r="B2680" s="460" t="s">
        <v>10822</v>
      </c>
      <c r="C2680" s="461" t="s">
        <v>1104</v>
      </c>
      <c r="D2680" s="461">
        <v>116.37</v>
      </c>
      <c r="E2680" s="461" t="s">
        <v>161</v>
      </c>
      <c r="F2680" s="461" t="s">
        <v>8328</v>
      </c>
    </row>
    <row r="2681" spans="1:6" ht="15" x14ac:dyDescent="0.25">
      <c r="A2681" s="461">
        <v>3931</v>
      </c>
      <c r="B2681" s="460" t="s">
        <v>10823</v>
      </c>
      <c r="C2681" s="461" t="s">
        <v>1104</v>
      </c>
      <c r="D2681" s="461">
        <v>116.37</v>
      </c>
      <c r="E2681" s="461" t="s">
        <v>161</v>
      </c>
      <c r="F2681" s="461" t="s">
        <v>8328</v>
      </c>
    </row>
    <row r="2682" spans="1:6" ht="15" x14ac:dyDescent="0.25">
      <c r="A2682" s="461">
        <v>3930</v>
      </c>
      <c r="B2682" s="460" t="s">
        <v>10824</v>
      </c>
      <c r="C2682" s="461" t="s">
        <v>1104</v>
      </c>
      <c r="D2682" s="461">
        <v>116.37</v>
      </c>
      <c r="E2682" s="461" t="s">
        <v>161</v>
      </c>
      <c r="F2682" s="461" t="s">
        <v>8328</v>
      </c>
    </row>
    <row r="2683" spans="1:6" ht="15" x14ac:dyDescent="0.25">
      <c r="A2683" s="461">
        <v>3932</v>
      </c>
      <c r="B2683" s="460" t="s">
        <v>10825</v>
      </c>
      <c r="C2683" s="461" t="s">
        <v>1104</v>
      </c>
      <c r="D2683" s="461">
        <v>200.94</v>
      </c>
      <c r="E2683" s="461" t="s">
        <v>161</v>
      </c>
      <c r="F2683" s="461" t="s">
        <v>8328</v>
      </c>
    </row>
    <row r="2684" spans="1:6" ht="15" x14ac:dyDescent="0.25">
      <c r="A2684" s="461">
        <v>3933</v>
      </c>
      <c r="B2684" s="460" t="s">
        <v>10826</v>
      </c>
      <c r="C2684" s="461" t="s">
        <v>1104</v>
      </c>
      <c r="D2684" s="461">
        <v>200.94</v>
      </c>
      <c r="E2684" s="461" t="s">
        <v>161</v>
      </c>
      <c r="F2684" s="461" t="s">
        <v>8328</v>
      </c>
    </row>
    <row r="2685" spans="1:6" ht="15" x14ac:dyDescent="0.25">
      <c r="A2685" s="461">
        <v>3934</v>
      </c>
      <c r="B2685" s="460" t="s">
        <v>10827</v>
      </c>
      <c r="C2685" s="461" t="s">
        <v>1104</v>
      </c>
      <c r="D2685" s="461">
        <v>200.94</v>
      </c>
      <c r="E2685" s="461" t="s">
        <v>161</v>
      </c>
      <c r="F2685" s="461" t="s">
        <v>8328</v>
      </c>
    </row>
    <row r="2686" spans="1:6" ht="30" x14ac:dyDescent="0.25">
      <c r="A2686" s="461">
        <v>40364</v>
      </c>
      <c r="B2686" s="460" t="s">
        <v>10828</v>
      </c>
      <c r="C2686" s="461" t="s">
        <v>1104</v>
      </c>
      <c r="D2686" s="461">
        <v>59.6</v>
      </c>
      <c r="E2686" s="461" t="s">
        <v>161</v>
      </c>
      <c r="F2686" s="461" t="s">
        <v>8328</v>
      </c>
    </row>
    <row r="2687" spans="1:6" ht="30" x14ac:dyDescent="0.25">
      <c r="A2687" s="461">
        <v>40361</v>
      </c>
      <c r="B2687" s="460" t="s">
        <v>13244</v>
      </c>
      <c r="C2687" s="461" t="s">
        <v>1104</v>
      </c>
      <c r="D2687" s="461">
        <v>46.6</v>
      </c>
      <c r="E2687" s="461" t="s">
        <v>161</v>
      </c>
      <c r="F2687" s="461" t="s">
        <v>8328</v>
      </c>
    </row>
    <row r="2688" spans="1:6" ht="30" x14ac:dyDescent="0.25">
      <c r="A2688" s="461">
        <v>40358</v>
      </c>
      <c r="B2688" s="460" t="s">
        <v>10829</v>
      </c>
      <c r="C2688" s="461" t="s">
        <v>1104</v>
      </c>
      <c r="D2688" s="461">
        <v>17.760000000000002</v>
      </c>
      <c r="E2688" s="461" t="s">
        <v>161</v>
      </c>
      <c r="F2688" s="461" t="s">
        <v>8328</v>
      </c>
    </row>
    <row r="2689" spans="1:6" ht="30" x14ac:dyDescent="0.25">
      <c r="A2689" s="461">
        <v>40370</v>
      </c>
      <c r="B2689" s="460" t="s">
        <v>10830</v>
      </c>
      <c r="C2689" s="461" t="s">
        <v>1104</v>
      </c>
      <c r="D2689" s="461">
        <v>189.1</v>
      </c>
      <c r="E2689" s="461" t="s">
        <v>161</v>
      </c>
      <c r="F2689" s="461" t="s">
        <v>8328</v>
      </c>
    </row>
    <row r="2690" spans="1:6" ht="30" x14ac:dyDescent="0.25">
      <c r="A2690" s="461">
        <v>40367</v>
      </c>
      <c r="B2690" s="460" t="s">
        <v>10831</v>
      </c>
      <c r="C2690" s="461" t="s">
        <v>1104</v>
      </c>
      <c r="D2690" s="461">
        <v>93.99</v>
      </c>
      <c r="E2690" s="461" t="s">
        <v>161</v>
      </c>
      <c r="F2690" s="461" t="s">
        <v>8328</v>
      </c>
    </row>
    <row r="2691" spans="1:6" ht="30" x14ac:dyDescent="0.25">
      <c r="A2691" s="461">
        <v>40373</v>
      </c>
      <c r="B2691" s="460" t="s">
        <v>10832</v>
      </c>
      <c r="C2691" s="461" t="s">
        <v>1104</v>
      </c>
      <c r="D2691" s="461">
        <v>255.72</v>
      </c>
      <c r="E2691" s="461" t="s">
        <v>161</v>
      </c>
      <c r="F2691" s="461" t="s">
        <v>8328</v>
      </c>
    </row>
    <row r="2692" spans="1:6" ht="30" x14ac:dyDescent="0.25">
      <c r="A2692" s="461">
        <v>40355</v>
      </c>
      <c r="B2692" s="460" t="s">
        <v>13245</v>
      </c>
      <c r="C2692" s="461" t="s">
        <v>1104</v>
      </c>
      <c r="D2692" s="461">
        <v>12.72</v>
      </c>
      <c r="E2692" s="461" t="s">
        <v>161</v>
      </c>
      <c r="F2692" s="461" t="s">
        <v>8328</v>
      </c>
    </row>
    <row r="2693" spans="1:6" ht="15" x14ac:dyDescent="0.25">
      <c r="A2693" s="461">
        <v>3907</v>
      </c>
      <c r="B2693" s="460" t="s">
        <v>10833</v>
      </c>
      <c r="C2693" s="461" t="s">
        <v>1104</v>
      </c>
      <c r="D2693" s="461">
        <v>5.27</v>
      </c>
      <c r="E2693" s="461" t="s">
        <v>161</v>
      </c>
      <c r="F2693" s="461" t="s">
        <v>8326</v>
      </c>
    </row>
    <row r="2694" spans="1:6" ht="15" x14ac:dyDescent="0.25">
      <c r="A2694" s="461">
        <v>3889</v>
      </c>
      <c r="B2694" s="460" t="s">
        <v>10834</v>
      </c>
      <c r="C2694" s="461" t="s">
        <v>1104</v>
      </c>
      <c r="D2694" s="461">
        <v>3.75</v>
      </c>
      <c r="E2694" s="461" t="s">
        <v>161</v>
      </c>
      <c r="F2694" s="461" t="s">
        <v>8326</v>
      </c>
    </row>
    <row r="2695" spans="1:6" ht="15" x14ac:dyDescent="0.25">
      <c r="A2695" s="461">
        <v>3868</v>
      </c>
      <c r="B2695" s="460" t="s">
        <v>10835</v>
      </c>
      <c r="C2695" s="461" t="s">
        <v>1104</v>
      </c>
      <c r="D2695" s="461">
        <v>1.38</v>
      </c>
      <c r="E2695" s="461" t="s">
        <v>161</v>
      </c>
      <c r="F2695" s="461" t="s">
        <v>8326</v>
      </c>
    </row>
    <row r="2696" spans="1:6" ht="15" x14ac:dyDescent="0.25">
      <c r="A2696" s="461">
        <v>3869</v>
      </c>
      <c r="B2696" s="460" t="s">
        <v>10836</v>
      </c>
      <c r="C2696" s="461" t="s">
        <v>1104</v>
      </c>
      <c r="D2696" s="461">
        <v>3.05</v>
      </c>
      <c r="E2696" s="461" t="s">
        <v>161</v>
      </c>
      <c r="F2696" s="461" t="s">
        <v>8326</v>
      </c>
    </row>
    <row r="2697" spans="1:6" ht="15" x14ac:dyDescent="0.25">
      <c r="A2697" s="461">
        <v>3872</v>
      </c>
      <c r="B2697" s="460" t="s">
        <v>10837</v>
      </c>
      <c r="C2697" s="461" t="s">
        <v>1104</v>
      </c>
      <c r="D2697" s="461">
        <v>5.2</v>
      </c>
      <c r="E2697" s="461" t="s">
        <v>161</v>
      </c>
      <c r="F2697" s="461" t="s">
        <v>8326</v>
      </c>
    </row>
    <row r="2698" spans="1:6" ht="15" x14ac:dyDescent="0.25">
      <c r="A2698" s="461">
        <v>3850</v>
      </c>
      <c r="B2698" s="460" t="s">
        <v>10838</v>
      </c>
      <c r="C2698" s="461" t="s">
        <v>1104</v>
      </c>
      <c r="D2698" s="461">
        <v>12.01</v>
      </c>
      <c r="E2698" s="461" t="s">
        <v>161</v>
      </c>
      <c r="F2698" s="461" t="s">
        <v>8326</v>
      </c>
    </row>
    <row r="2699" spans="1:6" ht="15" x14ac:dyDescent="0.25">
      <c r="A2699" s="461">
        <v>38023</v>
      </c>
      <c r="B2699" s="460" t="s">
        <v>10839</v>
      </c>
      <c r="C2699" s="461" t="s">
        <v>1104</v>
      </c>
      <c r="D2699" s="461">
        <v>6.11</v>
      </c>
      <c r="E2699" s="461" t="s">
        <v>161</v>
      </c>
      <c r="F2699" s="461" t="s">
        <v>8326</v>
      </c>
    </row>
    <row r="2700" spans="1:6" ht="15" x14ac:dyDescent="0.25">
      <c r="A2700" s="461">
        <v>37986</v>
      </c>
      <c r="B2700" s="460" t="s">
        <v>10840</v>
      </c>
      <c r="C2700" s="461" t="s">
        <v>1104</v>
      </c>
      <c r="D2700" s="461">
        <v>1.96</v>
      </c>
      <c r="E2700" s="461" t="s">
        <v>161</v>
      </c>
      <c r="F2700" s="461" t="s">
        <v>8326</v>
      </c>
    </row>
    <row r="2701" spans="1:6" ht="15" x14ac:dyDescent="0.25">
      <c r="A2701" s="461">
        <v>37987</v>
      </c>
      <c r="B2701" s="460" t="s">
        <v>10841</v>
      </c>
      <c r="C2701" s="461" t="s">
        <v>1104</v>
      </c>
      <c r="D2701" s="461">
        <v>97.96</v>
      </c>
      <c r="E2701" s="461" t="s">
        <v>161</v>
      </c>
      <c r="F2701" s="461" t="s">
        <v>8326</v>
      </c>
    </row>
    <row r="2702" spans="1:6" ht="15" x14ac:dyDescent="0.25">
      <c r="A2702" s="461">
        <v>37988</v>
      </c>
      <c r="B2702" s="460" t="s">
        <v>10842</v>
      </c>
      <c r="C2702" s="461" t="s">
        <v>1104</v>
      </c>
      <c r="D2702" s="461">
        <v>155.66</v>
      </c>
      <c r="E2702" s="461" t="s">
        <v>161</v>
      </c>
      <c r="F2702" s="461" t="s">
        <v>8326</v>
      </c>
    </row>
    <row r="2703" spans="1:6" ht="15" x14ac:dyDescent="0.25">
      <c r="A2703" s="461">
        <v>21120</v>
      </c>
      <c r="B2703" s="460" t="s">
        <v>10843</v>
      </c>
      <c r="C2703" s="461" t="s">
        <v>1104</v>
      </c>
      <c r="D2703" s="461">
        <v>10.02</v>
      </c>
      <c r="E2703" s="461" t="s">
        <v>161</v>
      </c>
      <c r="F2703" s="461" t="s">
        <v>8326</v>
      </c>
    </row>
    <row r="2704" spans="1:6" ht="15" x14ac:dyDescent="0.25">
      <c r="A2704" s="461">
        <v>39318</v>
      </c>
      <c r="B2704" s="460" t="s">
        <v>10844</v>
      </c>
      <c r="C2704" s="461" t="s">
        <v>1104</v>
      </c>
      <c r="D2704" s="461">
        <v>9.31</v>
      </c>
      <c r="E2704" s="461" t="s">
        <v>161</v>
      </c>
      <c r="F2704" s="461" t="s">
        <v>8326</v>
      </c>
    </row>
    <row r="2705" spans="1:6" ht="15" x14ac:dyDescent="0.25">
      <c r="A2705" s="461">
        <v>40366</v>
      </c>
      <c r="B2705" s="460" t="s">
        <v>10845</v>
      </c>
      <c r="C2705" s="461" t="s">
        <v>1104</v>
      </c>
      <c r="D2705" s="461">
        <v>46.49</v>
      </c>
      <c r="E2705" s="461" t="s">
        <v>161</v>
      </c>
      <c r="F2705" s="461" t="s">
        <v>8328</v>
      </c>
    </row>
    <row r="2706" spans="1:6" ht="15" x14ac:dyDescent="0.25">
      <c r="A2706" s="461">
        <v>40363</v>
      </c>
      <c r="B2706" s="460" t="s">
        <v>10846</v>
      </c>
      <c r="C2706" s="461" t="s">
        <v>1104</v>
      </c>
      <c r="D2706" s="461">
        <v>36.36</v>
      </c>
      <c r="E2706" s="461" t="s">
        <v>161</v>
      </c>
      <c r="F2706" s="461" t="s">
        <v>8328</v>
      </c>
    </row>
    <row r="2707" spans="1:6" ht="15" x14ac:dyDescent="0.25">
      <c r="A2707" s="461">
        <v>40354</v>
      </c>
      <c r="B2707" s="460" t="s">
        <v>10847</v>
      </c>
      <c r="C2707" s="461" t="s">
        <v>1104</v>
      </c>
      <c r="D2707" s="461">
        <v>15.83</v>
      </c>
      <c r="E2707" s="461" t="s">
        <v>161</v>
      </c>
      <c r="F2707" s="461" t="s">
        <v>8328</v>
      </c>
    </row>
    <row r="2708" spans="1:6" ht="15" x14ac:dyDescent="0.25">
      <c r="A2708" s="461">
        <v>40360</v>
      </c>
      <c r="B2708" s="460" t="s">
        <v>10848</v>
      </c>
      <c r="C2708" s="461" t="s">
        <v>1104</v>
      </c>
      <c r="D2708" s="461">
        <v>23.84</v>
      </c>
      <c r="E2708" s="461" t="s">
        <v>161</v>
      </c>
      <c r="F2708" s="461" t="s">
        <v>8328</v>
      </c>
    </row>
    <row r="2709" spans="1:6" ht="15" x14ac:dyDescent="0.25">
      <c r="A2709" s="461">
        <v>40372</v>
      </c>
      <c r="B2709" s="460" t="s">
        <v>10849</v>
      </c>
      <c r="C2709" s="461" t="s">
        <v>1104</v>
      </c>
      <c r="D2709" s="461">
        <v>147.19999999999999</v>
      </c>
      <c r="E2709" s="461" t="s">
        <v>161</v>
      </c>
      <c r="F2709" s="461" t="s">
        <v>8328</v>
      </c>
    </row>
    <row r="2710" spans="1:6" ht="15" x14ac:dyDescent="0.25">
      <c r="A2710" s="461">
        <v>40369</v>
      </c>
      <c r="B2710" s="460" t="s">
        <v>10850</v>
      </c>
      <c r="C2710" s="461" t="s">
        <v>1104</v>
      </c>
      <c r="D2710" s="461">
        <v>73.260000000000005</v>
      </c>
      <c r="E2710" s="461" t="s">
        <v>161</v>
      </c>
      <c r="F2710" s="461" t="s">
        <v>8328</v>
      </c>
    </row>
    <row r="2711" spans="1:6" ht="15" x14ac:dyDescent="0.25">
      <c r="A2711" s="461">
        <v>40357</v>
      </c>
      <c r="B2711" s="460" t="s">
        <v>10851</v>
      </c>
      <c r="C2711" s="461" t="s">
        <v>1104</v>
      </c>
      <c r="D2711" s="461">
        <v>17.760000000000002</v>
      </c>
      <c r="E2711" s="461" t="s">
        <v>161</v>
      </c>
      <c r="F2711" s="461" t="s">
        <v>8328</v>
      </c>
    </row>
    <row r="2712" spans="1:6" ht="15" x14ac:dyDescent="0.25">
      <c r="A2712" s="461">
        <v>40375</v>
      </c>
      <c r="B2712" s="460" t="s">
        <v>10852</v>
      </c>
      <c r="C2712" s="461" t="s">
        <v>1104</v>
      </c>
      <c r="D2712" s="461">
        <v>199.28</v>
      </c>
      <c r="E2712" s="461" t="s">
        <v>161</v>
      </c>
      <c r="F2712" s="461" t="s">
        <v>8328</v>
      </c>
    </row>
    <row r="2713" spans="1:6" ht="15" x14ac:dyDescent="0.25">
      <c r="A2713" s="461">
        <v>1893</v>
      </c>
      <c r="B2713" s="460" t="s">
        <v>10853</v>
      </c>
      <c r="C2713" s="461" t="s">
        <v>1104</v>
      </c>
      <c r="D2713" s="461">
        <v>3.93</v>
      </c>
      <c r="E2713" s="461" t="s">
        <v>161</v>
      </c>
      <c r="F2713" s="461" t="s">
        <v>8326</v>
      </c>
    </row>
    <row r="2714" spans="1:6" ht="15" x14ac:dyDescent="0.25">
      <c r="A2714" s="461">
        <v>1902</v>
      </c>
      <c r="B2714" s="460" t="s">
        <v>10854</v>
      </c>
      <c r="C2714" s="461" t="s">
        <v>1104</v>
      </c>
      <c r="D2714" s="461">
        <v>2.86</v>
      </c>
      <c r="E2714" s="461" t="s">
        <v>161</v>
      </c>
      <c r="F2714" s="461" t="s">
        <v>8326</v>
      </c>
    </row>
    <row r="2715" spans="1:6" ht="15" x14ac:dyDescent="0.25">
      <c r="A2715" s="461">
        <v>1901</v>
      </c>
      <c r="B2715" s="460" t="s">
        <v>10855</v>
      </c>
      <c r="C2715" s="461" t="s">
        <v>1104</v>
      </c>
      <c r="D2715" s="461">
        <v>0.89</v>
      </c>
      <c r="E2715" s="461" t="s">
        <v>161</v>
      </c>
      <c r="F2715" s="461" t="s">
        <v>8326</v>
      </c>
    </row>
    <row r="2716" spans="1:6" ht="15" x14ac:dyDescent="0.25">
      <c r="A2716" s="461">
        <v>1892</v>
      </c>
      <c r="B2716" s="460" t="s">
        <v>10856</v>
      </c>
      <c r="C2716" s="461" t="s">
        <v>1104</v>
      </c>
      <c r="D2716" s="461">
        <v>1.84</v>
      </c>
      <c r="E2716" s="461" t="s">
        <v>161</v>
      </c>
      <c r="F2716" s="461" t="s">
        <v>8326</v>
      </c>
    </row>
    <row r="2717" spans="1:6" ht="15" x14ac:dyDescent="0.25">
      <c r="A2717" s="461">
        <v>1907</v>
      </c>
      <c r="B2717" s="460" t="s">
        <v>10857</v>
      </c>
      <c r="C2717" s="461" t="s">
        <v>1104</v>
      </c>
      <c r="D2717" s="461">
        <v>12.64</v>
      </c>
      <c r="E2717" s="461" t="s">
        <v>161</v>
      </c>
      <c r="F2717" s="461" t="s">
        <v>8326</v>
      </c>
    </row>
    <row r="2718" spans="1:6" ht="15" x14ac:dyDescent="0.25">
      <c r="A2718" s="461">
        <v>1894</v>
      </c>
      <c r="B2718" s="460" t="s">
        <v>10858</v>
      </c>
      <c r="C2718" s="461" t="s">
        <v>1104</v>
      </c>
      <c r="D2718" s="461">
        <v>5.68</v>
      </c>
      <c r="E2718" s="461" t="s">
        <v>161</v>
      </c>
      <c r="F2718" s="461" t="s">
        <v>8326</v>
      </c>
    </row>
    <row r="2719" spans="1:6" ht="15" x14ac:dyDescent="0.25">
      <c r="A2719" s="461">
        <v>1891</v>
      </c>
      <c r="B2719" s="460" t="s">
        <v>10859</v>
      </c>
      <c r="C2719" s="461" t="s">
        <v>1104</v>
      </c>
      <c r="D2719" s="461">
        <v>1.32</v>
      </c>
      <c r="E2719" s="461" t="s">
        <v>161</v>
      </c>
      <c r="F2719" s="461" t="s">
        <v>8326</v>
      </c>
    </row>
    <row r="2720" spans="1:6" ht="15" x14ac:dyDescent="0.25">
      <c r="A2720" s="461">
        <v>1896</v>
      </c>
      <c r="B2720" s="460" t="s">
        <v>10860</v>
      </c>
      <c r="C2720" s="461" t="s">
        <v>1104</v>
      </c>
      <c r="D2720" s="461">
        <v>16.97</v>
      </c>
      <c r="E2720" s="461" t="s">
        <v>161</v>
      </c>
      <c r="F2720" s="461" t="s">
        <v>8326</v>
      </c>
    </row>
    <row r="2721" spans="1:6" ht="15" x14ac:dyDescent="0.25">
      <c r="A2721" s="461">
        <v>1895</v>
      </c>
      <c r="B2721" s="460" t="s">
        <v>10861</v>
      </c>
      <c r="C2721" s="461" t="s">
        <v>1104</v>
      </c>
      <c r="D2721" s="461">
        <v>29.82</v>
      </c>
      <c r="E2721" s="461" t="s">
        <v>161</v>
      </c>
      <c r="F2721" s="461" t="s">
        <v>8326</v>
      </c>
    </row>
    <row r="2722" spans="1:6" ht="30" x14ac:dyDescent="0.25">
      <c r="A2722" s="461">
        <v>2641</v>
      </c>
      <c r="B2722" s="460" t="s">
        <v>10862</v>
      </c>
      <c r="C2722" s="461" t="s">
        <v>1104</v>
      </c>
      <c r="D2722" s="461">
        <v>26.87</v>
      </c>
      <c r="E2722" s="461" t="s">
        <v>161</v>
      </c>
      <c r="F2722" s="461" t="s">
        <v>8326</v>
      </c>
    </row>
    <row r="2723" spans="1:6" ht="30" x14ac:dyDescent="0.25">
      <c r="A2723" s="461">
        <v>2636</v>
      </c>
      <c r="B2723" s="460" t="s">
        <v>10863</v>
      </c>
      <c r="C2723" s="461" t="s">
        <v>1104</v>
      </c>
      <c r="D2723" s="461">
        <v>1.73</v>
      </c>
      <c r="E2723" s="461" t="s">
        <v>161</v>
      </c>
      <c r="F2723" s="461" t="s">
        <v>8326</v>
      </c>
    </row>
    <row r="2724" spans="1:6" ht="30" x14ac:dyDescent="0.25">
      <c r="A2724" s="461">
        <v>2637</v>
      </c>
      <c r="B2724" s="460" t="s">
        <v>10864</v>
      </c>
      <c r="C2724" s="461" t="s">
        <v>1104</v>
      </c>
      <c r="D2724" s="461">
        <v>1.84</v>
      </c>
      <c r="E2724" s="461" t="s">
        <v>161</v>
      </c>
      <c r="F2724" s="461" t="s">
        <v>8326</v>
      </c>
    </row>
    <row r="2725" spans="1:6" ht="30" x14ac:dyDescent="0.25">
      <c r="A2725" s="461">
        <v>2638</v>
      </c>
      <c r="B2725" s="460" t="s">
        <v>10865</v>
      </c>
      <c r="C2725" s="461" t="s">
        <v>1104</v>
      </c>
      <c r="D2725" s="461">
        <v>2.14</v>
      </c>
      <c r="E2725" s="461" t="s">
        <v>161</v>
      </c>
      <c r="F2725" s="461" t="s">
        <v>8326</v>
      </c>
    </row>
    <row r="2726" spans="1:6" ht="30" x14ac:dyDescent="0.25">
      <c r="A2726" s="461">
        <v>2639</v>
      </c>
      <c r="B2726" s="460" t="s">
        <v>10866</v>
      </c>
      <c r="C2726" s="461" t="s">
        <v>1104</v>
      </c>
      <c r="D2726" s="461">
        <v>3.8</v>
      </c>
      <c r="E2726" s="461" t="s">
        <v>161</v>
      </c>
      <c r="F2726" s="461" t="s">
        <v>8326</v>
      </c>
    </row>
    <row r="2727" spans="1:6" ht="30" x14ac:dyDescent="0.25">
      <c r="A2727" s="461">
        <v>2644</v>
      </c>
      <c r="B2727" s="460" t="s">
        <v>10867</v>
      </c>
      <c r="C2727" s="461" t="s">
        <v>1104</v>
      </c>
      <c r="D2727" s="461">
        <v>5.5</v>
      </c>
      <c r="E2727" s="461" t="s">
        <v>161</v>
      </c>
      <c r="F2727" s="461" t="s">
        <v>8326</v>
      </c>
    </row>
    <row r="2728" spans="1:6" ht="30" x14ac:dyDescent="0.25">
      <c r="A2728" s="461">
        <v>2640</v>
      </c>
      <c r="B2728" s="460" t="s">
        <v>10868</v>
      </c>
      <c r="C2728" s="461" t="s">
        <v>1104</v>
      </c>
      <c r="D2728" s="461">
        <v>11.18</v>
      </c>
      <c r="E2728" s="461" t="s">
        <v>161</v>
      </c>
      <c r="F2728" s="461" t="s">
        <v>8326</v>
      </c>
    </row>
    <row r="2729" spans="1:6" ht="30" x14ac:dyDescent="0.25">
      <c r="A2729" s="461">
        <v>2642</v>
      </c>
      <c r="B2729" s="460" t="s">
        <v>10869</v>
      </c>
      <c r="C2729" s="461" t="s">
        <v>1104</v>
      </c>
      <c r="D2729" s="461">
        <v>17.03</v>
      </c>
      <c r="E2729" s="461" t="s">
        <v>161</v>
      </c>
      <c r="F2729" s="461" t="s">
        <v>8326</v>
      </c>
    </row>
    <row r="2730" spans="1:6" ht="30" x14ac:dyDescent="0.25">
      <c r="A2730" s="461">
        <v>2643</v>
      </c>
      <c r="B2730" s="460" t="s">
        <v>13246</v>
      </c>
      <c r="C2730" s="461" t="s">
        <v>1104</v>
      </c>
      <c r="D2730" s="461">
        <v>7.66</v>
      </c>
      <c r="E2730" s="461" t="s">
        <v>161</v>
      </c>
      <c r="F2730" s="461" t="s">
        <v>8326</v>
      </c>
    </row>
    <row r="2731" spans="1:6" ht="15" x14ac:dyDescent="0.25">
      <c r="A2731" s="461">
        <v>39855</v>
      </c>
      <c r="B2731" s="460" t="s">
        <v>10870</v>
      </c>
      <c r="C2731" s="461" t="s">
        <v>1104</v>
      </c>
      <c r="D2731" s="461">
        <v>3.27</v>
      </c>
      <c r="E2731" s="461" t="s">
        <v>161</v>
      </c>
      <c r="F2731" s="461" t="s">
        <v>8326</v>
      </c>
    </row>
    <row r="2732" spans="1:6" ht="15" x14ac:dyDescent="0.25">
      <c r="A2732" s="461">
        <v>39856</v>
      </c>
      <c r="B2732" s="460" t="s">
        <v>10871</v>
      </c>
      <c r="C2732" s="461" t="s">
        <v>1104</v>
      </c>
      <c r="D2732" s="461">
        <v>7.71</v>
      </c>
      <c r="E2732" s="461" t="s">
        <v>161</v>
      </c>
      <c r="F2732" s="461" t="s">
        <v>8326</v>
      </c>
    </row>
    <row r="2733" spans="1:6" ht="15" x14ac:dyDescent="0.25">
      <c r="A2733" s="461">
        <v>39857</v>
      </c>
      <c r="B2733" s="460" t="s">
        <v>10872</v>
      </c>
      <c r="C2733" s="461" t="s">
        <v>1104</v>
      </c>
      <c r="D2733" s="461">
        <v>12.47</v>
      </c>
      <c r="E2733" s="461" t="s">
        <v>161</v>
      </c>
      <c r="F2733" s="461" t="s">
        <v>8326</v>
      </c>
    </row>
    <row r="2734" spans="1:6" ht="15" x14ac:dyDescent="0.25">
      <c r="A2734" s="461">
        <v>39858</v>
      </c>
      <c r="B2734" s="460" t="s">
        <v>10873</v>
      </c>
      <c r="C2734" s="461" t="s">
        <v>1104</v>
      </c>
      <c r="D2734" s="461">
        <v>27.67</v>
      </c>
      <c r="E2734" s="461" t="s">
        <v>161</v>
      </c>
      <c r="F2734" s="461" t="s">
        <v>8326</v>
      </c>
    </row>
    <row r="2735" spans="1:6" ht="15" x14ac:dyDescent="0.25">
      <c r="A2735" s="461">
        <v>39859</v>
      </c>
      <c r="B2735" s="460" t="s">
        <v>10874</v>
      </c>
      <c r="C2735" s="461" t="s">
        <v>1104</v>
      </c>
      <c r="D2735" s="461">
        <v>42.66</v>
      </c>
      <c r="E2735" s="461" t="s">
        <v>161</v>
      </c>
      <c r="F2735" s="461" t="s">
        <v>8326</v>
      </c>
    </row>
    <row r="2736" spans="1:6" ht="15" x14ac:dyDescent="0.25">
      <c r="A2736" s="461">
        <v>39860</v>
      </c>
      <c r="B2736" s="460" t="s">
        <v>10875</v>
      </c>
      <c r="C2736" s="461" t="s">
        <v>1104</v>
      </c>
      <c r="D2736" s="461">
        <v>65.459999999999994</v>
      </c>
      <c r="E2736" s="461" t="s">
        <v>161</v>
      </c>
      <c r="F2736" s="461" t="s">
        <v>8326</v>
      </c>
    </row>
    <row r="2737" spans="1:6" ht="15" x14ac:dyDescent="0.25">
      <c r="A2737" s="461">
        <v>39861</v>
      </c>
      <c r="B2737" s="460" t="s">
        <v>10876</v>
      </c>
      <c r="C2737" s="461" t="s">
        <v>1104</v>
      </c>
      <c r="D2737" s="461">
        <v>186.9</v>
      </c>
      <c r="E2737" s="461" t="s">
        <v>161</v>
      </c>
      <c r="F2737" s="461" t="s">
        <v>8326</v>
      </c>
    </row>
    <row r="2738" spans="1:6" ht="15" x14ac:dyDescent="0.25">
      <c r="A2738" s="461">
        <v>3867</v>
      </c>
      <c r="B2738" s="460" t="s">
        <v>10877</v>
      </c>
      <c r="C2738" s="461" t="s">
        <v>1104</v>
      </c>
      <c r="D2738" s="461">
        <v>73.16</v>
      </c>
      <c r="E2738" s="461" t="s">
        <v>161</v>
      </c>
      <c r="F2738" s="461" t="s">
        <v>8326</v>
      </c>
    </row>
    <row r="2739" spans="1:6" ht="15" x14ac:dyDescent="0.25">
      <c r="A2739" s="461">
        <v>3861</v>
      </c>
      <c r="B2739" s="460" t="s">
        <v>10878</v>
      </c>
      <c r="C2739" s="461" t="s">
        <v>1104</v>
      </c>
      <c r="D2739" s="461">
        <v>0.76</v>
      </c>
      <c r="E2739" s="461" t="s">
        <v>161</v>
      </c>
      <c r="F2739" s="461" t="s">
        <v>8326</v>
      </c>
    </row>
    <row r="2740" spans="1:6" ht="15" x14ac:dyDescent="0.25">
      <c r="A2740" s="461">
        <v>3904</v>
      </c>
      <c r="B2740" s="460" t="s">
        <v>10879</v>
      </c>
      <c r="C2740" s="461" t="s">
        <v>1104</v>
      </c>
      <c r="D2740" s="461">
        <v>0.8</v>
      </c>
      <c r="E2740" s="461" t="s">
        <v>161</v>
      </c>
      <c r="F2740" s="461" t="s">
        <v>8326</v>
      </c>
    </row>
    <row r="2741" spans="1:6" ht="15" x14ac:dyDescent="0.25">
      <c r="A2741" s="461">
        <v>3903</v>
      </c>
      <c r="B2741" s="460" t="s">
        <v>10880</v>
      </c>
      <c r="C2741" s="461" t="s">
        <v>1104</v>
      </c>
      <c r="D2741" s="461">
        <v>1.96</v>
      </c>
      <c r="E2741" s="461" t="s">
        <v>161</v>
      </c>
      <c r="F2741" s="461" t="s">
        <v>8326</v>
      </c>
    </row>
    <row r="2742" spans="1:6" ht="15" x14ac:dyDescent="0.25">
      <c r="A2742" s="461">
        <v>3862</v>
      </c>
      <c r="B2742" s="460" t="s">
        <v>10881</v>
      </c>
      <c r="C2742" s="461" t="s">
        <v>1104</v>
      </c>
      <c r="D2742" s="461">
        <v>4.18</v>
      </c>
      <c r="E2742" s="461" t="s">
        <v>161</v>
      </c>
      <c r="F2742" s="461" t="s">
        <v>8326</v>
      </c>
    </row>
    <row r="2743" spans="1:6" ht="15" x14ac:dyDescent="0.25">
      <c r="A2743" s="461">
        <v>3863</v>
      </c>
      <c r="B2743" s="460" t="s">
        <v>10882</v>
      </c>
      <c r="C2743" s="461" t="s">
        <v>1104</v>
      </c>
      <c r="D2743" s="461">
        <v>4.28</v>
      </c>
      <c r="E2743" s="461" t="s">
        <v>161</v>
      </c>
      <c r="F2743" s="461" t="s">
        <v>8326</v>
      </c>
    </row>
    <row r="2744" spans="1:6" ht="15" x14ac:dyDescent="0.25">
      <c r="A2744" s="461">
        <v>3864</v>
      </c>
      <c r="B2744" s="460" t="s">
        <v>10883</v>
      </c>
      <c r="C2744" s="461" t="s">
        <v>1104</v>
      </c>
      <c r="D2744" s="461">
        <v>13.12</v>
      </c>
      <c r="E2744" s="461" t="s">
        <v>161</v>
      </c>
      <c r="F2744" s="461" t="s">
        <v>8326</v>
      </c>
    </row>
    <row r="2745" spans="1:6" ht="15" x14ac:dyDescent="0.25">
      <c r="A2745" s="461">
        <v>3865</v>
      </c>
      <c r="B2745" s="460" t="s">
        <v>10884</v>
      </c>
      <c r="C2745" s="461" t="s">
        <v>1104</v>
      </c>
      <c r="D2745" s="461">
        <v>19.190000000000001</v>
      </c>
      <c r="E2745" s="461" t="s">
        <v>161</v>
      </c>
      <c r="F2745" s="461" t="s">
        <v>8326</v>
      </c>
    </row>
    <row r="2746" spans="1:6" ht="15" x14ac:dyDescent="0.25">
      <c r="A2746" s="461">
        <v>3866</v>
      </c>
      <c r="B2746" s="460" t="s">
        <v>10885</v>
      </c>
      <c r="C2746" s="461" t="s">
        <v>1104</v>
      </c>
      <c r="D2746" s="461">
        <v>43.08</v>
      </c>
      <c r="E2746" s="461" t="s">
        <v>161</v>
      </c>
      <c r="F2746" s="461" t="s">
        <v>8326</v>
      </c>
    </row>
    <row r="2747" spans="1:6" ht="15" x14ac:dyDescent="0.25">
      <c r="A2747" s="461">
        <v>3878</v>
      </c>
      <c r="B2747" s="460" t="s">
        <v>13247</v>
      </c>
      <c r="C2747" s="461" t="s">
        <v>1104</v>
      </c>
      <c r="D2747" s="461">
        <v>11.75</v>
      </c>
      <c r="E2747" s="461" t="s">
        <v>161</v>
      </c>
      <c r="F2747" s="461" t="s">
        <v>8326</v>
      </c>
    </row>
    <row r="2748" spans="1:6" ht="15" x14ac:dyDescent="0.25">
      <c r="A2748" s="461">
        <v>3883</v>
      </c>
      <c r="B2748" s="460" t="s">
        <v>10886</v>
      </c>
      <c r="C2748" s="461" t="s">
        <v>1104</v>
      </c>
      <c r="D2748" s="461">
        <v>1.5</v>
      </c>
      <c r="E2748" s="461" t="s">
        <v>161</v>
      </c>
      <c r="F2748" s="461" t="s">
        <v>8326</v>
      </c>
    </row>
    <row r="2749" spans="1:6" ht="15" x14ac:dyDescent="0.25">
      <c r="A2749" s="461">
        <v>3876</v>
      </c>
      <c r="B2749" s="460" t="s">
        <v>10887</v>
      </c>
      <c r="C2749" s="461" t="s">
        <v>1104</v>
      </c>
      <c r="D2749" s="461">
        <v>4.67</v>
      </c>
      <c r="E2749" s="461" t="s">
        <v>161</v>
      </c>
      <c r="F2749" s="461" t="s">
        <v>8326</v>
      </c>
    </row>
    <row r="2750" spans="1:6" ht="15" x14ac:dyDescent="0.25">
      <c r="A2750" s="461">
        <v>3884</v>
      </c>
      <c r="B2750" s="460" t="s">
        <v>10888</v>
      </c>
      <c r="C2750" s="461" t="s">
        <v>1104</v>
      </c>
      <c r="D2750" s="461">
        <v>2.38</v>
      </c>
      <c r="E2750" s="461" t="s">
        <v>161</v>
      </c>
      <c r="F2750" s="461" t="s">
        <v>8326</v>
      </c>
    </row>
    <row r="2751" spans="1:6" ht="15" x14ac:dyDescent="0.25">
      <c r="A2751" s="461">
        <v>12892</v>
      </c>
      <c r="B2751" s="460" t="s">
        <v>10889</v>
      </c>
      <c r="C2751" s="461" t="s">
        <v>1111</v>
      </c>
      <c r="D2751" s="461">
        <v>13.95</v>
      </c>
      <c r="E2751" s="461" t="s">
        <v>161</v>
      </c>
      <c r="F2751" s="461" t="s">
        <v>8326</v>
      </c>
    </row>
    <row r="2752" spans="1:6" ht="15" x14ac:dyDescent="0.25">
      <c r="A2752" s="461">
        <v>38447</v>
      </c>
      <c r="B2752" s="460" t="s">
        <v>10890</v>
      </c>
      <c r="C2752" s="461" t="s">
        <v>1104</v>
      </c>
      <c r="D2752" s="461">
        <v>96.9</v>
      </c>
      <c r="E2752" s="461" t="s">
        <v>161</v>
      </c>
      <c r="F2752" s="461" t="s">
        <v>8326</v>
      </c>
    </row>
    <row r="2753" spans="1:6" ht="15" x14ac:dyDescent="0.25">
      <c r="A2753" s="461">
        <v>36320</v>
      </c>
      <c r="B2753" s="460" t="s">
        <v>10891</v>
      </c>
      <c r="C2753" s="461" t="s">
        <v>1104</v>
      </c>
      <c r="D2753" s="461">
        <v>2.6</v>
      </c>
      <c r="E2753" s="461" t="s">
        <v>161</v>
      </c>
      <c r="F2753" s="461" t="s">
        <v>8326</v>
      </c>
    </row>
    <row r="2754" spans="1:6" ht="15" x14ac:dyDescent="0.25">
      <c r="A2754" s="461">
        <v>36324</v>
      </c>
      <c r="B2754" s="460" t="s">
        <v>10892</v>
      </c>
      <c r="C2754" s="461" t="s">
        <v>1104</v>
      </c>
      <c r="D2754" s="461">
        <v>2.37</v>
      </c>
      <c r="E2754" s="461" t="s">
        <v>161</v>
      </c>
      <c r="F2754" s="461" t="s">
        <v>8326</v>
      </c>
    </row>
    <row r="2755" spans="1:6" ht="15" x14ac:dyDescent="0.25">
      <c r="A2755" s="461">
        <v>38441</v>
      </c>
      <c r="B2755" s="460" t="s">
        <v>10893</v>
      </c>
      <c r="C2755" s="461" t="s">
        <v>1104</v>
      </c>
      <c r="D2755" s="461">
        <v>4.26</v>
      </c>
      <c r="E2755" s="461" t="s">
        <v>161</v>
      </c>
      <c r="F2755" s="461" t="s">
        <v>8326</v>
      </c>
    </row>
    <row r="2756" spans="1:6" ht="15" x14ac:dyDescent="0.25">
      <c r="A2756" s="461">
        <v>38442</v>
      </c>
      <c r="B2756" s="460" t="s">
        <v>10894</v>
      </c>
      <c r="C2756" s="461" t="s">
        <v>1104</v>
      </c>
      <c r="D2756" s="461">
        <v>12.11</v>
      </c>
      <c r="E2756" s="461" t="s">
        <v>161</v>
      </c>
      <c r="F2756" s="461" t="s">
        <v>8326</v>
      </c>
    </row>
    <row r="2757" spans="1:6" ht="15" x14ac:dyDescent="0.25">
      <c r="A2757" s="461">
        <v>38443</v>
      </c>
      <c r="B2757" s="460" t="s">
        <v>10895</v>
      </c>
      <c r="C2757" s="461" t="s">
        <v>1104</v>
      </c>
      <c r="D2757" s="461">
        <v>14.69</v>
      </c>
      <c r="E2757" s="461" t="s">
        <v>161</v>
      </c>
      <c r="F2757" s="461" t="s">
        <v>8326</v>
      </c>
    </row>
    <row r="2758" spans="1:6" ht="15" x14ac:dyDescent="0.25">
      <c r="A2758" s="461">
        <v>38444</v>
      </c>
      <c r="B2758" s="460" t="s">
        <v>10896</v>
      </c>
      <c r="C2758" s="461" t="s">
        <v>1104</v>
      </c>
      <c r="D2758" s="461">
        <v>24.67</v>
      </c>
      <c r="E2758" s="461" t="s">
        <v>161</v>
      </c>
      <c r="F2758" s="461" t="s">
        <v>8326</v>
      </c>
    </row>
    <row r="2759" spans="1:6" ht="15" x14ac:dyDescent="0.25">
      <c r="A2759" s="461">
        <v>38445</v>
      </c>
      <c r="B2759" s="460" t="s">
        <v>10897</v>
      </c>
      <c r="C2759" s="461" t="s">
        <v>1104</v>
      </c>
      <c r="D2759" s="461">
        <v>45.74</v>
      </c>
      <c r="E2759" s="461" t="s">
        <v>161</v>
      </c>
      <c r="F2759" s="461" t="s">
        <v>8326</v>
      </c>
    </row>
    <row r="2760" spans="1:6" ht="15" x14ac:dyDescent="0.25">
      <c r="A2760" s="461">
        <v>38446</v>
      </c>
      <c r="B2760" s="460" t="s">
        <v>10898</v>
      </c>
      <c r="C2760" s="461" t="s">
        <v>1104</v>
      </c>
      <c r="D2760" s="461">
        <v>74.87</v>
      </c>
      <c r="E2760" s="461" t="s">
        <v>161</v>
      </c>
      <c r="F2760" s="461" t="s">
        <v>8326</v>
      </c>
    </row>
    <row r="2761" spans="1:6" ht="15" x14ac:dyDescent="0.25">
      <c r="A2761" s="461">
        <v>3837</v>
      </c>
      <c r="B2761" s="460" t="s">
        <v>10899</v>
      </c>
      <c r="C2761" s="461" t="s">
        <v>1104</v>
      </c>
      <c r="D2761" s="461">
        <v>36.64</v>
      </c>
      <c r="E2761" s="461" t="s">
        <v>161</v>
      </c>
      <c r="F2761" s="461" t="s">
        <v>8328</v>
      </c>
    </row>
    <row r="2762" spans="1:6" ht="15" x14ac:dyDescent="0.25">
      <c r="A2762" s="461">
        <v>3845</v>
      </c>
      <c r="B2762" s="460" t="s">
        <v>10900</v>
      </c>
      <c r="C2762" s="461" t="s">
        <v>1104</v>
      </c>
      <c r="D2762" s="461">
        <v>13.39</v>
      </c>
      <c r="E2762" s="461" t="s">
        <v>161</v>
      </c>
      <c r="F2762" s="461" t="s">
        <v>8328</v>
      </c>
    </row>
    <row r="2763" spans="1:6" ht="15" x14ac:dyDescent="0.25">
      <c r="A2763" s="461">
        <v>11045</v>
      </c>
      <c r="B2763" s="460" t="s">
        <v>10901</v>
      </c>
      <c r="C2763" s="461" t="s">
        <v>1104</v>
      </c>
      <c r="D2763" s="461">
        <v>25.82</v>
      </c>
      <c r="E2763" s="461" t="s">
        <v>161</v>
      </c>
      <c r="F2763" s="461" t="s">
        <v>8328</v>
      </c>
    </row>
    <row r="2764" spans="1:6" ht="15" x14ac:dyDescent="0.25">
      <c r="A2764" s="461">
        <v>20170</v>
      </c>
      <c r="B2764" s="460" t="s">
        <v>10902</v>
      </c>
      <c r="C2764" s="461" t="s">
        <v>1104</v>
      </c>
      <c r="D2764" s="461">
        <v>11.37</v>
      </c>
      <c r="E2764" s="461" t="s">
        <v>161</v>
      </c>
      <c r="F2764" s="461" t="s">
        <v>8326</v>
      </c>
    </row>
    <row r="2765" spans="1:6" ht="15" x14ac:dyDescent="0.25">
      <c r="A2765" s="461">
        <v>20171</v>
      </c>
      <c r="B2765" s="460" t="s">
        <v>10903</v>
      </c>
      <c r="C2765" s="461" t="s">
        <v>1104</v>
      </c>
      <c r="D2765" s="461">
        <v>32.799999999999997</v>
      </c>
      <c r="E2765" s="461" t="s">
        <v>161</v>
      </c>
      <c r="F2765" s="461" t="s">
        <v>8326</v>
      </c>
    </row>
    <row r="2766" spans="1:6" ht="15" x14ac:dyDescent="0.25">
      <c r="A2766" s="461">
        <v>20167</v>
      </c>
      <c r="B2766" s="460" t="s">
        <v>10904</v>
      </c>
      <c r="C2766" s="461" t="s">
        <v>1104</v>
      </c>
      <c r="D2766" s="461">
        <v>4.12</v>
      </c>
      <c r="E2766" s="461" t="s">
        <v>161</v>
      </c>
      <c r="F2766" s="461" t="s">
        <v>8326</v>
      </c>
    </row>
    <row r="2767" spans="1:6" ht="15" x14ac:dyDescent="0.25">
      <c r="A2767" s="461">
        <v>20168</v>
      </c>
      <c r="B2767" s="460" t="s">
        <v>10905</v>
      </c>
      <c r="C2767" s="461" t="s">
        <v>1104</v>
      </c>
      <c r="D2767" s="461">
        <v>8.49</v>
      </c>
      <c r="E2767" s="461" t="s">
        <v>161</v>
      </c>
      <c r="F2767" s="461" t="s">
        <v>8326</v>
      </c>
    </row>
    <row r="2768" spans="1:6" ht="15" x14ac:dyDescent="0.25">
      <c r="A2768" s="461">
        <v>20169</v>
      </c>
      <c r="B2768" s="460" t="s">
        <v>10906</v>
      </c>
      <c r="C2768" s="461" t="s">
        <v>1104</v>
      </c>
      <c r="D2768" s="461">
        <v>9.91</v>
      </c>
      <c r="E2768" s="461" t="s">
        <v>161</v>
      </c>
      <c r="F2768" s="461" t="s">
        <v>8326</v>
      </c>
    </row>
    <row r="2769" spans="1:6" ht="15" x14ac:dyDescent="0.25">
      <c r="A2769" s="461">
        <v>3899</v>
      </c>
      <c r="B2769" s="460" t="s">
        <v>10907</v>
      </c>
      <c r="C2769" s="461" t="s">
        <v>1104</v>
      </c>
      <c r="D2769" s="461">
        <v>5.49</v>
      </c>
      <c r="E2769" s="461" t="s">
        <v>161</v>
      </c>
      <c r="F2769" s="461" t="s">
        <v>8326</v>
      </c>
    </row>
    <row r="2770" spans="1:6" ht="15" x14ac:dyDescent="0.25">
      <c r="A2770" s="461">
        <v>38676</v>
      </c>
      <c r="B2770" s="460" t="s">
        <v>10908</v>
      </c>
      <c r="C2770" s="461" t="s">
        <v>1104</v>
      </c>
      <c r="D2770" s="461">
        <v>27.49</v>
      </c>
      <c r="E2770" s="461" t="s">
        <v>161</v>
      </c>
      <c r="F2770" s="461" t="s">
        <v>8326</v>
      </c>
    </row>
    <row r="2771" spans="1:6" ht="15" x14ac:dyDescent="0.25">
      <c r="A2771" s="461">
        <v>3897</v>
      </c>
      <c r="B2771" s="460" t="s">
        <v>10909</v>
      </c>
      <c r="C2771" s="461" t="s">
        <v>1104</v>
      </c>
      <c r="D2771" s="461">
        <v>1.34</v>
      </c>
      <c r="E2771" s="461" t="s">
        <v>161</v>
      </c>
      <c r="F2771" s="461" t="s">
        <v>8326</v>
      </c>
    </row>
    <row r="2772" spans="1:6" ht="15" x14ac:dyDescent="0.25">
      <c r="A2772" s="461">
        <v>3875</v>
      </c>
      <c r="B2772" s="460" t="s">
        <v>10910</v>
      </c>
      <c r="C2772" s="461" t="s">
        <v>1104</v>
      </c>
      <c r="D2772" s="461">
        <v>2.77</v>
      </c>
      <c r="E2772" s="461" t="s">
        <v>161</v>
      </c>
      <c r="F2772" s="461" t="s">
        <v>8326</v>
      </c>
    </row>
    <row r="2773" spans="1:6" ht="15" x14ac:dyDescent="0.25">
      <c r="A2773" s="461">
        <v>3898</v>
      </c>
      <c r="B2773" s="460" t="s">
        <v>10911</v>
      </c>
      <c r="C2773" s="461" t="s">
        <v>1104</v>
      </c>
      <c r="D2773" s="461">
        <v>5.62</v>
      </c>
      <c r="E2773" s="461" t="s">
        <v>161</v>
      </c>
      <c r="F2773" s="461" t="s">
        <v>8326</v>
      </c>
    </row>
    <row r="2774" spans="1:6" ht="15" x14ac:dyDescent="0.25">
      <c r="A2774" s="461">
        <v>3855</v>
      </c>
      <c r="B2774" s="460" t="s">
        <v>10912</v>
      </c>
      <c r="C2774" s="461" t="s">
        <v>1104</v>
      </c>
      <c r="D2774" s="461">
        <v>5.07</v>
      </c>
      <c r="E2774" s="461" t="s">
        <v>161</v>
      </c>
      <c r="F2774" s="461" t="s">
        <v>8326</v>
      </c>
    </row>
    <row r="2775" spans="1:6" ht="15" x14ac:dyDescent="0.25">
      <c r="A2775" s="461">
        <v>3874</v>
      </c>
      <c r="B2775" s="460" t="s">
        <v>10913</v>
      </c>
      <c r="C2775" s="461" t="s">
        <v>1104</v>
      </c>
      <c r="D2775" s="461">
        <v>5.88</v>
      </c>
      <c r="E2775" s="461" t="s">
        <v>161</v>
      </c>
      <c r="F2775" s="461" t="s">
        <v>8326</v>
      </c>
    </row>
    <row r="2776" spans="1:6" ht="15" x14ac:dyDescent="0.25">
      <c r="A2776" s="461">
        <v>3870</v>
      </c>
      <c r="B2776" s="460" t="s">
        <v>10914</v>
      </c>
      <c r="C2776" s="461" t="s">
        <v>1104</v>
      </c>
      <c r="D2776" s="461">
        <v>6.45</v>
      </c>
      <c r="E2776" s="461" t="s">
        <v>161</v>
      </c>
      <c r="F2776" s="461" t="s">
        <v>8326</v>
      </c>
    </row>
    <row r="2777" spans="1:6" ht="15" x14ac:dyDescent="0.25">
      <c r="A2777" s="461">
        <v>38678</v>
      </c>
      <c r="B2777" s="460" t="s">
        <v>10915</v>
      </c>
      <c r="C2777" s="461" t="s">
        <v>1104</v>
      </c>
      <c r="D2777" s="461">
        <v>17.07</v>
      </c>
      <c r="E2777" s="461" t="s">
        <v>161</v>
      </c>
      <c r="F2777" s="461" t="s">
        <v>8326</v>
      </c>
    </row>
    <row r="2778" spans="1:6" ht="15" x14ac:dyDescent="0.25">
      <c r="A2778" s="461">
        <v>3859</v>
      </c>
      <c r="B2778" s="460" t="s">
        <v>10916</v>
      </c>
      <c r="C2778" s="461" t="s">
        <v>1104</v>
      </c>
      <c r="D2778" s="461">
        <v>1.3</v>
      </c>
      <c r="E2778" s="461" t="s">
        <v>161</v>
      </c>
      <c r="F2778" s="461" t="s">
        <v>8326</v>
      </c>
    </row>
    <row r="2779" spans="1:6" ht="15" x14ac:dyDescent="0.25">
      <c r="A2779" s="461">
        <v>3856</v>
      </c>
      <c r="B2779" s="460" t="s">
        <v>10917</v>
      </c>
      <c r="C2779" s="461" t="s">
        <v>1104</v>
      </c>
      <c r="D2779" s="461">
        <v>1.8</v>
      </c>
      <c r="E2779" s="461" t="s">
        <v>161</v>
      </c>
      <c r="F2779" s="461" t="s">
        <v>8326</v>
      </c>
    </row>
    <row r="2780" spans="1:6" ht="15" x14ac:dyDescent="0.25">
      <c r="A2780" s="461">
        <v>3906</v>
      </c>
      <c r="B2780" s="460" t="s">
        <v>10918</v>
      </c>
      <c r="C2780" s="461" t="s">
        <v>1104</v>
      </c>
      <c r="D2780" s="461">
        <v>1.49</v>
      </c>
      <c r="E2780" s="461" t="s">
        <v>161</v>
      </c>
      <c r="F2780" s="461" t="s">
        <v>8326</v>
      </c>
    </row>
    <row r="2781" spans="1:6" ht="15" x14ac:dyDescent="0.25">
      <c r="A2781" s="461">
        <v>3860</v>
      </c>
      <c r="B2781" s="460" t="s">
        <v>10919</v>
      </c>
      <c r="C2781" s="461" t="s">
        <v>1104</v>
      </c>
      <c r="D2781" s="461">
        <v>4.42</v>
      </c>
      <c r="E2781" s="461" t="s">
        <v>161</v>
      </c>
      <c r="F2781" s="461" t="s">
        <v>8326</v>
      </c>
    </row>
    <row r="2782" spans="1:6" ht="15" x14ac:dyDescent="0.25">
      <c r="A2782" s="461">
        <v>3905</v>
      </c>
      <c r="B2782" s="460" t="s">
        <v>10920</v>
      </c>
      <c r="C2782" s="461" t="s">
        <v>1104</v>
      </c>
      <c r="D2782" s="461">
        <v>10.14</v>
      </c>
      <c r="E2782" s="461" t="s">
        <v>161</v>
      </c>
      <c r="F2782" s="461" t="s">
        <v>8326</v>
      </c>
    </row>
    <row r="2783" spans="1:6" ht="15" x14ac:dyDescent="0.25">
      <c r="A2783" s="461">
        <v>3871</v>
      </c>
      <c r="B2783" s="460" t="s">
        <v>10921</v>
      </c>
      <c r="C2783" s="461" t="s">
        <v>1104</v>
      </c>
      <c r="D2783" s="461">
        <v>17.95</v>
      </c>
      <c r="E2783" s="461" t="s">
        <v>161</v>
      </c>
      <c r="F2783" s="461" t="s">
        <v>8326</v>
      </c>
    </row>
    <row r="2784" spans="1:6" ht="30" x14ac:dyDescent="0.25">
      <c r="A2784" s="461">
        <v>39292</v>
      </c>
      <c r="B2784" s="460" t="s">
        <v>10922</v>
      </c>
      <c r="C2784" s="461" t="s">
        <v>1104</v>
      </c>
      <c r="D2784" s="461">
        <v>7.73</v>
      </c>
      <c r="E2784" s="461" t="s">
        <v>161</v>
      </c>
      <c r="F2784" s="461" t="s">
        <v>8328</v>
      </c>
    </row>
    <row r="2785" spans="1:6" ht="30" x14ac:dyDescent="0.25">
      <c r="A2785" s="461">
        <v>39293</v>
      </c>
      <c r="B2785" s="460" t="s">
        <v>10923</v>
      </c>
      <c r="C2785" s="461" t="s">
        <v>1104</v>
      </c>
      <c r="D2785" s="461">
        <v>12.02</v>
      </c>
      <c r="E2785" s="461" t="s">
        <v>161</v>
      </c>
      <c r="F2785" s="461" t="s">
        <v>8328</v>
      </c>
    </row>
    <row r="2786" spans="1:6" ht="30" x14ac:dyDescent="0.25">
      <c r="A2786" s="461">
        <v>39294</v>
      </c>
      <c r="B2786" s="460" t="s">
        <v>10924</v>
      </c>
      <c r="C2786" s="461" t="s">
        <v>1104</v>
      </c>
      <c r="D2786" s="461">
        <v>12.84</v>
      </c>
      <c r="E2786" s="461" t="s">
        <v>161</v>
      </c>
      <c r="F2786" s="461" t="s">
        <v>8328</v>
      </c>
    </row>
    <row r="2787" spans="1:6" ht="30" x14ac:dyDescent="0.25">
      <c r="A2787" s="461">
        <v>39295</v>
      </c>
      <c r="B2787" s="460" t="s">
        <v>10925</v>
      </c>
      <c r="C2787" s="461" t="s">
        <v>1104</v>
      </c>
      <c r="D2787" s="461">
        <v>17.670000000000002</v>
      </c>
      <c r="E2787" s="461" t="s">
        <v>161</v>
      </c>
      <c r="F2787" s="461" t="s">
        <v>8328</v>
      </c>
    </row>
    <row r="2788" spans="1:6" ht="30" x14ac:dyDescent="0.25">
      <c r="A2788" s="461">
        <v>39312</v>
      </c>
      <c r="B2788" s="460" t="s">
        <v>10926</v>
      </c>
      <c r="C2788" s="461" t="s">
        <v>1104</v>
      </c>
      <c r="D2788" s="461">
        <v>11.86</v>
      </c>
      <c r="E2788" s="461" t="s">
        <v>161</v>
      </c>
      <c r="F2788" s="461" t="s">
        <v>8328</v>
      </c>
    </row>
    <row r="2789" spans="1:6" ht="30" x14ac:dyDescent="0.25">
      <c r="A2789" s="461">
        <v>39313</v>
      </c>
      <c r="B2789" s="460" t="s">
        <v>10927</v>
      </c>
      <c r="C2789" s="461" t="s">
        <v>1104</v>
      </c>
      <c r="D2789" s="461">
        <v>15.93</v>
      </c>
      <c r="E2789" s="461" t="s">
        <v>161</v>
      </c>
      <c r="F2789" s="461" t="s">
        <v>8328</v>
      </c>
    </row>
    <row r="2790" spans="1:6" ht="30" x14ac:dyDescent="0.25">
      <c r="A2790" s="461">
        <v>39314</v>
      </c>
      <c r="B2790" s="460" t="s">
        <v>10928</v>
      </c>
      <c r="C2790" s="461" t="s">
        <v>1104</v>
      </c>
      <c r="D2790" s="461">
        <v>23.44</v>
      </c>
      <c r="E2790" s="461" t="s">
        <v>161</v>
      </c>
      <c r="F2790" s="461" t="s">
        <v>8328</v>
      </c>
    </row>
    <row r="2791" spans="1:6" ht="30" x14ac:dyDescent="0.25">
      <c r="A2791" s="461">
        <v>39296</v>
      </c>
      <c r="B2791" s="460" t="s">
        <v>10929</v>
      </c>
      <c r="C2791" s="461" t="s">
        <v>1104</v>
      </c>
      <c r="D2791" s="461">
        <v>7.05</v>
      </c>
      <c r="E2791" s="461" t="s">
        <v>161</v>
      </c>
      <c r="F2791" s="461" t="s">
        <v>8328</v>
      </c>
    </row>
    <row r="2792" spans="1:6" ht="30" x14ac:dyDescent="0.25">
      <c r="A2792" s="461">
        <v>39297</v>
      </c>
      <c r="B2792" s="460" t="s">
        <v>10930</v>
      </c>
      <c r="C2792" s="461" t="s">
        <v>1104</v>
      </c>
      <c r="D2792" s="461">
        <v>9.56</v>
      </c>
      <c r="E2792" s="461" t="s">
        <v>161</v>
      </c>
      <c r="F2792" s="461" t="s">
        <v>8328</v>
      </c>
    </row>
    <row r="2793" spans="1:6" ht="30" x14ac:dyDescent="0.25">
      <c r="A2793" s="461">
        <v>39298</v>
      </c>
      <c r="B2793" s="460" t="s">
        <v>10931</v>
      </c>
      <c r="C2793" s="461" t="s">
        <v>1104</v>
      </c>
      <c r="D2793" s="461">
        <v>18.350000000000001</v>
      </c>
      <c r="E2793" s="461" t="s">
        <v>161</v>
      </c>
      <c r="F2793" s="461" t="s">
        <v>8328</v>
      </c>
    </row>
    <row r="2794" spans="1:6" ht="30" x14ac:dyDescent="0.25">
      <c r="A2794" s="461">
        <v>39299</v>
      </c>
      <c r="B2794" s="460" t="s">
        <v>10932</v>
      </c>
      <c r="C2794" s="461" t="s">
        <v>1104</v>
      </c>
      <c r="D2794" s="461">
        <v>21.75</v>
      </c>
      <c r="E2794" s="461" t="s">
        <v>161</v>
      </c>
      <c r="F2794" s="461" t="s">
        <v>8328</v>
      </c>
    </row>
    <row r="2795" spans="1:6" ht="30" x14ac:dyDescent="0.25">
      <c r="A2795" s="461">
        <v>39308</v>
      </c>
      <c r="B2795" s="460" t="s">
        <v>10933</v>
      </c>
      <c r="C2795" s="461" t="s">
        <v>1104</v>
      </c>
      <c r="D2795" s="461">
        <v>5.88</v>
      </c>
      <c r="E2795" s="461" t="s">
        <v>161</v>
      </c>
      <c r="F2795" s="461" t="s">
        <v>8328</v>
      </c>
    </row>
    <row r="2796" spans="1:6" ht="30" x14ac:dyDescent="0.25">
      <c r="A2796" s="461">
        <v>39309</v>
      </c>
      <c r="B2796" s="460" t="s">
        <v>10934</v>
      </c>
      <c r="C2796" s="461" t="s">
        <v>1104</v>
      </c>
      <c r="D2796" s="461">
        <v>6.71</v>
      </c>
      <c r="E2796" s="461" t="s">
        <v>161</v>
      </c>
      <c r="F2796" s="461" t="s">
        <v>8328</v>
      </c>
    </row>
    <row r="2797" spans="1:6" ht="30" x14ac:dyDescent="0.25">
      <c r="A2797" s="461">
        <v>39310</v>
      </c>
      <c r="B2797" s="460" t="s">
        <v>10935</v>
      </c>
      <c r="C2797" s="461" t="s">
        <v>1104</v>
      </c>
      <c r="D2797" s="461">
        <v>12.52</v>
      </c>
      <c r="E2797" s="461" t="s">
        <v>161</v>
      </c>
      <c r="F2797" s="461" t="s">
        <v>8328</v>
      </c>
    </row>
    <row r="2798" spans="1:6" ht="30" x14ac:dyDescent="0.25">
      <c r="A2798" s="461">
        <v>39311</v>
      </c>
      <c r="B2798" s="460" t="s">
        <v>10936</v>
      </c>
      <c r="C2798" s="461" t="s">
        <v>1104</v>
      </c>
      <c r="D2798" s="461">
        <v>17.72</v>
      </c>
      <c r="E2798" s="461" t="s">
        <v>161</v>
      </c>
      <c r="F2798" s="461" t="s">
        <v>8328</v>
      </c>
    </row>
    <row r="2799" spans="1:6" ht="15" x14ac:dyDescent="0.25">
      <c r="A2799" s="461">
        <v>37427</v>
      </c>
      <c r="B2799" s="460" t="s">
        <v>10937</v>
      </c>
      <c r="C2799" s="461" t="s">
        <v>1104</v>
      </c>
      <c r="D2799" s="461">
        <v>60.11</v>
      </c>
      <c r="E2799" s="461" t="s">
        <v>161</v>
      </c>
      <c r="F2799" s="461" t="s">
        <v>8328</v>
      </c>
    </row>
    <row r="2800" spans="1:6" ht="15" x14ac:dyDescent="0.25">
      <c r="A2800" s="461">
        <v>37424</v>
      </c>
      <c r="B2800" s="460" t="s">
        <v>10938</v>
      </c>
      <c r="C2800" s="461" t="s">
        <v>1104</v>
      </c>
      <c r="D2800" s="461">
        <v>11.58</v>
      </c>
      <c r="E2800" s="461" t="s">
        <v>161</v>
      </c>
      <c r="F2800" s="461" t="s">
        <v>8328</v>
      </c>
    </row>
    <row r="2801" spans="1:6" ht="15" x14ac:dyDescent="0.25">
      <c r="A2801" s="461">
        <v>37428</v>
      </c>
      <c r="B2801" s="460" t="s">
        <v>10939</v>
      </c>
      <c r="C2801" s="461" t="s">
        <v>1104</v>
      </c>
      <c r="D2801" s="461">
        <v>207.17</v>
      </c>
      <c r="E2801" s="461" t="s">
        <v>161</v>
      </c>
      <c r="F2801" s="461" t="s">
        <v>8328</v>
      </c>
    </row>
    <row r="2802" spans="1:6" ht="15" x14ac:dyDescent="0.25">
      <c r="A2802" s="461">
        <v>37425</v>
      </c>
      <c r="B2802" s="460" t="s">
        <v>10940</v>
      </c>
      <c r="C2802" s="461" t="s">
        <v>1104</v>
      </c>
      <c r="D2802" s="461">
        <v>12.48</v>
      </c>
      <c r="E2802" s="461" t="s">
        <v>161</v>
      </c>
      <c r="F2802" s="461" t="s">
        <v>8328</v>
      </c>
    </row>
    <row r="2803" spans="1:6" ht="15" x14ac:dyDescent="0.25">
      <c r="A2803" s="461">
        <v>37429</v>
      </c>
      <c r="B2803" s="460" t="s">
        <v>13248</v>
      </c>
      <c r="C2803" s="461" t="s">
        <v>1104</v>
      </c>
      <c r="D2803" s="461">
        <v>2619.8200000000002</v>
      </c>
      <c r="E2803" s="461" t="s">
        <v>161</v>
      </c>
      <c r="F2803" s="461" t="s">
        <v>8328</v>
      </c>
    </row>
    <row r="2804" spans="1:6" ht="15" x14ac:dyDescent="0.25">
      <c r="A2804" s="461">
        <v>37426</v>
      </c>
      <c r="B2804" s="460" t="s">
        <v>13249</v>
      </c>
      <c r="C2804" s="461" t="s">
        <v>1104</v>
      </c>
      <c r="D2804" s="461">
        <v>25.2</v>
      </c>
      <c r="E2804" s="461" t="s">
        <v>161</v>
      </c>
      <c r="F2804" s="461" t="s">
        <v>8328</v>
      </c>
    </row>
    <row r="2805" spans="1:6" ht="30" x14ac:dyDescent="0.25">
      <c r="A2805" s="461">
        <v>11519</v>
      </c>
      <c r="B2805" s="460" t="s">
        <v>10941</v>
      </c>
      <c r="C2805" s="461" t="s">
        <v>1111</v>
      </c>
      <c r="D2805" s="461">
        <v>55.42</v>
      </c>
      <c r="E2805" s="461" t="s">
        <v>161</v>
      </c>
      <c r="F2805" s="461" t="s">
        <v>8326</v>
      </c>
    </row>
    <row r="2806" spans="1:6" ht="30" x14ac:dyDescent="0.25">
      <c r="A2806" s="461">
        <v>11520</v>
      </c>
      <c r="B2806" s="460" t="s">
        <v>10942</v>
      </c>
      <c r="C2806" s="461" t="s">
        <v>1111</v>
      </c>
      <c r="D2806" s="461">
        <v>25.62</v>
      </c>
      <c r="E2806" s="461" t="s">
        <v>161</v>
      </c>
      <c r="F2806" s="461" t="s">
        <v>8326</v>
      </c>
    </row>
    <row r="2807" spans="1:6" ht="30" x14ac:dyDescent="0.25">
      <c r="A2807" s="461">
        <v>11518</v>
      </c>
      <c r="B2807" s="460" t="s">
        <v>10943</v>
      </c>
      <c r="C2807" s="461" t="s">
        <v>1111</v>
      </c>
      <c r="D2807" s="461">
        <v>93.16</v>
      </c>
      <c r="E2807" s="461" t="s">
        <v>161</v>
      </c>
      <c r="F2807" s="461" t="s">
        <v>8326</v>
      </c>
    </row>
    <row r="2808" spans="1:6" ht="15" x14ac:dyDescent="0.25">
      <c r="A2808" s="461">
        <v>38473</v>
      </c>
      <c r="B2808" s="460" t="s">
        <v>10944</v>
      </c>
      <c r="C2808" s="461" t="s">
        <v>1104</v>
      </c>
      <c r="D2808" s="511">
        <v>131.72</v>
      </c>
      <c r="E2808" s="461" t="s">
        <v>161</v>
      </c>
      <c r="F2808" s="461" t="s">
        <v>8326</v>
      </c>
    </row>
    <row r="2809" spans="1:6" ht="15" x14ac:dyDescent="0.25">
      <c r="A2809" s="461">
        <v>4244</v>
      </c>
      <c r="B2809" s="460" t="s">
        <v>10945</v>
      </c>
      <c r="C2809" s="461" t="s">
        <v>1103</v>
      </c>
      <c r="D2809" s="461">
        <v>21.26</v>
      </c>
      <c r="E2809" s="461" t="s">
        <v>4455</v>
      </c>
      <c r="F2809" s="461" t="s">
        <v>8326</v>
      </c>
    </row>
    <row r="2810" spans="1:6" ht="15" x14ac:dyDescent="0.25">
      <c r="A2810" s="461">
        <v>40977</v>
      </c>
      <c r="B2810" s="460" t="s">
        <v>10946</v>
      </c>
      <c r="C2810" s="461" t="s">
        <v>1110</v>
      </c>
      <c r="D2810" s="461">
        <v>3788.96</v>
      </c>
      <c r="E2810" s="461" t="s">
        <v>4455</v>
      </c>
      <c r="F2810" s="461" t="s">
        <v>8326</v>
      </c>
    </row>
    <row r="2811" spans="1:6" ht="30" x14ac:dyDescent="0.25">
      <c r="A2811" s="461">
        <v>4115</v>
      </c>
      <c r="B2811" s="460" t="s">
        <v>10947</v>
      </c>
      <c r="C2811" s="461" t="s">
        <v>1107</v>
      </c>
      <c r="D2811" s="461">
        <v>28.47</v>
      </c>
      <c r="E2811" s="461" t="s">
        <v>161</v>
      </c>
      <c r="F2811" s="461" t="s">
        <v>8326</v>
      </c>
    </row>
    <row r="2812" spans="1:6" ht="30" x14ac:dyDescent="0.25">
      <c r="A2812" s="461">
        <v>4119</v>
      </c>
      <c r="B2812" s="460" t="s">
        <v>10948</v>
      </c>
      <c r="C2812" s="461" t="s">
        <v>1107</v>
      </c>
      <c r="D2812" s="461">
        <v>57.5</v>
      </c>
      <c r="E2812" s="461" t="s">
        <v>161</v>
      </c>
      <c r="F2812" s="461" t="s">
        <v>8326</v>
      </c>
    </row>
    <row r="2813" spans="1:6" ht="30" x14ac:dyDescent="0.25">
      <c r="A2813" s="461">
        <v>2794</v>
      </c>
      <c r="B2813" s="460" t="s">
        <v>10949</v>
      </c>
      <c r="C2813" s="461" t="s">
        <v>1107</v>
      </c>
      <c r="D2813" s="461">
        <v>152.55000000000001</v>
      </c>
      <c r="E2813" s="461" t="s">
        <v>161</v>
      </c>
      <c r="F2813" s="461" t="s">
        <v>8326</v>
      </c>
    </row>
    <row r="2814" spans="1:6" ht="30" x14ac:dyDescent="0.25">
      <c r="A2814" s="461">
        <v>2788</v>
      </c>
      <c r="B2814" s="460" t="s">
        <v>10950</v>
      </c>
      <c r="C2814" s="461" t="s">
        <v>1107</v>
      </c>
      <c r="D2814" s="461">
        <v>222.23</v>
      </c>
      <c r="E2814" s="461" t="s">
        <v>161</v>
      </c>
      <c r="F2814" s="461" t="s">
        <v>8326</v>
      </c>
    </row>
    <row r="2815" spans="1:6" ht="15" x14ac:dyDescent="0.25">
      <c r="A2815" s="461">
        <v>4006</v>
      </c>
      <c r="B2815" s="460" t="s">
        <v>10951</v>
      </c>
      <c r="C2815" s="461" t="s">
        <v>1105</v>
      </c>
      <c r="D2815" s="461">
        <v>1710.35</v>
      </c>
      <c r="E2815" s="461" t="s">
        <v>161</v>
      </c>
      <c r="F2815" s="461" t="s">
        <v>8326</v>
      </c>
    </row>
    <row r="2816" spans="1:6" ht="15" x14ac:dyDescent="0.25">
      <c r="A2816" s="461">
        <v>36151</v>
      </c>
      <c r="B2816" s="460" t="s">
        <v>10952</v>
      </c>
      <c r="C2816" s="461" t="s">
        <v>1104</v>
      </c>
      <c r="D2816" s="461">
        <v>31</v>
      </c>
      <c r="E2816" s="461" t="s">
        <v>161</v>
      </c>
      <c r="F2816" s="461" t="s">
        <v>8326</v>
      </c>
    </row>
    <row r="2817" spans="1:6" ht="15" x14ac:dyDescent="0.25">
      <c r="A2817" s="461">
        <v>37457</v>
      </c>
      <c r="B2817" s="460" t="s">
        <v>10953</v>
      </c>
      <c r="C2817" s="461" t="s">
        <v>1107</v>
      </c>
      <c r="D2817" s="461">
        <v>3.97</v>
      </c>
      <c r="E2817" s="461" t="s">
        <v>161</v>
      </c>
      <c r="F2817" s="461" t="s">
        <v>8326</v>
      </c>
    </row>
    <row r="2818" spans="1:6" ht="15" x14ac:dyDescent="0.25">
      <c r="A2818" s="461">
        <v>37456</v>
      </c>
      <c r="B2818" s="460" t="s">
        <v>10954</v>
      </c>
      <c r="C2818" s="461" t="s">
        <v>1107</v>
      </c>
      <c r="D2818" s="461">
        <v>2.09</v>
      </c>
      <c r="E2818" s="461" t="s">
        <v>161</v>
      </c>
      <c r="F2818" s="461" t="s">
        <v>8326</v>
      </c>
    </row>
    <row r="2819" spans="1:6" ht="30" x14ac:dyDescent="0.25">
      <c r="A2819" s="461">
        <v>37461</v>
      </c>
      <c r="B2819" s="460" t="s">
        <v>10955</v>
      </c>
      <c r="C2819" s="461" t="s">
        <v>1107</v>
      </c>
      <c r="D2819" s="511">
        <v>14.74</v>
      </c>
      <c r="E2819" s="461" t="s">
        <v>161</v>
      </c>
      <c r="F2819" s="461" t="s">
        <v>8326</v>
      </c>
    </row>
    <row r="2820" spans="1:6" ht="30" x14ac:dyDescent="0.25">
      <c r="A2820" s="461">
        <v>37460</v>
      </c>
      <c r="B2820" s="460" t="s">
        <v>10956</v>
      </c>
      <c r="C2820" s="461" t="s">
        <v>1107</v>
      </c>
      <c r="D2820" s="461">
        <v>20.13</v>
      </c>
      <c r="E2820" s="461" t="s">
        <v>161</v>
      </c>
      <c r="F2820" s="461" t="s">
        <v>8326</v>
      </c>
    </row>
    <row r="2821" spans="1:6" ht="15" x14ac:dyDescent="0.25">
      <c r="A2821" s="461">
        <v>37458</v>
      </c>
      <c r="B2821" s="460" t="s">
        <v>10957</v>
      </c>
      <c r="C2821" s="461" t="s">
        <v>1107</v>
      </c>
      <c r="D2821" s="461">
        <v>5.9</v>
      </c>
      <c r="E2821" s="461" t="s">
        <v>161</v>
      </c>
      <c r="F2821" s="461" t="s">
        <v>8333</v>
      </c>
    </row>
    <row r="2822" spans="1:6" ht="15" x14ac:dyDescent="0.25">
      <c r="A2822" s="461">
        <v>37454</v>
      </c>
      <c r="B2822" s="460" t="s">
        <v>10958</v>
      </c>
      <c r="C2822" s="461" t="s">
        <v>1107</v>
      </c>
      <c r="D2822" s="461">
        <v>1.55</v>
      </c>
      <c r="E2822" s="461" t="s">
        <v>161</v>
      </c>
      <c r="F2822" s="461" t="s">
        <v>8326</v>
      </c>
    </row>
    <row r="2823" spans="1:6" ht="15" x14ac:dyDescent="0.25">
      <c r="A2823" s="461">
        <v>37455</v>
      </c>
      <c r="B2823" s="460" t="s">
        <v>10959</v>
      </c>
      <c r="C2823" s="461" t="s">
        <v>1107</v>
      </c>
      <c r="D2823" s="461">
        <v>2.6</v>
      </c>
      <c r="E2823" s="461" t="s">
        <v>161</v>
      </c>
      <c r="F2823" s="461" t="s">
        <v>8326</v>
      </c>
    </row>
    <row r="2824" spans="1:6" ht="15" x14ac:dyDescent="0.25">
      <c r="A2824" s="461">
        <v>37459</v>
      </c>
      <c r="B2824" s="460" t="s">
        <v>10960</v>
      </c>
      <c r="C2824" s="461" t="s">
        <v>1107</v>
      </c>
      <c r="D2824" s="511">
        <v>8.2799999999999994</v>
      </c>
      <c r="E2824" s="461" t="s">
        <v>161</v>
      </c>
      <c r="F2824" s="461" t="s">
        <v>8326</v>
      </c>
    </row>
    <row r="2825" spans="1:6" ht="45" x14ac:dyDescent="0.25">
      <c r="A2825" s="461">
        <v>21029</v>
      </c>
      <c r="B2825" s="460" t="s">
        <v>10961</v>
      </c>
      <c r="C2825" s="461" t="s">
        <v>1104</v>
      </c>
      <c r="D2825" s="461">
        <v>355</v>
      </c>
      <c r="E2825" s="461" t="s">
        <v>161</v>
      </c>
      <c r="F2825" s="461" t="s">
        <v>8333</v>
      </c>
    </row>
    <row r="2826" spans="1:6" ht="45" x14ac:dyDescent="0.25">
      <c r="A2826" s="461">
        <v>21030</v>
      </c>
      <c r="B2826" s="460" t="s">
        <v>10962</v>
      </c>
      <c r="C2826" s="461" t="s">
        <v>1104</v>
      </c>
      <c r="D2826" s="461">
        <v>437.59</v>
      </c>
      <c r="E2826" s="461" t="s">
        <v>161</v>
      </c>
      <c r="F2826" s="461" t="s">
        <v>8326</v>
      </c>
    </row>
    <row r="2827" spans="1:6" ht="45" x14ac:dyDescent="0.25">
      <c r="A2827" s="461">
        <v>21031</v>
      </c>
      <c r="B2827" s="460" t="s">
        <v>10963</v>
      </c>
      <c r="C2827" s="461" t="s">
        <v>1104</v>
      </c>
      <c r="D2827" s="461">
        <v>544.79999999999995</v>
      </c>
      <c r="E2827" s="461" t="s">
        <v>161</v>
      </c>
      <c r="F2827" s="461" t="s">
        <v>8326</v>
      </c>
    </row>
    <row r="2828" spans="1:6" ht="45" x14ac:dyDescent="0.25">
      <c r="A2828" s="461">
        <v>21032</v>
      </c>
      <c r="B2828" s="460" t="s">
        <v>10964</v>
      </c>
      <c r="C2828" s="461" t="s">
        <v>1104</v>
      </c>
      <c r="D2828" s="461">
        <v>581.70000000000005</v>
      </c>
      <c r="E2828" s="461" t="s">
        <v>161</v>
      </c>
      <c r="F2828" s="461" t="s">
        <v>8326</v>
      </c>
    </row>
    <row r="2829" spans="1:6" ht="45" x14ac:dyDescent="0.25">
      <c r="A2829" s="461">
        <v>37527</v>
      </c>
      <c r="B2829" s="460" t="s">
        <v>10965</v>
      </c>
      <c r="C2829" s="461" t="s">
        <v>1104</v>
      </c>
      <c r="D2829" s="461">
        <v>525.47</v>
      </c>
      <c r="E2829" s="461" t="s">
        <v>161</v>
      </c>
      <c r="F2829" s="461" t="s">
        <v>8326</v>
      </c>
    </row>
    <row r="2830" spans="1:6" ht="30" x14ac:dyDescent="0.25">
      <c r="A2830" s="461">
        <v>37528</v>
      </c>
      <c r="B2830" s="460" t="s">
        <v>10966</v>
      </c>
      <c r="C2830" s="461" t="s">
        <v>1104</v>
      </c>
      <c r="D2830" s="461">
        <v>626.52</v>
      </c>
      <c r="E2830" s="461" t="s">
        <v>161</v>
      </c>
      <c r="F2830" s="461" t="s">
        <v>8326</v>
      </c>
    </row>
    <row r="2831" spans="1:6" ht="30" x14ac:dyDescent="0.25">
      <c r="A2831" s="461">
        <v>37529</v>
      </c>
      <c r="B2831" s="460" t="s">
        <v>10967</v>
      </c>
      <c r="C2831" s="461" t="s">
        <v>1104</v>
      </c>
      <c r="D2831" s="461">
        <v>632.66999999999996</v>
      </c>
      <c r="E2831" s="461" t="s">
        <v>161</v>
      </c>
      <c r="F2831" s="461" t="s">
        <v>8326</v>
      </c>
    </row>
    <row r="2832" spans="1:6" ht="30" x14ac:dyDescent="0.25">
      <c r="A2832" s="461">
        <v>37530</v>
      </c>
      <c r="B2832" s="460" t="s">
        <v>10968</v>
      </c>
      <c r="C2832" s="461" t="s">
        <v>1104</v>
      </c>
      <c r="D2832" s="461">
        <v>825.99</v>
      </c>
      <c r="E2832" s="461" t="s">
        <v>161</v>
      </c>
      <c r="F2832" s="461" t="s">
        <v>8326</v>
      </c>
    </row>
    <row r="2833" spans="1:6" ht="45" x14ac:dyDescent="0.25">
      <c r="A2833" s="461">
        <v>21034</v>
      </c>
      <c r="B2833" s="460" t="s">
        <v>10969</v>
      </c>
      <c r="C2833" s="461" t="s">
        <v>1104</v>
      </c>
      <c r="D2833" s="461">
        <v>704.72</v>
      </c>
      <c r="E2833" s="461" t="s">
        <v>161</v>
      </c>
      <c r="F2833" s="461" t="s">
        <v>8326</v>
      </c>
    </row>
    <row r="2834" spans="1:6" ht="30" x14ac:dyDescent="0.25">
      <c r="A2834" s="461">
        <v>37531</v>
      </c>
      <c r="B2834" s="460" t="s">
        <v>10970</v>
      </c>
      <c r="C2834" s="461" t="s">
        <v>1104</v>
      </c>
      <c r="D2834" s="461">
        <v>887.5</v>
      </c>
      <c r="E2834" s="461" t="s">
        <v>161</v>
      </c>
      <c r="F2834" s="461" t="s">
        <v>8326</v>
      </c>
    </row>
    <row r="2835" spans="1:6" ht="45" x14ac:dyDescent="0.25">
      <c r="A2835" s="461">
        <v>21036</v>
      </c>
      <c r="B2835" s="460" t="s">
        <v>10971</v>
      </c>
      <c r="C2835" s="461" t="s">
        <v>1104</v>
      </c>
      <c r="D2835" s="461">
        <v>1079.05</v>
      </c>
      <c r="E2835" s="461" t="s">
        <v>161</v>
      </c>
      <c r="F2835" s="461" t="s">
        <v>8326</v>
      </c>
    </row>
    <row r="2836" spans="1:6" ht="45" x14ac:dyDescent="0.25">
      <c r="A2836" s="461">
        <v>21037</v>
      </c>
      <c r="B2836" s="460" t="s">
        <v>10972</v>
      </c>
      <c r="C2836" s="461" t="s">
        <v>1104</v>
      </c>
      <c r="D2836" s="461">
        <v>1230.19</v>
      </c>
      <c r="E2836" s="461" t="s">
        <v>161</v>
      </c>
      <c r="F2836" s="461" t="s">
        <v>8326</v>
      </c>
    </row>
    <row r="2837" spans="1:6" ht="30" x14ac:dyDescent="0.25">
      <c r="A2837" s="461">
        <v>20185</v>
      </c>
      <c r="B2837" s="460" t="s">
        <v>10973</v>
      </c>
      <c r="C2837" s="461" t="s">
        <v>1107</v>
      </c>
      <c r="D2837" s="461">
        <v>23.96</v>
      </c>
      <c r="E2837" s="461" t="s">
        <v>161</v>
      </c>
      <c r="F2837" s="461" t="s">
        <v>8326</v>
      </c>
    </row>
    <row r="2838" spans="1:6" ht="30" x14ac:dyDescent="0.25">
      <c r="A2838" s="461">
        <v>20260</v>
      </c>
      <c r="B2838" s="460" t="s">
        <v>10974</v>
      </c>
      <c r="C2838" s="461" t="s">
        <v>1104</v>
      </c>
      <c r="D2838" s="461">
        <v>19.27</v>
      </c>
      <c r="E2838" s="461" t="s">
        <v>161</v>
      </c>
      <c r="F2838" s="461" t="s">
        <v>8326</v>
      </c>
    </row>
    <row r="2839" spans="1:6" ht="30" x14ac:dyDescent="0.25">
      <c r="A2839" s="461">
        <v>37523</v>
      </c>
      <c r="B2839" s="460" t="s">
        <v>10975</v>
      </c>
      <c r="C2839" s="461" t="s">
        <v>1104</v>
      </c>
      <c r="D2839" s="461">
        <v>579269.27</v>
      </c>
      <c r="E2839" s="461" t="s">
        <v>1497</v>
      </c>
      <c r="F2839" s="461" t="s">
        <v>8328</v>
      </c>
    </row>
    <row r="2840" spans="1:6" ht="30" x14ac:dyDescent="0.25">
      <c r="A2840" s="461">
        <v>37515</v>
      </c>
      <c r="B2840" s="460" t="s">
        <v>10976</v>
      </c>
      <c r="C2840" s="461" t="s">
        <v>1104</v>
      </c>
      <c r="D2840" s="461">
        <v>515000</v>
      </c>
      <c r="E2840" s="461" t="s">
        <v>1497</v>
      </c>
      <c r="F2840" s="461" t="s">
        <v>8328</v>
      </c>
    </row>
    <row r="2841" spans="1:6" ht="30" x14ac:dyDescent="0.25">
      <c r="A2841" s="461">
        <v>12899</v>
      </c>
      <c r="B2841" s="460" t="s">
        <v>10977</v>
      </c>
      <c r="C2841" s="461" t="s">
        <v>1104</v>
      </c>
      <c r="D2841" s="461">
        <v>104.89</v>
      </c>
      <c r="E2841" s="461" t="s">
        <v>161</v>
      </c>
      <c r="F2841" s="461" t="s">
        <v>8328</v>
      </c>
    </row>
    <row r="2842" spans="1:6" ht="30" x14ac:dyDescent="0.25">
      <c r="A2842" s="461">
        <v>12898</v>
      </c>
      <c r="B2842" s="460" t="s">
        <v>10978</v>
      </c>
      <c r="C2842" s="461" t="s">
        <v>1104</v>
      </c>
      <c r="D2842" s="461">
        <v>166.38</v>
      </c>
      <c r="E2842" s="461" t="s">
        <v>161</v>
      </c>
      <c r="F2842" s="461" t="s">
        <v>8328</v>
      </c>
    </row>
    <row r="2843" spans="1:6" ht="15" x14ac:dyDescent="0.25">
      <c r="A2843" s="461">
        <v>39699</v>
      </c>
      <c r="B2843" s="460" t="s">
        <v>10979</v>
      </c>
      <c r="C2843" s="461" t="s">
        <v>1106</v>
      </c>
      <c r="D2843" s="461">
        <v>17.46</v>
      </c>
      <c r="E2843" s="461" t="s">
        <v>161</v>
      </c>
      <c r="F2843" s="461" t="s">
        <v>8326</v>
      </c>
    </row>
    <row r="2844" spans="1:6" ht="15" x14ac:dyDescent="0.25">
      <c r="A2844" s="461">
        <v>42528</v>
      </c>
      <c r="B2844" s="460" t="s">
        <v>10980</v>
      </c>
      <c r="C2844" s="461" t="s">
        <v>1106</v>
      </c>
      <c r="D2844" s="511">
        <v>9.3800000000000008</v>
      </c>
      <c r="E2844" s="461" t="s">
        <v>161</v>
      </c>
      <c r="F2844" s="461" t="s">
        <v>8326</v>
      </c>
    </row>
    <row r="2845" spans="1:6" ht="15" x14ac:dyDescent="0.25">
      <c r="A2845" s="461">
        <v>39696</v>
      </c>
      <c r="B2845" s="460" t="s">
        <v>10981</v>
      </c>
      <c r="C2845" s="461" t="s">
        <v>1106</v>
      </c>
      <c r="D2845" s="511">
        <v>6.6</v>
      </c>
      <c r="E2845" s="461" t="s">
        <v>161</v>
      </c>
      <c r="F2845" s="461" t="s">
        <v>8333</v>
      </c>
    </row>
    <row r="2846" spans="1:6" ht="15" x14ac:dyDescent="0.25">
      <c r="A2846" s="461">
        <v>39700</v>
      </c>
      <c r="B2846" s="460" t="s">
        <v>10982</v>
      </c>
      <c r="C2846" s="461" t="s">
        <v>1106</v>
      </c>
      <c r="D2846" s="461">
        <v>23.4</v>
      </c>
      <c r="E2846" s="461" t="s">
        <v>161</v>
      </c>
      <c r="F2846" s="461" t="s">
        <v>8326</v>
      </c>
    </row>
    <row r="2847" spans="1:6" ht="30" x14ac:dyDescent="0.25">
      <c r="A2847" s="461">
        <v>11621</v>
      </c>
      <c r="B2847" s="460" t="s">
        <v>10983</v>
      </c>
      <c r="C2847" s="461" t="s">
        <v>1106</v>
      </c>
      <c r="D2847" s="461">
        <v>46.56</v>
      </c>
      <c r="E2847" s="461" t="s">
        <v>161</v>
      </c>
      <c r="F2847" s="461" t="s">
        <v>8326</v>
      </c>
    </row>
    <row r="2848" spans="1:6" ht="30" x14ac:dyDescent="0.25">
      <c r="A2848" s="461">
        <v>4014</v>
      </c>
      <c r="B2848" s="460" t="s">
        <v>10984</v>
      </c>
      <c r="C2848" s="461" t="s">
        <v>1106</v>
      </c>
      <c r="D2848" s="511">
        <v>48.17</v>
      </c>
      <c r="E2848" s="461" t="s">
        <v>161</v>
      </c>
      <c r="F2848" s="461" t="s">
        <v>8326</v>
      </c>
    </row>
    <row r="2849" spans="1:6" ht="30" x14ac:dyDescent="0.25">
      <c r="A2849" s="461">
        <v>4015</v>
      </c>
      <c r="B2849" s="460" t="s">
        <v>10985</v>
      </c>
      <c r="C2849" s="461" t="s">
        <v>1106</v>
      </c>
      <c r="D2849" s="511">
        <v>59.16</v>
      </c>
      <c r="E2849" s="461" t="s">
        <v>161</v>
      </c>
      <c r="F2849" s="461" t="s">
        <v>8326</v>
      </c>
    </row>
    <row r="2850" spans="1:6" ht="30" x14ac:dyDescent="0.25">
      <c r="A2850" s="461">
        <v>4017</v>
      </c>
      <c r="B2850" s="460" t="s">
        <v>10986</v>
      </c>
      <c r="C2850" s="461" t="s">
        <v>1106</v>
      </c>
      <c r="D2850" s="461">
        <v>86.08</v>
      </c>
      <c r="E2850" s="461" t="s">
        <v>161</v>
      </c>
      <c r="F2850" s="461" t="s">
        <v>8326</v>
      </c>
    </row>
    <row r="2851" spans="1:6" ht="30" x14ac:dyDescent="0.25">
      <c r="A2851" s="461">
        <v>4016</v>
      </c>
      <c r="B2851" s="460" t="s">
        <v>10987</v>
      </c>
      <c r="C2851" s="461" t="s">
        <v>1106</v>
      </c>
      <c r="D2851" s="461">
        <v>34</v>
      </c>
      <c r="E2851" s="461" t="s">
        <v>161</v>
      </c>
      <c r="F2851" s="461" t="s">
        <v>8333</v>
      </c>
    </row>
    <row r="2852" spans="1:6" ht="15" x14ac:dyDescent="0.25">
      <c r="A2852" s="461">
        <v>38544</v>
      </c>
      <c r="B2852" s="460" t="s">
        <v>10988</v>
      </c>
      <c r="C2852" s="461" t="s">
        <v>1106</v>
      </c>
      <c r="D2852" s="461">
        <v>8.7200000000000006</v>
      </c>
      <c r="E2852" s="461" t="s">
        <v>161</v>
      </c>
      <c r="F2852" s="461" t="s">
        <v>8326</v>
      </c>
    </row>
    <row r="2853" spans="1:6" ht="15" x14ac:dyDescent="0.25">
      <c r="A2853" s="461">
        <v>38545</v>
      </c>
      <c r="B2853" s="460" t="s">
        <v>10989</v>
      </c>
      <c r="C2853" s="461" t="s">
        <v>1106</v>
      </c>
      <c r="D2853" s="461">
        <v>5.6</v>
      </c>
      <c r="E2853" s="461" t="s">
        <v>161</v>
      </c>
      <c r="F2853" s="461" t="s">
        <v>8326</v>
      </c>
    </row>
    <row r="2854" spans="1:6" ht="30" x14ac:dyDescent="0.25">
      <c r="A2854" s="461">
        <v>42527</v>
      </c>
      <c r="B2854" s="460" t="s">
        <v>13250</v>
      </c>
      <c r="C2854" s="461" t="s">
        <v>1106</v>
      </c>
      <c r="D2854" s="461">
        <v>24.8</v>
      </c>
      <c r="E2854" s="461" t="s">
        <v>161</v>
      </c>
      <c r="F2854" s="461" t="s">
        <v>8326</v>
      </c>
    </row>
    <row r="2855" spans="1:6" ht="30" x14ac:dyDescent="0.25">
      <c r="A2855" s="461">
        <v>39323</v>
      </c>
      <c r="B2855" s="460" t="s">
        <v>10990</v>
      </c>
      <c r="C2855" s="461" t="s">
        <v>1106</v>
      </c>
      <c r="D2855" s="461">
        <v>21.39</v>
      </c>
      <c r="E2855" s="461" t="s">
        <v>161</v>
      </c>
      <c r="F2855" s="461" t="s">
        <v>8326</v>
      </c>
    </row>
    <row r="2856" spans="1:6" ht="45" x14ac:dyDescent="0.25">
      <c r="A2856" s="461">
        <v>626</v>
      </c>
      <c r="B2856" s="460" t="s">
        <v>13251</v>
      </c>
      <c r="C2856" s="461" t="s">
        <v>1108</v>
      </c>
      <c r="D2856" s="461">
        <v>21.17</v>
      </c>
      <c r="E2856" s="461" t="s">
        <v>161</v>
      </c>
      <c r="F2856" s="461" t="s">
        <v>8333</v>
      </c>
    </row>
    <row r="2857" spans="1:6" ht="15" x14ac:dyDescent="0.25">
      <c r="A2857" s="461">
        <v>44504</v>
      </c>
      <c r="B2857" s="460" t="s">
        <v>13252</v>
      </c>
      <c r="C2857" s="461" t="s">
        <v>1106</v>
      </c>
      <c r="D2857" s="461">
        <v>13.22</v>
      </c>
      <c r="E2857" s="461" t="s">
        <v>161</v>
      </c>
      <c r="F2857" s="461" t="s">
        <v>8328</v>
      </c>
    </row>
    <row r="2858" spans="1:6" ht="15" x14ac:dyDescent="0.25">
      <c r="A2858" s="461">
        <v>44505</v>
      </c>
      <c r="B2858" s="460" t="s">
        <v>10991</v>
      </c>
      <c r="C2858" s="461" t="s">
        <v>1106</v>
      </c>
      <c r="D2858" s="461">
        <v>19.95</v>
      </c>
      <c r="E2858" s="461" t="s">
        <v>161</v>
      </c>
      <c r="F2858" s="461" t="s">
        <v>8328</v>
      </c>
    </row>
    <row r="2859" spans="1:6" ht="15" x14ac:dyDescent="0.25">
      <c r="A2859" s="461">
        <v>44506</v>
      </c>
      <c r="B2859" s="460" t="s">
        <v>10992</v>
      </c>
      <c r="C2859" s="461" t="s">
        <v>1106</v>
      </c>
      <c r="D2859" s="461">
        <v>21.17</v>
      </c>
      <c r="E2859" s="461" t="s">
        <v>161</v>
      </c>
      <c r="F2859" s="461" t="s">
        <v>8328</v>
      </c>
    </row>
    <row r="2860" spans="1:6" ht="15" x14ac:dyDescent="0.25">
      <c r="A2860" s="461">
        <v>44507</v>
      </c>
      <c r="B2860" s="460" t="s">
        <v>10993</v>
      </c>
      <c r="C2860" s="461" t="s">
        <v>1106</v>
      </c>
      <c r="D2860" s="461">
        <v>26.47</v>
      </c>
      <c r="E2860" s="461" t="s">
        <v>161</v>
      </c>
      <c r="F2860" s="461" t="s">
        <v>8328</v>
      </c>
    </row>
    <row r="2861" spans="1:6" ht="15" x14ac:dyDescent="0.25">
      <c r="A2861" s="461">
        <v>44508</v>
      </c>
      <c r="B2861" s="460" t="s">
        <v>10994</v>
      </c>
      <c r="C2861" s="461" t="s">
        <v>1106</v>
      </c>
      <c r="D2861" s="461">
        <v>39.700000000000003</v>
      </c>
      <c r="E2861" s="461" t="s">
        <v>161</v>
      </c>
      <c r="F2861" s="461" t="s">
        <v>8328</v>
      </c>
    </row>
    <row r="2862" spans="1:6" ht="15" x14ac:dyDescent="0.25">
      <c r="A2862" s="461">
        <v>44509</v>
      </c>
      <c r="B2862" s="460" t="s">
        <v>10995</v>
      </c>
      <c r="C2862" s="461" t="s">
        <v>1106</v>
      </c>
      <c r="D2862" s="461">
        <v>53.18</v>
      </c>
      <c r="E2862" s="461" t="s">
        <v>161</v>
      </c>
      <c r="F2862" s="461" t="s">
        <v>8328</v>
      </c>
    </row>
    <row r="2863" spans="1:6" ht="15" x14ac:dyDescent="0.25">
      <c r="A2863" s="461">
        <v>44510</v>
      </c>
      <c r="B2863" s="460" t="s">
        <v>10996</v>
      </c>
      <c r="C2863" s="461" t="s">
        <v>1106</v>
      </c>
      <c r="D2863" s="461">
        <v>66.03</v>
      </c>
      <c r="E2863" s="461" t="s">
        <v>161</v>
      </c>
      <c r="F2863" s="461" t="s">
        <v>8328</v>
      </c>
    </row>
    <row r="2864" spans="1:6" ht="30" x14ac:dyDescent="0.25">
      <c r="A2864" s="461">
        <v>44512</v>
      </c>
      <c r="B2864" s="460" t="s">
        <v>10997</v>
      </c>
      <c r="C2864" s="461" t="s">
        <v>1106</v>
      </c>
      <c r="D2864" s="461">
        <v>14.74</v>
      </c>
      <c r="E2864" s="461" t="s">
        <v>161</v>
      </c>
      <c r="F2864" s="461" t="s">
        <v>8328</v>
      </c>
    </row>
    <row r="2865" spans="1:6" ht="30" x14ac:dyDescent="0.25">
      <c r="A2865" s="461">
        <v>44513</v>
      </c>
      <c r="B2865" s="460" t="s">
        <v>10998</v>
      </c>
      <c r="C2865" s="461" t="s">
        <v>1106</v>
      </c>
      <c r="D2865" s="461">
        <v>20.8</v>
      </c>
      <c r="E2865" s="461" t="s">
        <v>161</v>
      </c>
      <c r="F2865" s="461" t="s">
        <v>8328</v>
      </c>
    </row>
    <row r="2866" spans="1:6" ht="30" x14ac:dyDescent="0.25">
      <c r="A2866" s="461">
        <v>44514</v>
      </c>
      <c r="B2866" s="460" t="s">
        <v>10999</v>
      </c>
      <c r="C2866" s="461" t="s">
        <v>1106</v>
      </c>
      <c r="D2866" s="461">
        <v>23.58</v>
      </c>
      <c r="E2866" s="461" t="s">
        <v>161</v>
      </c>
      <c r="F2866" s="461" t="s">
        <v>8328</v>
      </c>
    </row>
    <row r="2867" spans="1:6" ht="30" x14ac:dyDescent="0.25">
      <c r="A2867" s="461">
        <v>44515</v>
      </c>
      <c r="B2867" s="460" t="s">
        <v>11000</v>
      </c>
      <c r="C2867" s="461" t="s">
        <v>1106</v>
      </c>
      <c r="D2867" s="461">
        <v>28.96</v>
      </c>
      <c r="E2867" s="461" t="s">
        <v>161</v>
      </c>
      <c r="F2867" s="461" t="s">
        <v>8328</v>
      </c>
    </row>
    <row r="2868" spans="1:6" ht="30" x14ac:dyDescent="0.25">
      <c r="A2868" s="461">
        <v>44511</v>
      </c>
      <c r="B2868" s="460" t="s">
        <v>11001</v>
      </c>
      <c r="C2868" s="461" t="s">
        <v>1106</v>
      </c>
      <c r="D2868" s="461">
        <v>42.86</v>
      </c>
      <c r="E2868" s="461" t="s">
        <v>161</v>
      </c>
      <c r="F2868" s="461" t="s">
        <v>8328</v>
      </c>
    </row>
    <row r="2869" spans="1:6" ht="30" x14ac:dyDescent="0.25">
      <c r="A2869" s="461">
        <v>44516</v>
      </c>
      <c r="B2869" s="460" t="s">
        <v>11002</v>
      </c>
      <c r="C2869" s="461" t="s">
        <v>1106</v>
      </c>
      <c r="D2869" s="461">
        <v>57.93</v>
      </c>
      <c r="E2869" s="461" t="s">
        <v>161</v>
      </c>
      <c r="F2869" s="461" t="s">
        <v>8328</v>
      </c>
    </row>
    <row r="2870" spans="1:6" ht="30" x14ac:dyDescent="0.25">
      <c r="A2870" s="461">
        <v>44517</v>
      </c>
      <c r="B2870" s="460" t="s">
        <v>11003</v>
      </c>
      <c r="C2870" s="461" t="s">
        <v>1106</v>
      </c>
      <c r="D2870" s="461">
        <v>72.25</v>
      </c>
      <c r="E2870" s="461" t="s">
        <v>161</v>
      </c>
      <c r="F2870" s="461" t="s">
        <v>8328</v>
      </c>
    </row>
    <row r="2871" spans="1:6" ht="15" x14ac:dyDescent="0.25">
      <c r="A2871" s="461">
        <v>11479</v>
      </c>
      <c r="B2871" s="460" t="s">
        <v>11004</v>
      </c>
      <c r="C2871" s="461" t="s">
        <v>1104</v>
      </c>
      <c r="D2871" s="461">
        <v>38.909999999999997</v>
      </c>
      <c r="E2871" s="461" t="s">
        <v>161</v>
      </c>
      <c r="F2871" s="461" t="s">
        <v>8326</v>
      </c>
    </row>
    <row r="2872" spans="1:6" ht="15" x14ac:dyDescent="0.25">
      <c r="A2872" s="461">
        <v>11481</v>
      </c>
      <c r="B2872" s="460" t="s">
        <v>11005</v>
      </c>
      <c r="C2872" s="461" t="s">
        <v>1104</v>
      </c>
      <c r="D2872" s="461">
        <v>35.200000000000003</v>
      </c>
      <c r="E2872" s="461" t="s">
        <v>161</v>
      </c>
      <c r="F2872" s="461" t="s">
        <v>8326</v>
      </c>
    </row>
    <row r="2873" spans="1:6" ht="15" x14ac:dyDescent="0.25">
      <c r="A2873" s="461">
        <v>43609</v>
      </c>
      <c r="B2873" s="460" t="s">
        <v>11006</v>
      </c>
      <c r="C2873" s="461" t="s">
        <v>1104</v>
      </c>
      <c r="D2873" s="461">
        <v>35.200000000000003</v>
      </c>
      <c r="E2873" s="461" t="s">
        <v>161</v>
      </c>
      <c r="F2873" s="461" t="s">
        <v>8326</v>
      </c>
    </row>
    <row r="2874" spans="1:6" ht="15" x14ac:dyDescent="0.25">
      <c r="A2874" s="461">
        <v>11478</v>
      </c>
      <c r="B2874" s="460" t="s">
        <v>11007</v>
      </c>
      <c r="C2874" s="461" t="s">
        <v>1104</v>
      </c>
      <c r="D2874" s="461">
        <v>66.760000000000005</v>
      </c>
      <c r="E2874" s="461" t="s">
        <v>161</v>
      </c>
      <c r="F2874" s="461" t="s">
        <v>8326</v>
      </c>
    </row>
    <row r="2875" spans="1:6" ht="15" x14ac:dyDescent="0.25">
      <c r="A2875" s="461">
        <v>43608</v>
      </c>
      <c r="B2875" s="460" t="s">
        <v>11008</v>
      </c>
      <c r="C2875" s="461" t="s">
        <v>1104</v>
      </c>
      <c r="D2875" s="461">
        <v>50.95</v>
      </c>
      <c r="E2875" s="461" t="s">
        <v>161</v>
      </c>
      <c r="F2875" s="461" t="s">
        <v>8326</v>
      </c>
    </row>
    <row r="2876" spans="1:6" ht="15" x14ac:dyDescent="0.25">
      <c r="A2876" s="461">
        <v>11476</v>
      </c>
      <c r="B2876" s="460" t="s">
        <v>11009</v>
      </c>
      <c r="C2876" s="461" t="s">
        <v>1104</v>
      </c>
      <c r="D2876" s="461">
        <v>50.95</v>
      </c>
      <c r="E2876" s="461" t="s">
        <v>161</v>
      </c>
      <c r="F2876" s="461" t="s">
        <v>8326</v>
      </c>
    </row>
    <row r="2877" spans="1:6" ht="30" x14ac:dyDescent="0.25">
      <c r="A2877" s="461">
        <v>40637</v>
      </c>
      <c r="B2877" s="460" t="s">
        <v>11010</v>
      </c>
      <c r="C2877" s="461" t="s">
        <v>1104</v>
      </c>
      <c r="D2877" s="461">
        <v>793072.01</v>
      </c>
      <c r="E2877" s="461" t="s">
        <v>1497</v>
      </c>
      <c r="F2877" s="461" t="s">
        <v>8328</v>
      </c>
    </row>
    <row r="2878" spans="1:6" ht="30" x14ac:dyDescent="0.25">
      <c r="A2878" s="461">
        <v>13836</v>
      </c>
      <c r="B2878" s="460" t="s">
        <v>11011</v>
      </c>
      <c r="C2878" s="461" t="s">
        <v>1104</v>
      </c>
      <c r="D2878" s="461">
        <v>67210.86</v>
      </c>
      <c r="E2878" s="461" t="s">
        <v>1497</v>
      </c>
      <c r="F2878" s="461" t="s">
        <v>8328</v>
      </c>
    </row>
    <row r="2879" spans="1:6" ht="45" x14ac:dyDescent="0.25">
      <c r="A2879" s="461">
        <v>14534</v>
      </c>
      <c r="B2879" s="460" t="s">
        <v>11012</v>
      </c>
      <c r="C2879" s="461" t="s">
        <v>1104</v>
      </c>
      <c r="D2879" s="461">
        <v>28136.25</v>
      </c>
      <c r="E2879" s="461" t="s">
        <v>1497</v>
      </c>
      <c r="F2879" s="461" t="s">
        <v>8328</v>
      </c>
    </row>
    <row r="2880" spans="1:6" ht="30" x14ac:dyDescent="0.25">
      <c r="A2880" s="461">
        <v>14619</v>
      </c>
      <c r="B2880" s="460" t="s">
        <v>13253</v>
      </c>
      <c r="C2880" s="461" t="s">
        <v>1104</v>
      </c>
      <c r="D2880" s="461">
        <v>18013.7</v>
      </c>
      <c r="E2880" s="461" t="s">
        <v>1497</v>
      </c>
      <c r="F2880" s="461" t="s">
        <v>8326</v>
      </c>
    </row>
    <row r="2881" spans="1:6" ht="45" x14ac:dyDescent="0.25">
      <c r="A2881" s="461">
        <v>14535</v>
      </c>
      <c r="B2881" s="460" t="s">
        <v>11013</v>
      </c>
      <c r="C2881" s="461" t="s">
        <v>1104</v>
      </c>
      <c r="D2881" s="461">
        <v>279254.93</v>
      </c>
      <c r="E2881" s="461" t="s">
        <v>1497</v>
      </c>
      <c r="F2881" s="461" t="s">
        <v>8328</v>
      </c>
    </row>
    <row r="2882" spans="1:6" ht="60" x14ac:dyDescent="0.25">
      <c r="A2882" s="461">
        <v>39813</v>
      </c>
      <c r="B2882" s="460" t="s">
        <v>11014</v>
      </c>
      <c r="C2882" s="461" t="s">
        <v>1104</v>
      </c>
      <c r="D2882" s="461">
        <v>37192.379999999997</v>
      </c>
      <c r="E2882" s="461" t="s">
        <v>1497</v>
      </c>
      <c r="F2882" s="461" t="s">
        <v>8328</v>
      </c>
    </row>
    <row r="2883" spans="1:6" ht="45" x14ac:dyDescent="0.25">
      <c r="A2883" s="461">
        <v>40403</v>
      </c>
      <c r="B2883" s="460" t="s">
        <v>11015</v>
      </c>
      <c r="C2883" s="461" t="s">
        <v>1104</v>
      </c>
      <c r="D2883" s="461">
        <v>436.75</v>
      </c>
      <c r="E2883" s="461" t="s">
        <v>1497</v>
      </c>
      <c r="F2883" s="461" t="s">
        <v>8326</v>
      </c>
    </row>
    <row r="2884" spans="1:6" ht="15" x14ac:dyDescent="0.25">
      <c r="A2884" s="461">
        <v>12868</v>
      </c>
      <c r="B2884" s="460" t="s">
        <v>11016</v>
      </c>
      <c r="C2884" s="461" t="s">
        <v>1103</v>
      </c>
      <c r="D2884" s="461">
        <v>20.21</v>
      </c>
      <c r="E2884" s="461" t="s">
        <v>4455</v>
      </c>
      <c r="F2884" s="461" t="s">
        <v>8326</v>
      </c>
    </row>
    <row r="2885" spans="1:6" ht="15" x14ac:dyDescent="0.25">
      <c r="A2885" s="461">
        <v>40916</v>
      </c>
      <c r="B2885" s="460" t="s">
        <v>11017</v>
      </c>
      <c r="C2885" s="461" t="s">
        <v>1110</v>
      </c>
      <c r="D2885" s="461">
        <v>3602.21</v>
      </c>
      <c r="E2885" s="461" t="s">
        <v>4455</v>
      </c>
      <c r="F2885" s="461" t="s">
        <v>8326</v>
      </c>
    </row>
    <row r="2886" spans="1:6" ht="15" x14ac:dyDescent="0.25">
      <c r="A2886" s="461">
        <v>4755</v>
      </c>
      <c r="B2886" s="460" t="s">
        <v>11018</v>
      </c>
      <c r="C2886" s="461" t="s">
        <v>1103</v>
      </c>
      <c r="D2886" s="511">
        <v>21.83</v>
      </c>
      <c r="E2886" s="461" t="s">
        <v>4455</v>
      </c>
      <c r="F2886" s="461" t="s">
        <v>8326</v>
      </c>
    </row>
    <row r="2887" spans="1:6" ht="15" x14ac:dyDescent="0.25">
      <c r="A2887" s="461">
        <v>41067</v>
      </c>
      <c r="B2887" s="460" t="s">
        <v>11019</v>
      </c>
      <c r="C2887" s="461" t="s">
        <v>1110</v>
      </c>
      <c r="D2887" s="511">
        <v>3886.77</v>
      </c>
      <c r="E2887" s="461" t="s">
        <v>4455</v>
      </c>
      <c r="F2887" s="461" t="s">
        <v>8326</v>
      </c>
    </row>
    <row r="2888" spans="1:6" ht="15" x14ac:dyDescent="0.25">
      <c r="A2888" s="461">
        <v>38463</v>
      </c>
      <c r="B2888" s="460" t="s">
        <v>11020</v>
      </c>
      <c r="C2888" s="461" t="s">
        <v>1104</v>
      </c>
      <c r="D2888" s="511">
        <v>32</v>
      </c>
      <c r="E2888" s="461" t="s">
        <v>161</v>
      </c>
      <c r="F2888" s="461" t="s">
        <v>8326</v>
      </c>
    </row>
    <row r="2889" spans="1:6" ht="30" x14ac:dyDescent="0.25">
      <c r="A2889" s="461">
        <v>40703</v>
      </c>
      <c r="B2889" s="460" t="s">
        <v>11021</v>
      </c>
      <c r="C2889" s="461" t="s">
        <v>1104</v>
      </c>
      <c r="D2889" s="511">
        <v>11109.46</v>
      </c>
      <c r="E2889" s="461" t="s">
        <v>1497</v>
      </c>
      <c r="F2889" s="461" t="s">
        <v>8328</v>
      </c>
    </row>
    <row r="2890" spans="1:6" ht="30" x14ac:dyDescent="0.25">
      <c r="A2890" s="461">
        <v>14531</v>
      </c>
      <c r="B2890" s="460" t="s">
        <v>11022</v>
      </c>
      <c r="C2890" s="461" t="s">
        <v>1104</v>
      </c>
      <c r="D2890" s="511">
        <v>20712.22</v>
      </c>
      <c r="E2890" s="461" t="s">
        <v>1497</v>
      </c>
      <c r="F2890" s="461" t="s">
        <v>8328</v>
      </c>
    </row>
    <row r="2891" spans="1:6" ht="30" x14ac:dyDescent="0.25">
      <c r="A2891" s="461">
        <v>36533</v>
      </c>
      <c r="B2891" s="460" t="s">
        <v>11023</v>
      </c>
      <c r="C2891" s="461" t="s">
        <v>1104</v>
      </c>
      <c r="D2891" s="511">
        <v>23834.47</v>
      </c>
      <c r="E2891" s="461" t="s">
        <v>1497</v>
      </c>
      <c r="F2891" s="461" t="s">
        <v>8328</v>
      </c>
    </row>
    <row r="2892" spans="1:6" ht="15" x14ac:dyDescent="0.25">
      <c r="A2892" s="461">
        <v>11616</v>
      </c>
      <c r="B2892" s="460" t="s">
        <v>11024</v>
      </c>
      <c r="C2892" s="461" t="s">
        <v>1104</v>
      </c>
      <c r="D2892" s="461">
        <v>22511.3</v>
      </c>
      <c r="E2892" s="461" t="s">
        <v>1497</v>
      </c>
      <c r="F2892" s="461" t="s">
        <v>8328</v>
      </c>
    </row>
    <row r="2893" spans="1:6" ht="15" x14ac:dyDescent="0.25">
      <c r="A2893" s="461">
        <v>41898</v>
      </c>
      <c r="B2893" s="460" t="s">
        <v>13254</v>
      </c>
      <c r="C2893" s="461" t="s">
        <v>1104</v>
      </c>
      <c r="D2893" s="461">
        <v>25328.28</v>
      </c>
      <c r="E2893" s="461" t="s">
        <v>1497</v>
      </c>
      <c r="F2893" s="461" t="s">
        <v>8328</v>
      </c>
    </row>
    <row r="2894" spans="1:6" ht="30" x14ac:dyDescent="0.25">
      <c r="A2894" s="461">
        <v>13447</v>
      </c>
      <c r="B2894" s="460" t="s">
        <v>11025</v>
      </c>
      <c r="C2894" s="461" t="s">
        <v>1104</v>
      </c>
      <c r="D2894" s="511">
        <v>46605.77</v>
      </c>
      <c r="E2894" s="461" t="s">
        <v>1497</v>
      </c>
      <c r="F2894" s="461" t="s">
        <v>8328</v>
      </c>
    </row>
    <row r="2895" spans="1:6" ht="15" x14ac:dyDescent="0.25">
      <c r="A2895" s="461">
        <v>14529</v>
      </c>
      <c r="B2895" s="460" t="s">
        <v>11026</v>
      </c>
      <c r="C2895" s="461" t="s">
        <v>1104</v>
      </c>
      <c r="D2895" s="461">
        <v>26065.42</v>
      </c>
      <c r="E2895" s="461" t="s">
        <v>1497</v>
      </c>
      <c r="F2895" s="461" t="s">
        <v>8328</v>
      </c>
    </row>
    <row r="2896" spans="1:6" ht="15" x14ac:dyDescent="0.25">
      <c r="A2896" s="461">
        <v>10747</v>
      </c>
      <c r="B2896" s="460" t="s">
        <v>11027</v>
      </c>
      <c r="C2896" s="461" t="s">
        <v>1104</v>
      </c>
      <c r="D2896" s="511">
        <v>25574.16</v>
      </c>
      <c r="E2896" s="461" t="s">
        <v>1497</v>
      </c>
      <c r="F2896" s="461" t="s">
        <v>8328</v>
      </c>
    </row>
    <row r="2897" spans="1:6" ht="30" x14ac:dyDescent="0.25">
      <c r="A2897" s="461">
        <v>36141</v>
      </c>
      <c r="B2897" s="460" t="s">
        <v>11028</v>
      </c>
      <c r="C2897" s="461" t="s">
        <v>1104</v>
      </c>
      <c r="D2897" s="461">
        <v>41.85</v>
      </c>
      <c r="E2897" s="461" t="s">
        <v>161</v>
      </c>
      <c r="F2897" s="461" t="s">
        <v>8326</v>
      </c>
    </row>
    <row r="2898" spans="1:6" ht="15" x14ac:dyDescent="0.25">
      <c r="A2898" s="461">
        <v>43651</v>
      </c>
      <c r="B2898" s="460" t="s">
        <v>11029</v>
      </c>
      <c r="C2898" s="461" t="s">
        <v>1108</v>
      </c>
      <c r="D2898" s="511">
        <v>7.52</v>
      </c>
      <c r="E2898" s="461" t="s">
        <v>161</v>
      </c>
      <c r="F2898" s="461" t="s">
        <v>8326</v>
      </c>
    </row>
    <row r="2899" spans="1:6" ht="15" x14ac:dyDescent="0.25">
      <c r="A2899" s="461">
        <v>43626</v>
      </c>
      <c r="B2899" s="460" t="s">
        <v>11030</v>
      </c>
      <c r="C2899" s="461" t="s">
        <v>1108</v>
      </c>
      <c r="D2899" s="511">
        <v>4.18</v>
      </c>
      <c r="E2899" s="461" t="s">
        <v>161</v>
      </c>
      <c r="F2899" s="461" t="s">
        <v>8333</v>
      </c>
    </row>
    <row r="2900" spans="1:6" ht="30" x14ac:dyDescent="0.25">
      <c r="A2900" s="461">
        <v>39434</v>
      </c>
      <c r="B2900" s="460" t="s">
        <v>11031</v>
      </c>
      <c r="C2900" s="461" t="s">
        <v>1108</v>
      </c>
      <c r="D2900" s="511">
        <v>3.09</v>
      </c>
      <c r="E2900" s="461" t="s">
        <v>161</v>
      </c>
      <c r="F2900" s="461" t="s">
        <v>8326</v>
      </c>
    </row>
    <row r="2901" spans="1:6" ht="30" x14ac:dyDescent="0.25">
      <c r="A2901" s="461">
        <v>39433</v>
      </c>
      <c r="B2901" s="460" t="s">
        <v>11032</v>
      </c>
      <c r="C2901" s="461" t="s">
        <v>1108</v>
      </c>
      <c r="D2901" s="511">
        <v>2.46</v>
      </c>
      <c r="E2901" s="461" t="s">
        <v>161</v>
      </c>
      <c r="F2901" s="461" t="s">
        <v>8326</v>
      </c>
    </row>
    <row r="2902" spans="1:6" ht="15" x14ac:dyDescent="0.25">
      <c r="A2902" s="461">
        <v>4049</v>
      </c>
      <c r="B2902" s="460" t="s">
        <v>13255</v>
      </c>
      <c r="C2902" s="461" t="s">
        <v>1109</v>
      </c>
      <c r="D2902" s="511">
        <v>83.89</v>
      </c>
      <c r="E2902" s="461" t="s">
        <v>161</v>
      </c>
      <c r="F2902" s="461" t="s">
        <v>8326</v>
      </c>
    </row>
    <row r="2903" spans="1:6" ht="15" x14ac:dyDescent="0.25">
      <c r="A2903" s="461">
        <v>38120</v>
      </c>
      <c r="B2903" s="460" t="s">
        <v>11033</v>
      </c>
      <c r="C2903" s="461" t="s">
        <v>1108</v>
      </c>
      <c r="D2903" s="511">
        <v>150.66</v>
      </c>
      <c r="E2903" s="461" t="s">
        <v>161</v>
      </c>
      <c r="F2903" s="461" t="s">
        <v>8326</v>
      </c>
    </row>
    <row r="2904" spans="1:6" ht="15" x14ac:dyDescent="0.25">
      <c r="A2904" s="461">
        <v>43652</v>
      </c>
      <c r="B2904" s="460" t="s">
        <v>11034</v>
      </c>
      <c r="C2904" s="461" t="s">
        <v>1108</v>
      </c>
      <c r="D2904" s="511">
        <v>16.84</v>
      </c>
      <c r="E2904" s="461" t="s">
        <v>161</v>
      </c>
      <c r="F2904" s="461" t="s">
        <v>8326</v>
      </c>
    </row>
    <row r="2905" spans="1:6" ht="15" x14ac:dyDescent="0.25">
      <c r="A2905" s="461">
        <v>10498</v>
      </c>
      <c r="B2905" s="460" t="s">
        <v>11035</v>
      </c>
      <c r="C2905" s="461" t="s">
        <v>1108</v>
      </c>
      <c r="D2905" s="511">
        <v>8.59</v>
      </c>
      <c r="E2905" s="461" t="s">
        <v>161</v>
      </c>
      <c r="F2905" s="461" t="s">
        <v>8326</v>
      </c>
    </row>
    <row r="2906" spans="1:6" ht="15" x14ac:dyDescent="0.25">
      <c r="A2906" s="461">
        <v>4823</v>
      </c>
      <c r="B2906" s="460" t="s">
        <v>11036</v>
      </c>
      <c r="C2906" s="461" t="s">
        <v>1108</v>
      </c>
      <c r="D2906" s="461">
        <v>35.76</v>
      </c>
      <c r="E2906" s="461" t="s">
        <v>161</v>
      </c>
      <c r="F2906" s="461" t="s">
        <v>8326</v>
      </c>
    </row>
    <row r="2907" spans="1:6" ht="15" x14ac:dyDescent="0.25">
      <c r="A2907" s="461">
        <v>38877</v>
      </c>
      <c r="B2907" s="460" t="s">
        <v>11037</v>
      </c>
      <c r="C2907" s="461" t="s">
        <v>1108</v>
      </c>
      <c r="D2907" s="461">
        <v>7.81</v>
      </c>
      <c r="E2907" s="461" t="s">
        <v>161</v>
      </c>
      <c r="F2907" s="461" t="s">
        <v>8326</v>
      </c>
    </row>
    <row r="2908" spans="1:6" ht="30" x14ac:dyDescent="0.25">
      <c r="A2908" s="461">
        <v>34546</v>
      </c>
      <c r="B2908" s="460" t="s">
        <v>11038</v>
      </c>
      <c r="C2908" s="461" t="s">
        <v>1108</v>
      </c>
      <c r="D2908" s="461">
        <v>8.0399999999999991</v>
      </c>
      <c r="E2908" s="461" t="s">
        <v>161</v>
      </c>
      <c r="F2908" s="461" t="s">
        <v>8326</v>
      </c>
    </row>
    <row r="2909" spans="1:6" ht="15" x14ac:dyDescent="0.25">
      <c r="A2909" s="461">
        <v>41387</v>
      </c>
      <c r="B2909" s="460" t="s">
        <v>11039</v>
      </c>
      <c r="C2909" s="461" t="s">
        <v>1107</v>
      </c>
      <c r="D2909" s="461">
        <v>42.13</v>
      </c>
      <c r="E2909" s="461" t="s">
        <v>161</v>
      </c>
      <c r="F2909" s="461" t="s">
        <v>8326</v>
      </c>
    </row>
    <row r="2910" spans="1:6" ht="15" x14ac:dyDescent="0.25">
      <c r="A2910" s="461">
        <v>41388</v>
      </c>
      <c r="B2910" s="460" t="s">
        <v>11040</v>
      </c>
      <c r="C2910" s="461" t="s">
        <v>1107</v>
      </c>
      <c r="D2910" s="461">
        <v>50.55</v>
      </c>
      <c r="E2910" s="461" t="s">
        <v>161</v>
      </c>
      <c r="F2910" s="461" t="s">
        <v>8326</v>
      </c>
    </row>
    <row r="2911" spans="1:6" ht="15" x14ac:dyDescent="0.25">
      <c r="A2911" s="461">
        <v>41380</v>
      </c>
      <c r="B2911" s="460" t="s">
        <v>11041</v>
      </c>
      <c r="C2911" s="461" t="s">
        <v>1104</v>
      </c>
      <c r="D2911" s="461">
        <v>336.32</v>
      </c>
      <c r="E2911" s="461" t="s">
        <v>161</v>
      </c>
      <c r="F2911" s="461" t="s">
        <v>8326</v>
      </c>
    </row>
    <row r="2912" spans="1:6" ht="15" x14ac:dyDescent="0.25">
      <c r="A2912" s="461">
        <v>41381</v>
      </c>
      <c r="B2912" s="460" t="s">
        <v>11042</v>
      </c>
      <c r="C2912" s="461" t="s">
        <v>1104</v>
      </c>
      <c r="D2912" s="461">
        <v>352.34</v>
      </c>
      <c r="E2912" s="461" t="s">
        <v>161</v>
      </c>
      <c r="F2912" s="461" t="s">
        <v>8326</v>
      </c>
    </row>
    <row r="2913" spans="1:6" ht="15" x14ac:dyDescent="0.25">
      <c r="A2913" s="461">
        <v>41382</v>
      </c>
      <c r="B2913" s="460" t="s">
        <v>13256</v>
      </c>
      <c r="C2913" s="461" t="s">
        <v>1104</v>
      </c>
      <c r="D2913" s="461">
        <v>341.05</v>
      </c>
      <c r="E2913" s="461" t="s">
        <v>161</v>
      </c>
      <c r="F2913" s="461" t="s">
        <v>8326</v>
      </c>
    </row>
    <row r="2914" spans="1:6" ht="15" x14ac:dyDescent="0.25">
      <c r="A2914" s="461">
        <v>41383</v>
      </c>
      <c r="B2914" s="460" t="s">
        <v>11043</v>
      </c>
      <c r="C2914" s="461" t="s">
        <v>1104</v>
      </c>
      <c r="D2914" s="461">
        <v>462.9</v>
      </c>
      <c r="E2914" s="461" t="s">
        <v>161</v>
      </c>
      <c r="F2914" s="461" t="s">
        <v>8326</v>
      </c>
    </row>
    <row r="2915" spans="1:6" ht="15" x14ac:dyDescent="0.25">
      <c r="A2915" s="461">
        <v>41385</v>
      </c>
      <c r="B2915" s="460" t="s">
        <v>11044</v>
      </c>
      <c r="C2915" s="461" t="s">
        <v>1104</v>
      </c>
      <c r="D2915" s="461">
        <v>576.02</v>
      </c>
      <c r="E2915" s="461" t="s">
        <v>161</v>
      </c>
      <c r="F2915" s="461" t="s">
        <v>8326</v>
      </c>
    </row>
    <row r="2916" spans="1:6" ht="15" x14ac:dyDescent="0.25">
      <c r="A2916" s="461">
        <v>4058</v>
      </c>
      <c r="B2916" s="460" t="s">
        <v>11045</v>
      </c>
      <c r="C2916" s="461" t="s">
        <v>1103</v>
      </c>
      <c r="D2916" s="461">
        <v>27.67</v>
      </c>
      <c r="E2916" s="461" t="s">
        <v>4455</v>
      </c>
      <c r="F2916" s="461" t="s">
        <v>8326</v>
      </c>
    </row>
    <row r="2917" spans="1:6" ht="15" x14ac:dyDescent="0.25">
      <c r="A2917" s="461">
        <v>40974</v>
      </c>
      <c r="B2917" s="460" t="s">
        <v>11046</v>
      </c>
      <c r="C2917" s="461" t="s">
        <v>1110</v>
      </c>
      <c r="D2917" s="461">
        <v>4926.8900000000003</v>
      </c>
      <c r="E2917" s="461" t="s">
        <v>4455</v>
      </c>
      <c r="F2917" s="461" t="s">
        <v>8326</v>
      </c>
    </row>
    <row r="2918" spans="1:6" ht="15" x14ac:dyDescent="0.25">
      <c r="A2918" s="461">
        <v>34794</v>
      </c>
      <c r="B2918" s="460" t="s">
        <v>11047</v>
      </c>
      <c r="C2918" s="461" t="s">
        <v>1103</v>
      </c>
      <c r="D2918" s="461">
        <v>23.32</v>
      </c>
      <c r="E2918" s="461" t="s">
        <v>4455</v>
      </c>
      <c r="F2918" s="461" t="s">
        <v>8326</v>
      </c>
    </row>
    <row r="2919" spans="1:6" ht="15" x14ac:dyDescent="0.25">
      <c r="A2919" s="461">
        <v>40925</v>
      </c>
      <c r="B2919" s="460" t="s">
        <v>11048</v>
      </c>
      <c r="C2919" s="461" t="s">
        <v>1110</v>
      </c>
      <c r="D2919" s="461">
        <v>4155.59</v>
      </c>
      <c r="E2919" s="461" t="s">
        <v>4455</v>
      </c>
      <c r="F2919" s="461" t="s">
        <v>8326</v>
      </c>
    </row>
    <row r="2920" spans="1:6" ht="15" x14ac:dyDescent="0.25">
      <c r="A2920" s="461">
        <v>13741</v>
      </c>
      <c r="B2920" s="460" t="s">
        <v>11049</v>
      </c>
      <c r="C2920" s="461" t="s">
        <v>1104</v>
      </c>
      <c r="D2920" s="461">
        <v>2664.75</v>
      </c>
      <c r="E2920" s="461" t="s">
        <v>161</v>
      </c>
      <c r="F2920" s="461" t="s">
        <v>8326</v>
      </c>
    </row>
    <row r="2921" spans="1:6" ht="30" x14ac:dyDescent="0.25">
      <c r="A2921" s="461">
        <v>3288</v>
      </c>
      <c r="B2921" s="460" t="s">
        <v>11050</v>
      </c>
      <c r="C2921" s="461" t="s">
        <v>1107</v>
      </c>
      <c r="D2921" s="461">
        <v>4.5</v>
      </c>
      <c r="E2921" s="461" t="s">
        <v>161</v>
      </c>
      <c r="F2921" s="461" t="s">
        <v>8333</v>
      </c>
    </row>
    <row r="2922" spans="1:6" ht="30" x14ac:dyDescent="0.25">
      <c r="A2922" s="461">
        <v>13587</v>
      </c>
      <c r="B2922" s="460" t="s">
        <v>11051</v>
      </c>
      <c r="C2922" s="461" t="s">
        <v>1107</v>
      </c>
      <c r="D2922" s="461">
        <v>2.71</v>
      </c>
      <c r="E2922" s="461" t="s">
        <v>161</v>
      </c>
      <c r="F2922" s="461" t="s">
        <v>8326</v>
      </c>
    </row>
    <row r="2923" spans="1:6" ht="15" x14ac:dyDescent="0.25">
      <c r="A2923" s="461">
        <v>38598</v>
      </c>
      <c r="B2923" s="460" t="s">
        <v>11052</v>
      </c>
      <c r="C2923" s="461" t="s">
        <v>1104</v>
      </c>
      <c r="D2923" s="461">
        <v>3.66</v>
      </c>
      <c r="E2923" s="461" t="s">
        <v>161</v>
      </c>
      <c r="F2923" s="461" t="s">
        <v>8326</v>
      </c>
    </row>
    <row r="2924" spans="1:6" ht="15" x14ac:dyDescent="0.25">
      <c r="A2924" s="461">
        <v>38595</v>
      </c>
      <c r="B2924" s="460" t="s">
        <v>11053</v>
      </c>
      <c r="C2924" s="461" t="s">
        <v>1104</v>
      </c>
      <c r="D2924" s="461">
        <v>3.1</v>
      </c>
      <c r="E2924" s="461" t="s">
        <v>161</v>
      </c>
      <c r="F2924" s="461" t="s">
        <v>8326</v>
      </c>
    </row>
    <row r="2925" spans="1:6" ht="15" x14ac:dyDescent="0.25">
      <c r="A2925" s="461">
        <v>38592</v>
      </c>
      <c r="B2925" s="460" t="s">
        <v>11054</v>
      </c>
      <c r="C2925" s="461" t="s">
        <v>1104</v>
      </c>
      <c r="D2925" s="511">
        <v>3.14</v>
      </c>
      <c r="E2925" s="461" t="s">
        <v>161</v>
      </c>
      <c r="F2925" s="461" t="s">
        <v>8326</v>
      </c>
    </row>
    <row r="2926" spans="1:6" ht="15" x14ac:dyDescent="0.25">
      <c r="A2926" s="461">
        <v>38588</v>
      </c>
      <c r="B2926" s="460" t="s">
        <v>11055</v>
      </c>
      <c r="C2926" s="461" t="s">
        <v>1104</v>
      </c>
      <c r="D2926" s="511">
        <v>2.5099999999999998</v>
      </c>
      <c r="E2926" s="461" t="s">
        <v>161</v>
      </c>
      <c r="F2926" s="461" t="s">
        <v>8326</v>
      </c>
    </row>
    <row r="2927" spans="1:6" ht="15" x14ac:dyDescent="0.25">
      <c r="A2927" s="461">
        <v>38593</v>
      </c>
      <c r="B2927" s="460" t="s">
        <v>11056</v>
      </c>
      <c r="C2927" s="461" t="s">
        <v>1104</v>
      </c>
      <c r="D2927" s="461">
        <v>3.47</v>
      </c>
      <c r="E2927" s="461" t="s">
        <v>161</v>
      </c>
      <c r="F2927" s="461" t="s">
        <v>8326</v>
      </c>
    </row>
    <row r="2928" spans="1:6" ht="15" x14ac:dyDescent="0.25">
      <c r="A2928" s="461">
        <v>38589</v>
      </c>
      <c r="B2928" s="460" t="s">
        <v>11057</v>
      </c>
      <c r="C2928" s="461" t="s">
        <v>1104</v>
      </c>
      <c r="D2928" s="511">
        <v>2.63</v>
      </c>
      <c r="E2928" s="461" t="s">
        <v>161</v>
      </c>
      <c r="F2928" s="461" t="s">
        <v>8326</v>
      </c>
    </row>
    <row r="2929" spans="1:6" ht="15" x14ac:dyDescent="0.25">
      <c r="A2929" s="461">
        <v>38594</v>
      </c>
      <c r="B2929" s="460" t="s">
        <v>11058</v>
      </c>
      <c r="C2929" s="461" t="s">
        <v>1104</v>
      </c>
      <c r="D2929" s="461">
        <v>5.47</v>
      </c>
      <c r="E2929" s="461" t="s">
        <v>161</v>
      </c>
      <c r="F2929" s="461" t="s">
        <v>8326</v>
      </c>
    </row>
    <row r="2930" spans="1:6" ht="30" x14ac:dyDescent="0.25">
      <c r="A2930" s="461">
        <v>34773</v>
      </c>
      <c r="B2930" s="460" t="s">
        <v>13257</v>
      </c>
      <c r="C2930" s="461" t="s">
        <v>1104</v>
      </c>
      <c r="D2930" s="511">
        <v>2.59</v>
      </c>
      <c r="E2930" s="461" t="s">
        <v>161</v>
      </c>
      <c r="F2930" s="461" t="s">
        <v>8326</v>
      </c>
    </row>
    <row r="2931" spans="1:6" ht="30" x14ac:dyDescent="0.25">
      <c r="A2931" s="461">
        <v>34769</v>
      </c>
      <c r="B2931" s="460" t="s">
        <v>11059</v>
      </c>
      <c r="C2931" s="461" t="s">
        <v>1104</v>
      </c>
      <c r="D2931" s="511">
        <v>3.2</v>
      </c>
      <c r="E2931" s="461" t="s">
        <v>161</v>
      </c>
      <c r="F2931" s="461" t="s">
        <v>8326</v>
      </c>
    </row>
    <row r="2932" spans="1:6" ht="30" x14ac:dyDescent="0.25">
      <c r="A2932" s="461">
        <v>34763</v>
      </c>
      <c r="B2932" s="460" t="s">
        <v>13258</v>
      </c>
      <c r="C2932" s="461" t="s">
        <v>1104</v>
      </c>
      <c r="D2932" s="461">
        <v>1.97</v>
      </c>
      <c r="E2932" s="461" t="s">
        <v>161</v>
      </c>
      <c r="F2932" s="461" t="s">
        <v>8326</v>
      </c>
    </row>
    <row r="2933" spans="1:6" ht="15" x14ac:dyDescent="0.25">
      <c r="A2933" s="461">
        <v>34774</v>
      </c>
      <c r="B2933" s="460" t="s">
        <v>11060</v>
      </c>
      <c r="C2933" s="461" t="s">
        <v>1104</v>
      </c>
      <c r="D2933" s="461">
        <v>2.46</v>
      </c>
      <c r="E2933" s="461" t="s">
        <v>161</v>
      </c>
      <c r="F2933" s="461" t="s">
        <v>8326</v>
      </c>
    </row>
    <row r="2934" spans="1:6" ht="15" x14ac:dyDescent="0.25">
      <c r="A2934" s="461">
        <v>34771</v>
      </c>
      <c r="B2934" s="460" t="s">
        <v>11061</v>
      </c>
      <c r="C2934" s="461" t="s">
        <v>1104</v>
      </c>
      <c r="D2934" s="461">
        <v>2.96</v>
      </c>
      <c r="E2934" s="461" t="s">
        <v>161</v>
      </c>
      <c r="F2934" s="461" t="s">
        <v>8326</v>
      </c>
    </row>
    <row r="2935" spans="1:6" ht="15" x14ac:dyDescent="0.25">
      <c r="A2935" s="461">
        <v>34764</v>
      </c>
      <c r="B2935" s="460" t="s">
        <v>11062</v>
      </c>
      <c r="C2935" s="461" t="s">
        <v>1104</v>
      </c>
      <c r="D2935" s="461">
        <v>1.94</v>
      </c>
      <c r="E2935" s="461" t="s">
        <v>161</v>
      </c>
      <c r="F2935" s="461" t="s">
        <v>8326</v>
      </c>
    </row>
    <row r="2936" spans="1:6" ht="15" x14ac:dyDescent="0.25">
      <c r="A2936" s="461">
        <v>34788</v>
      </c>
      <c r="B2936" s="460" t="s">
        <v>11063</v>
      </c>
      <c r="C2936" s="461" t="s">
        <v>1104</v>
      </c>
      <c r="D2936" s="461">
        <v>1.44</v>
      </c>
      <c r="E2936" s="461" t="s">
        <v>161</v>
      </c>
      <c r="F2936" s="461" t="s">
        <v>8326</v>
      </c>
    </row>
    <row r="2937" spans="1:6" ht="15" x14ac:dyDescent="0.25">
      <c r="A2937" s="461">
        <v>34781</v>
      </c>
      <c r="B2937" s="460" t="s">
        <v>11064</v>
      </c>
      <c r="C2937" s="461" t="s">
        <v>1104</v>
      </c>
      <c r="D2937" s="461">
        <v>1.63</v>
      </c>
      <c r="E2937" s="461" t="s">
        <v>161</v>
      </c>
      <c r="F2937" s="461" t="s">
        <v>8326</v>
      </c>
    </row>
    <row r="2938" spans="1:6" ht="30" x14ac:dyDescent="0.25">
      <c r="A2938" s="461">
        <v>41682</v>
      </c>
      <c r="B2938" s="460" t="s">
        <v>11065</v>
      </c>
      <c r="C2938" s="461" t="s">
        <v>1104</v>
      </c>
      <c r="D2938" s="461">
        <v>32.46</v>
      </c>
      <c r="E2938" s="461" t="s">
        <v>161</v>
      </c>
      <c r="F2938" s="461" t="s">
        <v>8326</v>
      </c>
    </row>
    <row r="2939" spans="1:6" ht="30" x14ac:dyDescent="0.25">
      <c r="A2939" s="461">
        <v>41683</v>
      </c>
      <c r="B2939" s="460" t="s">
        <v>11066</v>
      </c>
      <c r="C2939" s="461" t="s">
        <v>1104</v>
      </c>
      <c r="D2939" s="461">
        <v>23.88</v>
      </c>
      <c r="E2939" s="461" t="s">
        <v>161</v>
      </c>
      <c r="F2939" s="461" t="s">
        <v>8326</v>
      </c>
    </row>
    <row r="2940" spans="1:6" ht="30" x14ac:dyDescent="0.25">
      <c r="A2940" s="461">
        <v>41680</v>
      </c>
      <c r="B2940" s="460" t="s">
        <v>11067</v>
      </c>
      <c r="C2940" s="461" t="s">
        <v>1104</v>
      </c>
      <c r="D2940" s="461">
        <v>12.85</v>
      </c>
      <c r="E2940" s="461" t="s">
        <v>161</v>
      </c>
      <c r="F2940" s="461" t="s">
        <v>8326</v>
      </c>
    </row>
    <row r="2941" spans="1:6" ht="30" x14ac:dyDescent="0.25">
      <c r="A2941" s="461">
        <v>41679</v>
      </c>
      <c r="B2941" s="460" t="s">
        <v>11068</v>
      </c>
      <c r="C2941" s="461" t="s">
        <v>1104</v>
      </c>
      <c r="D2941" s="461">
        <v>29.39</v>
      </c>
      <c r="E2941" s="461" t="s">
        <v>161</v>
      </c>
      <c r="F2941" s="461" t="s">
        <v>8326</v>
      </c>
    </row>
    <row r="2942" spans="1:6" ht="30" x14ac:dyDescent="0.25">
      <c r="A2942" s="461">
        <v>41681</v>
      </c>
      <c r="B2942" s="460" t="s">
        <v>11069</v>
      </c>
      <c r="C2942" s="461" t="s">
        <v>1104</v>
      </c>
      <c r="D2942" s="461">
        <v>20.11</v>
      </c>
      <c r="E2942" s="461" t="s">
        <v>161</v>
      </c>
      <c r="F2942" s="461" t="s">
        <v>8326</v>
      </c>
    </row>
    <row r="2943" spans="1:6" ht="30" x14ac:dyDescent="0.25">
      <c r="A2943" s="461">
        <v>43386</v>
      </c>
      <c r="B2943" s="460" t="s">
        <v>11070</v>
      </c>
      <c r="C2943" s="461" t="s">
        <v>1104</v>
      </c>
      <c r="D2943" s="461">
        <v>45.92</v>
      </c>
      <c r="E2943" s="461" t="s">
        <v>161</v>
      </c>
      <c r="F2943" s="461" t="s">
        <v>8326</v>
      </c>
    </row>
    <row r="2944" spans="1:6" ht="30" x14ac:dyDescent="0.25">
      <c r="A2944" s="461">
        <v>4059</v>
      </c>
      <c r="B2944" s="460" t="s">
        <v>11071</v>
      </c>
      <c r="C2944" s="461" t="s">
        <v>1107</v>
      </c>
      <c r="D2944" s="461">
        <v>32.46</v>
      </c>
      <c r="E2944" s="461" t="s">
        <v>161</v>
      </c>
      <c r="F2944" s="461" t="s">
        <v>8326</v>
      </c>
    </row>
    <row r="2945" spans="1:6" ht="15" x14ac:dyDescent="0.25">
      <c r="A2945" s="461">
        <v>4062</v>
      </c>
      <c r="B2945" s="460" t="s">
        <v>11072</v>
      </c>
      <c r="C2945" s="461" t="s">
        <v>1104</v>
      </c>
      <c r="D2945" s="461">
        <v>32.46</v>
      </c>
      <c r="E2945" s="461" t="s">
        <v>161</v>
      </c>
      <c r="F2945" s="461" t="s">
        <v>8326</v>
      </c>
    </row>
    <row r="2946" spans="1:6" ht="30" x14ac:dyDescent="0.25">
      <c r="A2946" s="461">
        <v>4061</v>
      </c>
      <c r="B2946" s="460" t="s">
        <v>11073</v>
      </c>
      <c r="C2946" s="461" t="s">
        <v>1104</v>
      </c>
      <c r="D2946" s="461">
        <v>40.409999999999997</v>
      </c>
      <c r="E2946" s="461" t="s">
        <v>161</v>
      </c>
      <c r="F2946" s="461" t="s">
        <v>8326</v>
      </c>
    </row>
    <row r="2947" spans="1:6" ht="30" x14ac:dyDescent="0.25">
      <c r="A2947" s="461">
        <v>41315</v>
      </c>
      <c r="B2947" s="460" t="s">
        <v>11074</v>
      </c>
      <c r="C2947" s="461" t="s">
        <v>1108</v>
      </c>
      <c r="D2947" s="461">
        <v>98.16</v>
      </c>
      <c r="E2947" s="461" t="s">
        <v>161</v>
      </c>
      <c r="F2947" s="461" t="s">
        <v>8326</v>
      </c>
    </row>
    <row r="2948" spans="1:6" ht="15" x14ac:dyDescent="0.25">
      <c r="A2948" s="461">
        <v>43148</v>
      </c>
      <c r="B2948" s="460" t="s">
        <v>11075</v>
      </c>
      <c r="C2948" s="461" t="s">
        <v>1108</v>
      </c>
      <c r="D2948" s="461">
        <v>66.63</v>
      </c>
      <c r="E2948" s="461" t="s">
        <v>161</v>
      </c>
      <c r="F2948" s="461" t="s">
        <v>8326</v>
      </c>
    </row>
    <row r="2949" spans="1:6" ht="15" x14ac:dyDescent="0.25">
      <c r="A2949" s="461">
        <v>43147</v>
      </c>
      <c r="B2949" s="460" t="s">
        <v>11076</v>
      </c>
      <c r="C2949" s="461" t="s">
        <v>1108</v>
      </c>
      <c r="D2949" s="461">
        <v>25.8</v>
      </c>
      <c r="E2949" s="461" t="s">
        <v>161</v>
      </c>
      <c r="F2949" s="461" t="s">
        <v>8326</v>
      </c>
    </row>
    <row r="2950" spans="1:6" ht="30" x14ac:dyDescent="0.25">
      <c r="A2950" s="461">
        <v>10608</v>
      </c>
      <c r="B2950" s="460" t="s">
        <v>11077</v>
      </c>
      <c r="C2950" s="461" t="s">
        <v>1104</v>
      </c>
      <c r="D2950" s="461">
        <v>9614.7999999999993</v>
      </c>
      <c r="E2950" s="461" t="s">
        <v>1497</v>
      </c>
      <c r="F2950" s="461" t="s">
        <v>8328</v>
      </c>
    </row>
    <row r="2951" spans="1:6" ht="15" x14ac:dyDescent="0.25">
      <c r="A2951" s="461">
        <v>4069</v>
      </c>
      <c r="B2951" s="460" t="s">
        <v>11078</v>
      </c>
      <c r="C2951" s="461" t="s">
        <v>1103</v>
      </c>
      <c r="D2951" s="461">
        <v>47.11</v>
      </c>
      <c r="E2951" s="461" t="s">
        <v>4455</v>
      </c>
      <c r="F2951" s="461" t="s">
        <v>8326</v>
      </c>
    </row>
    <row r="2952" spans="1:6" ht="15" x14ac:dyDescent="0.25">
      <c r="A2952" s="461">
        <v>40819</v>
      </c>
      <c r="B2952" s="460" t="s">
        <v>11079</v>
      </c>
      <c r="C2952" s="461" t="s">
        <v>1110</v>
      </c>
      <c r="D2952" s="461">
        <v>8388.77</v>
      </c>
      <c r="E2952" s="461" t="s">
        <v>4455</v>
      </c>
      <c r="F2952" s="461" t="s">
        <v>8326</v>
      </c>
    </row>
    <row r="2953" spans="1:6" ht="15" x14ac:dyDescent="0.25">
      <c r="A2953" s="461">
        <v>34361</v>
      </c>
      <c r="B2953" s="460" t="s">
        <v>11080</v>
      </c>
      <c r="C2953" s="461" t="s">
        <v>1108</v>
      </c>
      <c r="D2953" s="461">
        <v>18.78</v>
      </c>
      <c r="E2953" s="461" t="s">
        <v>161</v>
      </c>
      <c r="F2953" s="461" t="s">
        <v>8326</v>
      </c>
    </row>
    <row r="2954" spans="1:6" ht="30" x14ac:dyDescent="0.25">
      <c r="A2954" s="461">
        <v>36512</v>
      </c>
      <c r="B2954" s="460" t="s">
        <v>13259</v>
      </c>
      <c r="C2954" s="461" t="s">
        <v>1104</v>
      </c>
      <c r="D2954" s="461">
        <v>19368.46</v>
      </c>
      <c r="E2954" s="461" t="s">
        <v>1497</v>
      </c>
      <c r="F2954" s="461" t="s">
        <v>8328</v>
      </c>
    </row>
    <row r="2955" spans="1:6" ht="30" x14ac:dyDescent="0.25">
      <c r="A2955" s="461">
        <v>44478</v>
      </c>
      <c r="B2955" s="460" t="s">
        <v>11081</v>
      </c>
      <c r="C2955" s="461" t="s">
        <v>1108</v>
      </c>
      <c r="D2955" s="461">
        <v>11.24</v>
      </c>
      <c r="E2955" s="461" t="s">
        <v>161</v>
      </c>
      <c r="F2955" s="461" t="s">
        <v>8326</v>
      </c>
    </row>
    <row r="2956" spans="1:6" ht="30" x14ac:dyDescent="0.25">
      <c r="A2956" s="461">
        <v>44477</v>
      </c>
      <c r="B2956" s="460" t="s">
        <v>11082</v>
      </c>
      <c r="C2956" s="461" t="s">
        <v>1108</v>
      </c>
      <c r="D2956" s="461">
        <v>11.24</v>
      </c>
      <c r="E2956" s="461" t="s">
        <v>161</v>
      </c>
      <c r="F2956" s="461" t="s">
        <v>8326</v>
      </c>
    </row>
    <row r="2957" spans="1:6" ht="30" x14ac:dyDescent="0.25">
      <c r="A2957" s="461">
        <v>11697</v>
      </c>
      <c r="B2957" s="460" t="s">
        <v>11083</v>
      </c>
      <c r="C2957" s="461" t="s">
        <v>1104</v>
      </c>
      <c r="D2957" s="461">
        <v>668.07</v>
      </c>
      <c r="E2957" s="461" t="s">
        <v>161</v>
      </c>
      <c r="F2957" s="461" t="s">
        <v>8326</v>
      </c>
    </row>
    <row r="2958" spans="1:6" ht="30" x14ac:dyDescent="0.25">
      <c r="A2958" s="461">
        <v>11698</v>
      </c>
      <c r="B2958" s="460" t="s">
        <v>11084</v>
      </c>
      <c r="C2958" s="461" t="s">
        <v>1104</v>
      </c>
      <c r="D2958" s="461">
        <v>796.98</v>
      </c>
      <c r="E2958" s="461" t="s">
        <v>161</v>
      </c>
      <c r="F2958" s="461" t="s">
        <v>8326</v>
      </c>
    </row>
    <row r="2959" spans="1:6" ht="15" x14ac:dyDescent="0.25">
      <c r="A2959" s="461">
        <v>11699</v>
      </c>
      <c r="B2959" s="460" t="s">
        <v>13260</v>
      </c>
      <c r="C2959" s="461" t="s">
        <v>1104</v>
      </c>
      <c r="D2959" s="461">
        <v>880.84</v>
      </c>
      <c r="E2959" s="461" t="s">
        <v>161</v>
      </c>
      <c r="F2959" s="461" t="s">
        <v>8326</v>
      </c>
    </row>
    <row r="2960" spans="1:6" ht="15" x14ac:dyDescent="0.25">
      <c r="A2960" s="461">
        <v>10432</v>
      </c>
      <c r="B2960" s="460" t="s">
        <v>11085</v>
      </c>
      <c r="C2960" s="461" t="s">
        <v>1104</v>
      </c>
      <c r="D2960" s="461">
        <v>347.05</v>
      </c>
      <c r="E2960" s="461" t="s">
        <v>161</v>
      </c>
      <c r="F2960" s="461" t="s">
        <v>8326</v>
      </c>
    </row>
    <row r="2961" spans="1:6" ht="30" x14ac:dyDescent="0.25">
      <c r="A2961" s="461">
        <v>44020</v>
      </c>
      <c r="B2961" s="460" t="s">
        <v>11086</v>
      </c>
      <c r="C2961" s="461" t="s">
        <v>1104</v>
      </c>
      <c r="D2961" s="511">
        <v>856.21</v>
      </c>
      <c r="E2961" s="461" t="s">
        <v>161</v>
      </c>
      <c r="F2961" s="461" t="s">
        <v>8326</v>
      </c>
    </row>
    <row r="2962" spans="1:6" ht="30" x14ac:dyDescent="0.25">
      <c r="A2962" s="461">
        <v>41420</v>
      </c>
      <c r="B2962" s="460" t="s">
        <v>11087</v>
      </c>
      <c r="C2962" s="461" t="s">
        <v>1104</v>
      </c>
      <c r="D2962" s="461">
        <v>8.57</v>
      </c>
      <c r="E2962" s="461" t="s">
        <v>161</v>
      </c>
      <c r="F2962" s="461" t="s">
        <v>8326</v>
      </c>
    </row>
    <row r="2963" spans="1:6" ht="30" x14ac:dyDescent="0.25">
      <c r="A2963" s="461">
        <v>41422</v>
      </c>
      <c r="B2963" s="460" t="s">
        <v>11088</v>
      </c>
      <c r="C2963" s="461" t="s">
        <v>1104</v>
      </c>
      <c r="D2963" s="511">
        <v>11.71</v>
      </c>
      <c r="E2963" s="461" t="s">
        <v>161</v>
      </c>
      <c r="F2963" s="461" t="s">
        <v>8326</v>
      </c>
    </row>
    <row r="2964" spans="1:6" ht="30" x14ac:dyDescent="0.25">
      <c r="A2964" s="461">
        <v>41425</v>
      </c>
      <c r="B2964" s="460" t="s">
        <v>11089</v>
      </c>
      <c r="C2964" s="461" t="s">
        <v>1104</v>
      </c>
      <c r="D2964" s="461">
        <v>5.99</v>
      </c>
      <c r="E2964" s="461" t="s">
        <v>161</v>
      </c>
      <c r="F2964" s="461" t="s">
        <v>8326</v>
      </c>
    </row>
    <row r="2965" spans="1:6" ht="30" x14ac:dyDescent="0.25">
      <c r="A2965" s="461">
        <v>41426</v>
      </c>
      <c r="B2965" s="460" t="s">
        <v>11090</v>
      </c>
      <c r="C2965" s="461" t="s">
        <v>1104</v>
      </c>
      <c r="D2965" s="511">
        <v>10.8</v>
      </c>
      <c r="E2965" s="461" t="s">
        <v>161</v>
      </c>
      <c r="F2965" s="461" t="s">
        <v>8326</v>
      </c>
    </row>
    <row r="2966" spans="1:6" ht="30" x14ac:dyDescent="0.25">
      <c r="A2966" s="461">
        <v>41419</v>
      </c>
      <c r="B2966" s="460" t="s">
        <v>13261</v>
      </c>
      <c r="C2966" s="461" t="s">
        <v>1104</v>
      </c>
      <c r="D2966" s="461">
        <v>6.3</v>
      </c>
      <c r="E2966" s="461" t="s">
        <v>161</v>
      </c>
      <c r="F2966" s="461" t="s">
        <v>8326</v>
      </c>
    </row>
    <row r="2967" spans="1:6" ht="30" x14ac:dyDescent="0.25">
      <c r="A2967" s="461">
        <v>41421</v>
      </c>
      <c r="B2967" s="460" t="s">
        <v>13262</v>
      </c>
      <c r="C2967" s="461" t="s">
        <v>1104</v>
      </c>
      <c r="D2967" s="461">
        <v>8.5500000000000007</v>
      </c>
      <c r="E2967" s="461" t="s">
        <v>161</v>
      </c>
      <c r="F2967" s="461" t="s">
        <v>8326</v>
      </c>
    </row>
    <row r="2968" spans="1:6" ht="30" x14ac:dyDescent="0.25">
      <c r="A2968" s="461">
        <v>41414</v>
      </c>
      <c r="B2968" s="460" t="s">
        <v>11091</v>
      </c>
      <c r="C2968" s="461" t="s">
        <v>1104</v>
      </c>
      <c r="D2968" s="461">
        <v>19.829999999999998</v>
      </c>
      <c r="E2968" s="461" t="s">
        <v>161</v>
      </c>
      <c r="F2968" s="461" t="s">
        <v>8326</v>
      </c>
    </row>
    <row r="2969" spans="1:6" ht="30" x14ac:dyDescent="0.25">
      <c r="A2969" s="461">
        <v>41415</v>
      </c>
      <c r="B2969" s="460" t="s">
        <v>11092</v>
      </c>
      <c r="C2969" s="461" t="s">
        <v>1104</v>
      </c>
      <c r="D2969" s="461">
        <v>23.09</v>
      </c>
      <c r="E2969" s="461" t="s">
        <v>161</v>
      </c>
      <c r="F2969" s="461" t="s">
        <v>8326</v>
      </c>
    </row>
    <row r="2970" spans="1:6" ht="30" x14ac:dyDescent="0.25">
      <c r="A2970" s="461">
        <v>37514</v>
      </c>
      <c r="B2970" s="460" t="s">
        <v>11093</v>
      </c>
      <c r="C2970" s="461" t="s">
        <v>1104</v>
      </c>
      <c r="D2970" s="461">
        <v>332000</v>
      </c>
      <c r="E2970" s="461" t="s">
        <v>1497</v>
      </c>
      <c r="F2970" s="461" t="s">
        <v>8328</v>
      </c>
    </row>
    <row r="2971" spans="1:6" ht="30" x14ac:dyDescent="0.25">
      <c r="A2971" s="461">
        <v>37519</v>
      </c>
      <c r="B2971" s="460" t="s">
        <v>11094</v>
      </c>
      <c r="C2971" s="461" t="s">
        <v>1104</v>
      </c>
      <c r="D2971" s="461">
        <v>512373.4</v>
      </c>
      <c r="E2971" s="461" t="s">
        <v>1497</v>
      </c>
      <c r="F2971" s="461" t="s">
        <v>8328</v>
      </c>
    </row>
    <row r="2972" spans="1:6" ht="30" x14ac:dyDescent="0.25">
      <c r="A2972" s="461">
        <v>37520</v>
      </c>
      <c r="B2972" s="460" t="s">
        <v>11095</v>
      </c>
      <c r="C2972" s="461" t="s">
        <v>1104</v>
      </c>
      <c r="D2972" s="461">
        <v>503973.84</v>
      </c>
      <c r="E2972" s="461" t="s">
        <v>1497</v>
      </c>
      <c r="F2972" s="461" t="s">
        <v>8328</v>
      </c>
    </row>
    <row r="2973" spans="1:6" ht="30" x14ac:dyDescent="0.25">
      <c r="A2973" s="461">
        <v>37521</v>
      </c>
      <c r="B2973" s="460" t="s">
        <v>11096</v>
      </c>
      <c r="C2973" s="461" t="s">
        <v>1104</v>
      </c>
      <c r="D2973" s="461">
        <v>614848.09</v>
      </c>
      <c r="E2973" s="461" t="s">
        <v>1497</v>
      </c>
      <c r="F2973" s="461" t="s">
        <v>8328</v>
      </c>
    </row>
    <row r="2974" spans="1:6" ht="30" x14ac:dyDescent="0.25">
      <c r="A2974" s="461">
        <v>37522</v>
      </c>
      <c r="B2974" s="460" t="s">
        <v>11097</v>
      </c>
      <c r="C2974" s="461" t="s">
        <v>1104</v>
      </c>
      <c r="D2974" s="461">
        <v>633346.27</v>
      </c>
      <c r="E2974" s="461" t="s">
        <v>1497</v>
      </c>
      <c r="F2974" s="461" t="s">
        <v>8328</v>
      </c>
    </row>
    <row r="2975" spans="1:6" ht="30" x14ac:dyDescent="0.25">
      <c r="A2975" s="461">
        <v>37546</v>
      </c>
      <c r="B2975" s="460" t="s">
        <v>11098</v>
      </c>
      <c r="C2975" s="461" t="s">
        <v>1104</v>
      </c>
      <c r="D2975" s="461">
        <v>13558.52</v>
      </c>
      <c r="E2975" s="461" t="s">
        <v>1497</v>
      </c>
      <c r="F2975" s="461" t="s">
        <v>8326</v>
      </c>
    </row>
    <row r="2976" spans="1:6" ht="30" x14ac:dyDescent="0.25">
      <c r="A2976" s="461">
        <v>37544</v>
      </c>
      <c r="B2976" s="460" t="s">
        <v>11099</v>
      </c>
      <c r="C2976" s="461" t="s">
        <v>1104</v>
      </c>
      <c r="D2976" s="461">
        <v>14340.42</v>
      </c>
      <c r="E2976" s="461" t="s">
        <v>1497</v>
      </c>
      <c r="F2976" s="461" t="s">
        <v>8326</v>
      </c>
    </row>
    <row r="2977" spans="1:6" ht="30" x14ac:dyDescent="0.25">
      <c r="A2977" s="461">
        <v>37545</v>
      </c>
      <c r="B2977" s="460" t="s">
        <v>11100</v>
      </c>
      <c r="C2977" s="461" t="s">
        <v>1104</v>
      </c>
      <c r="D2977" s="461">
        <v>17063.169999999998</v>
      </c>
      <c r="E2977" s="461" t="s">
        <v>1497</v>
      </c>
      <c r="F2977" s="461" t="s">
        <v>8326</v>
      </c>
    </row>
    <row r="2978" spans="1:6" ht="15" x14ac:dyDescent="0.25">
      <c r="A2978" s="461">
        <v>36793</v>
      </c>
      <c r="B2978" s="460" t="s">
        <v>11101</v>
      </c>
      <c r="C2978" s="461" t="s">
        <v>1104</v>
      </c>
      <c r="D2978" s="461">
        <v>834.26</v>
      </c>
      <c r="E2978" s="461" t="s">
        <v>161</v>
      </c>
      <c r="F2978" s="461" t="s">
        <v>8326</v>
      </c>
    </row>
    <row r="2979" spans="1:6" ht="30" x14ac:dyDescent="0.25">
      <c r="A2979" s="461">
        <v>11769</v>
      </c>
      <c r="B2979" s="460" t="s">
        <v>11102</v>
      </c>
      <c r="C2979" s="461" t="s">
        <v>1104</v>
      </c>
      <c r="D2979" s="461">
        <v>368.68</v>
      </c>
      <c r="E2979" s="461" t="s">
        <v>161</v>
      </c>
      <c r="F2979" s="461" t="s">
        <v>8326</v>
      </c>
    </row>
    <row r="2980" spans="1:6" ht="30" x14ac:dyDescent="0.25">
      <c r="A2980" s="461">
        <v>11771</v>
      </c>
      <c r="B2980" s="460" t="s">
        <v>11103</v>
      </c>
      <c r="C2980" s="461" t="s">
        <v>1104</v>
      </c>
      <c r="D2980" s="461">
        <v>451.58</v>
      </c>
      <c r="E2980" s="461" t="s">
        <v>161</v>
      </c>
      <c r="F2980" s="461" t="s">
        <v>8326</v>
      </c>
    </row>
    <row r="2981" spans="1:6" ht="45" x14ac:dyDescent="0.25">
      <c r="A2981" s="461">
        <v>39919</v>
      </c>
      <c r="B2981" s="460" t="s">
        <v>13263</v>
      </c>
      <c r="C2981" s="461" t="s">
        <v>1104</v>
      </c>
      <c r="D2981" s="511">
        <v>67867.92</v>
      </c>
      <c r="E2981" s="461" t="s">
        <v>1497</v>
      </c>
      <c r="F2981" s="461" t="s">
        <v>8326</v>
      </c>
    </row>
    <row r="2982" spans="1:6" ht="30" x14ac:dyDescent="0.25">
      <c r="A2982" s="461">
        <v>38385</v>
      </c>
      <c r="B2982" s="460" t="s">
        <v>13264</v>
      </c>
      <c r="C2982" s="461" t="s">
        <v>1104</v>
      </c>
      <c r="D2982" s="511">
        <v>48.26</v>
      </c>
      <c r="E2982" s="461" t="s">
        <v>161</v>
      </c>
      <c r="F2982" s="461" t="s">
        <v>8326</v>
      </c>
    </row>
    <row r="2983" spans="1:6" ht="30" x14ac:dyDescent="0.25">
      <c r="A2983" s="461">
        <v>36800</v>
      </c>
      <c r="B2983" s="460" t="s">
        <v>13265</v>
      </c>
      <c r="C2983" s="461" t="s">
        <v>1104</v>
      </c>
      <c r="D2983" s="511">
        <v>221.53</v>
      </c>
      <c r="E2983" s="461" t="s">
        <v>161</v>
      </c>
      <c r="F2983" s="461" t="s">
        <v>8326</v>
      </c>
    </row>
    <row r="2984" spans="1:6" ht="30" x14ac:dyDescent="0.25">
      <c r="A2984" s="461">
        <v>37587</v>
      </c>
      <c r="B2984" s="460" t="s">
        <v>11104</v>
      </c>
      <c r="C2984" s="461" t="s">
        <v>1104</v>
      </c>
      <c r="D2984" s="511">
        <v>486.7</v>
      </c>
      <c r="E2984" s="461" t="s">
        <v>161</v>
      </c>
      <c r="F2984" s="461" t="s">
        <v>8326</v>
      </c>
    </row>
    <row r="2985" spans="1:6" ht="30" x14ac:dyDescent="0.25">
      <c r="A2985" s="461">
        <v>11561</v>
      </c>
      <c r="B2985" s="460" t="s">
        <v>11105</v>
      </c>
      <c r="C2985" s="461" t="s">
        <v>1104</v>
      </c>
      <c r="D2985" s="511">
        <v>214.22</v>
      </c>
      <c r="E2985" s="461" t="s">
        <v>161</v>
      </c>
      <c r="F2985" s="461" t="s">
        <v>8326</v>
      </c>
    </row>
    <row r="2986" spans="1:6" ht="30" x14ac:dyDescent="0.25">
      <c r="A2986" s="461">
        <v>43604</v>
      </c>
      <c r="B2986" s="460" t="s">
        <v>11106</v>
      </c>
      <c r="C2986" s="461" t="s">
        <v>1104</v>
      </c>
      <c r="D2986" s="511">
        <v>114.2</v>
      </c>
      <c r="E2986" s="461" t="s">
        <v>161</v>
      </c>
      <c r="F2986" s="461" t="s">
        <v>8326</v>
      </c>
    </row>
    <row r="2987" spans="1:6" ht="30" x14ac:dyDescent="0.25">
      <c r="A2987" s="461">
        <v>11560</v>
      </c>
      <c r="B2987" s="460" t="s">
        <v>11107</v>
      </c>
      <c r="C2987" s="461" t="s">
        <v>1104</v>
      </c>
      <c r="D2987" s="511">
        <v>165.34</v>
      </c>
      <c r="E2987" s="461" t="s">
        <v>161</v>
      </c>
      <c r="F2987" s="461" t="s">
        <v>8326</v>
      </c>
    </row>
    <row r="2988" spans="1:6" ht="30" x14ac:dyDescent="0.25">
      <c r="A2988" s="461">
        <v>11499</v>
      </c>
      <c r="B2988" s="460" t="s">
        <v>11108</v>
      </c>
      <c r="C2988" s="461" t="s">
        <v>1104</v>
      </c>
      <c r="D2988" s="511">
        <v>919.78</v>
      </c>
      <c r="E2988" s="461" t="s">
        <v>161</v>
      </c>
      <c r="F2988" s="461" t="s">
        <v>8326</v>
      </c>
    </row>
    <row r="2989" spans="1:6" ht="15" x14ac:dyDescent="0.25">
      <c r="A2989" s="461">
        <v>34761</v>
      </c>
      <c r="B2989" s="460" t="s">
        <v>11109</v>
      </c>
      <c r="C2989" s="461" t="s">
        <v>1103</v>
      </c>
      <c r="D2989" s="461">
        <v>18.47</v>
      </c>
      <c r="E2989" s="461" t="s">
        <v>4455</v>
      </c>
      <c r="F2989" s="461" t="s">
        <v>8326</v>
      </c>
    </row>
    <row r="2990" spans="1:6" ht="15" x14ac:dyDescent="0.25">
      <c r="A2990" s="461">
        <v>40924</v>
      </c>
      <c r="B2990" s="460" t="s">
        <v>11110</v>
      </c>
      <c r="C2990" s="461" t="s">
        <v>1110</v>
      </c>
      <c r="D2990" s="461">
        <v>3291.71</v>
      </c>
      <c r="E2990" s="461" t="s">
        <v>4455</v>
      </c>
      <c r="F2990" s="461" t="s">
        <v>8326</v>
      </c>
    </row>
    <row r="2991" spans="1:6" ht="15" x14ac:dyDescent="0.25">
      <c r="A2991" s="461">
        <v>40983</v>
      </c>
      <c r="B2991" s="460" t="s">
        <v>11111</v>
      </c>
      <c r="C2991" s="461" t="s">
        <v>1110</v>
      </c>
      <c r="D2991" s="461">
        <v>3133.07</v>
      </c>
      <c r="E2991" s="461" t="s">
        <v>4455</v>
      </c>
      <c r="F2991" s="461" t="s">
        <v>8326</v>
      </c>
    </row>
    <row r="2992" spans="1:6" ht="15" x14ac:dyDescent="0.25">
      <c r="A2992" s="461">
        <v>44497</v>
      </c>
      <c r="B2992" s="460" t="s">
        <v>11112</v>
      </c>
      <c r="C2992" s="461" t="s">
        <v>1103</v>
      </c>
      <c r="D2992" s="511">
        <v>17.579999999999998</v>
      </c>
      <c r="E2992" s="461" t="s">
        <v>4455</v>
      </c>
      <c r="F2992" s="461" t="s">
        <v>8326</v>
      </c>
    </row>
    <row r="2993" spans="1:6" ht="15" x14ac:dyDescent="0.25">
      <c r="A2993" s="461">
        <v>2437</v>
      </c>
      <c r="B2993" s="460" t="s">
        <v>11113</v>
      </c>
      <c r="C2993" s="461" t="s">
        <v>1103</v>
      </c>
      <c r="D2993" s="461">
        <v>18</v>
      </c>
      <c r="E2993" s="461" t="s">
        <v>4455</v>
      </c>
      <c r="F2993" s="461" t="s">
        <v>8326</v>
      </c>
    </row>
    <row r="2994" spans="1:6" ht="15" x14ac:dyDescent="0.25">
      <c r="A2994" s="461">
        <v>40921</v>
      </c>
      <c r="B2994" s="460" t="s">
        <v>11114</v>
      </c>
      <c r="C2994" s="461" t="s">
        <v>1110</v>
      </c>
      <c r="D2994" s="461">
        <v>3206.12</v>
      </c>
      <c r="E2994" s="461" t="s">
        <v>4455</v>
      </c>
      <c r="F2994" s="461" t="s">
        <v>8326</v>
      </c>
    </row>
    <row r="2995" spans="1:6" ht="30" x14ac:dyDescent="0.25">
      <c r="A2995" s="461">
        <v>14252</v>
      </c>
      <c r="B2995" s="460" t="s">
        <v>11115</v>
      </c>
      <c r="C2995" s="461" t="s">
        <v>1104</v>
      </c>
      <c r="D2995" s="461">
        <v>3846.66</v>
      </c>
      <c r="E2995" s="461" t="s">
        <v>1497</v>
      </c>
      <c r="F2995" s="461" t="s">
        <v>8326</v>
      </c>
    </row>
    <row r="2996" spans="1:6" ht="45" x14ac:dyDescent="0.25">
      <c r="A2996" s="461">
        <v>730</v>
      </c>
      <c r="B2996" s="460" t="s">
        <v>11116</v>
      </c>
      <c r="C2996" s="461" t="s">
        <v>1104</v>
      </c>
      <c r="D2996" s="461">
        <v>10277.56</v>
      </c>
      <c r="E2996" s="461" t="s">
        <v>1497</v>
      </c>
      <c r="F2996" s="461" t="s">
        <v>8326</v>
      </c>
    </row>
    <row r="2997" spans="1:6" ht="45" x14ac:dyDescent="0.25">
      <c r="A2997" s="461">
        <v>723</v>
      </c>
      <c r="B2997" s="460" t="s">
        <v>11117</v>
      </c>
      <c r="C2997" s="461" t="s">
        <v>1104</v>
      </c>
      <c r="D2997" s="461">
        <v>5108.3100000000004</v>
      </c>
      <c r="E2997" s="461" t="s">
        <v>1497</v>
      </c>
      <c r="F2997" s="461" t="s">
        <v>8326</v>
      </c>
    </row>
    <row r="2998" spans="1:6" ht="30" x14ac:dyDescent="0.25">
      <c r="A2998" s="461">
        <v>36502</v>
      </c>
      <c r="B2998" s="460" t="s">
        <v>11118</v>
      </c>
      <c r="C2998" s="461" t="s">
        <v>1104</v>
      </c>
      <c r="D2998" s="461">
        <v>4801.2</v>
      </c>
      <c r="E2998" s="461" t="s">
        <v>1497</v>
      </c>
      <c r="F2998" s="461" t="s">
        <v>8326</v>
      </c>
    </row>
    <row r="2999" spans="1:6" ht="30" x14ac:dyDescent="0.25">
      <c r="A2999" s="461">
        <v>36503</v>
      </c>
      <c r="B2999" s="460" t="s">
        <v>11119</v>
      </c>
      <c r="C2999" s="461" t="s">
        <v>1104</v>
      </c>
      <c r="D2999" s="461">
        <v>5920.44</v>
      </c>
      <c r="E2999" s="461" t="s">
        <v>1497</v>
      </c>
      <c r="F2999" s="461" t="s">
        <v>8326</v>
      </c>
    </row>
    <row r="3000" spans="1:6" ht="30" x14ac:dyDescent="0.25">
      <c r="A3000" s="461">
        <v>4090</v>
      </c>
      <c r="B3000" s="460" t="s">
        <v>13266</v>
      </c>
      <c r="C3000" s="461" t="s">
        <v>1104</v>
      </c>
      <c r="D3000" s="461">
        <v>1125000</v>
      </c>
      <c r="E3000" s="461" t="s">
        <v>1497</v>
      </c>
      <c r="F3000" s="461" t="s">
        <v>8328</v>
      </c>
    </row>
    <row r="3001" spans="1:6" ht="30" x14ac:dyDescent="0.25">
      <c r="A3001" s="461">
        <v>13227</v>
      </c>
      <c r="B3001" s="460" t="s">
        <v>11120</v>
      </c>
      <c r="C3001" s="461" t="s">
        <v>1104</v>
      </c>
      <c r="D3001" s="511">
        <v>1397952.78</v>
      </c>
      <c r="E3001" s="461" t="s">
        <v>1497</v>
      </c>
      <c r="F3001" s="461" t="s">
        <v>8328</v>
      </c>
    </row>
    <row r="3002" spans="1:6" ht="30" x14ac:dyDescent="0.25">
      <c r="A3002" s="461">
        <v>10597</v>
      </c>
      <c r="B3002" s="460" t="s">
        <v>11121</v>
      </c>
      <c r="C3002" s="461" t="s">
        <v>1104</v>
      </c>
      <c r="D3002" s="511">
        <v>1471525.65</v>
      </c>
      <c r="E3002" s="461" t="s">
        <v>1497</v>
      </c>
      <c r="F3002" s="461" t="s">
        <v>8328</v>
      </c>
    </row>
    <row r="3003" spans="1:6" ht="15" x14ac:dyDescent="0.25">
      <c r="A3003" s="461">
        <v>39628</v>
      </c>
      <c r="B3003" s="460" t="s">
        <v>11122</v>
      </c>
      <c r="C3003" s="461" t="s">
        <v>1104</v>
      </c>
      <c r="D3003" s="461">
        <v>4305.1899999999996</v>
      </c>
      <c r="E3003" s="461" t="s">
        <v>1497</v>
      </c>
      <c r="F3003" s="461" t="s">
        <v>8328</v>
      </c>
    </row>
    <row r="3004" spans="1:6" ht="15" x14ac:dyDescent="0.25">
      <c r="A3004" s="461">
        <v>39404</v>
      </c>
      <c r="B3004" s="460" t="s">
        <v>11123</v>
      </c>
      <c r="C3004" s="461" t="s">
        <v>1104</v>
      </c>
      <c r="D3004" s="461">
        <v>2134.8000000000002</v>
      </c>
      <c r="E3004" s="461" t="s">
        <v>1497</v>
      </c>
      <c r="F3004" s="461" t="s">
        <v>8328</v>
      </c>
    </row>
    <row r="3005" spans="1:6" ht="15" x14ac:dyDescent="0.25">
      <c r="A3005" s="461">
        <v>39402</v>
      </c>
      <c r="B3005" s="460" t="s">
        <v>11124</v>
      </c>
      <c r="C3005" s="461" t="s">
        <v>1104</v>
      </c>
      <c r="D3005" s="511">
        <v>1758.67</v>
      </c>
      <c r="E3005" s="461" t="s">
        <v>1497</v>
      </c>
      <c r="F3005" s="461" t="s">
        <v>8328</v>
      </c>
    </row>
    <row r="3006" spans="1:6" ht="15" x14ac:dyDescent="0.25">
      <c r="A3006" s="461">
        <v>39403</v>
      </c>
      <c r="B3006" s="460" t="s">
        <v>11125</v>
      </c>
      <c r="C3006" s="461" t="s">
        <v>1104</v>
      </c>
      <c r="D3006" s="511">
        <v>1720.42</v>
      </c>
      <c r="E3006" s="461" t="s">
        <v>1497</v>
      </c>
      <c r="F3006" s="461" t="s">
        <v>8328</v>
      </c>
    </row>
    <row r="3007" spans="1:6" ht="15" x14ac:dyDescent="0.25">
      <c r="A3007" s="461">
        <v>4093</v>
      </c>
      <c r="B3007" s="460" t="s">
        <v>11126</v>
      </c>
      <c r="C3007" s="461" t="s">
        <v>1103</v>
      </c>
      <c r="D3007" s="511">
        <v>21.01</v>
      </c>
      <c r="E3007" s="461" t="s">
        <v>4455</v>
      </c>
      <c r="F3007" s="461" t="s">
        <v>8333</v>
      </c>
    </row>
    <row r="3008" spans="1:6" ht="15" x14ac:dyDescent="0.25">
      <c r="A3008" s="461">
        <v>10512</v>
      </c>
      <c r="B3008" s="460" t="s">
        <v>11127</v>
      </c>
      <c r="C3008" s="461" t="s">
        <v>1110</v>
      </c>
      <c r="D3008" s="511">
        <v>3740.88</v>
      </c>
      <c r="E3008" s="461" t="s">
        <v>4455</v>
      </c>
      <c r="F3008" s="461" t="s">
        <v>8326</v>
      </c>
    </row>
    <row r="3009" spans="1:6" ht="15" x14ac:dyDescent="0.25">
      <c r="A3009" s="461">
        <v>4243</v>
      </c>
      <c r="B3009" s="460" t="s">
        <v>11128</v>
      </c>
      <c r="C3009" s="461" t="s">
        <v>1103</v>
      </c>
      <c r="D3009" s="511">
        <v>18</v>
      </c>
      <c r="E3009" s="461" t="s">
        <v>4455</v>
      </c>
      <c r="F3009" s="461" t="s">
        <v>8326</v>
      </c>
    </row>
    <row r="3010" spans="1:6" ht="15" x14ac:dyDescent="0.25">
      <c r="A3010" s="461">
        <v>20020</v>
      </c>
      <c r="B3010" s="460" t="s">
        <v>11129</v>
      </c>
      <c r="C3010" s="461" t="s">
        <v>1103</v>
      </c>
      <c r="D3010" s="511">
        <v>21.83</v>
      </c>
      <c r="E3010" s="461" t="s">
        <v>4455</v>
      </c>
      <c r="F3010" s="461" t="s">
        <v>8326</v>
      </c>
    </row>
    <row r="3011" spans="1:6" ht="15" x14ac:dyDescent="0.25">
      <c r="A3011" s="461">
        <v>41038</v>
      </c>
      <c r="B3011" s="460" t="s">
        <v>11130</v>
      </c>
      <c r="C3011" s="461" t="s">
        <v>1110</v>
      </c>
      <c r="D3011" s="511">
        <v>3887.53</v>
      </c>
      <c r="E3011" s="461" t="s">
        <v>4455</v>
      </c>
      <c r="F3011" s="461" t="s">
        <v>8326</v>
      </c>
    </row>
    <row r="3012" spans="1:6" ht="15" x14ac:dyDescent="0.25">
      <c r="A3012" s="461">
        <v>4094</v>
      </c>
      <c r="B3012" s="460" t="s">
        <v>11131</v>
      </c>
      <c r="C3012" s="461" t="s">
        <v>1103</v>
      </c>
      <c r="D3012" s="511">
        <v>26.12</v>
      </c>
      <c r="E3012" s="461" t="s">
        <v>4455</v>
      </c>
      <c r="F3012" s="461" t="s">
        <v>8326</v>
      </c>
    </row>
    <row r="3013" spans="1:6" ht="15" x14ac:dyDescent="0.25">
      <c r="A3013" s="461">
        <v>40988</v>
      </c>
      <c r="B3013" s="460" t="s">
        <v>11132</v>
      </c>
      <c r="C3013" s="461" t="s">
        <v>1110</v>
      </c>
      <c r="D3013" s="511">
        <v>4652.99</v>
      </c>
      <c r="E3013" s="461" t="s">
        <v>4455</v>
      </c>
      <c r="F3013" s="461" t="s">
        <v>8326</v>
      </c>
    </row>
    <row r="3014" spans="1:6" ht="15" x14ac:dyDescent="0.25">
      <c r="A3014" s="461">
        <v>4095</v>
      </c>
      <c r="B3014" s="460" t="s">
        <v>11133</v>
      </c>
      <c r="C3014" s="461" t="s">
        <v>1103</v>
      </c>
      <c r="D3014" s="511">
        <v>18.8</v>
      </c>
      <c r="E3014" s="461" t="s">
        <v>4455</v>
      </c>
      <c r="F3014" s="461" t="s">
        <v>8326</v>
      </c>
    </row>
    <row r="3015" spans="1:6" ht="15" x14ac:dyDescent="0.25">
      <c r="A3015" s="461">
        <v>40990</v>
      </c>
      <c r="B3015" s="460" t="s">
        <v>11134</v>
      </c>
      <c r="C3015" s="461" t="s">
        <v>1110</v>
      </c>
      <c r="D3015" s="511">
        <v>3350.24</v>
      </c>
      <c r="E3015" s="461" t="s">
        <v>4455</v>
      </c>
      <c r="F3015" s="461" t="s">
        <v>8326</v>
      </c>
    </row>
    <row r="3016" spans="1:6" ht="15" x14ac:dyDescent="0.25">
      <c r="A3016" s="461">
        <v>4096</v>
      </c>
      <c r="B3016" s="460" t="s">
        <v>11135</v>
      </c>
      <c r="C3016" s="461" t="s">
        <v>1103</v>
      </c>
      <c r="D3016" s="511">
        <v>22.21</v>
      </c>
      <c r="E3016" s="461" t="s">
        <v>4455</v>
      </c>
      <c r="F3016" s="461" t="s">
        <v>8326</v>
      </c>
    </row>
    <row r="3017" spans="1:6" ht="15" x14ac:dyDescent="0.25">
      <c r="A3017" s="461">
        <v>40992</v>
      </c>
      <c r="B3017" s="460" t="s">
        <v>11136</v>
      </c>
      <c r="C3017" s="461" t="s">
        <v>1110</v>
      </c>
      <c r="D3017" s="511">
        <v>3955.94</v>
      </c>
      <c r="E3017" s="461" t="s">
        <v>4455</v>
      </c>
      <c r="F3017" s="461" t="s">
        <v>8326</v>
      </c>
    </row>
    <row r="3018" spans="1:6" ht="30" x14ac:dyDescent="0.25">
      <c r="A3018" s="461">
        <v>4114</v>
      </c>
      <c r="B3018" s="460" t="s">
        <v>11137</v>
      </c>
      <c r="C3018" s="461" t="s">
        <v>1104</v>
      </c>
      <c r="D3018" s="461">
        <v>74.400000000000006</v>
      </c>
      <c r="E3018" s="461" t="s">
        <v>161</v>
      </c>
      <c r="F3018" s="461" t="s">
        <v>8326</v>
      </c>
    </row>
    <row r="3019" spans="1:6" ht="15" x14ac:dyDescent="0.25">
      <c r="A3019" s="461">
        <v>36797</v>
      </c>
      <c r="B3019" s="460" t="s">
        <v>11138</v>
      </c>
      <c r="C3019" s="461" t="s">
        <v>1104</v>
      </c>
      <c r="D3019" s="511">
        <v>66.239999999999995</v>
      </c>
      <c r="E3019" s="461" t="s">
        <v>161</v>
      </c>
      <c r="F3019" s="461" t="s">
        <v>8326</v>
      </c>
    </row>
    <row r="3020" spans="1:6" ht="15" x14ac:dyDescent="0.25">
      <c r="A3020" s="461">
        <v>4107</v>
      </c>
      <c r="B3020" s="460" t="s">
        <v>11139</v>
      </c>
      <c r="C3020" s="461" t="s">
        <v>1104</v>
      </c>
      <c r="D3020" s="461">
        <v>62.46</v>
      </c>
      <c r="E3020" s="461" t="s">
        <v>161</v>
      </c>
      <c r="F3020" s="461" t="s">
        <v>8326</v>
      </c>
    </row>
    <row r="3021" spans="1:6" ht="15" x14ac:dyDescent="0.25">
      <c r="A3021" s="461">
        <v>4102</v>
      </c>
      <c r="B3021" s="460" t="s">
        <v>11140</v>
      </c>
      <c r="C3021" s="461" t="s">
        <v>1104</v>
      </c>
      <c r="D3021" s="461">
        <v>76.239999999999995</v>
      </c>
      <c r="E3021" s="461" t="s">
        <v>161</v>
      </c>
      <c r="F3021" s="461" t="s">
        <v>8333</v>
      </c>
    </row>
    <row r="3022" spans="1:6" ht="15" x14ac:dyDescent="0.25">
      <c r="A3022" s="461">
        <v>36799</v>
      </c>
      <c r="B3022" s="460" t="s">
        <v>11141</v>
      </c>
      <c r="C3022" s="461" t="s">
        <v>1104</v>
      </c>
      <c r="D3022" s="511">
        <v>64.290000000000006</v>
      </c>
      <c r="E3022" s="461" t="s">
        <v>161</v>
      </c>
      <c r="F3022" s="461" t="s">
        <v>8326</v>
      </c>
    </row>
    <row r="3023" spans="1:6" ht="30" x14ac:dyDescent="0.25">
      <c r="A3023" s="461">
        <v>2747</v>
      </c>
      <c r="B3023" s="460" t="s">
        <v>11142</v>
      </c>
      <c r="C3023" s="461" t="s">
        <v>1107</v>
      </c>
      <c r="D3023" s="461">
        <v>32.270000000000003</v>
      </c>
      <c r="E3023" s="461" t="s">
        <v>161</v>
      </c>
      <c r="F3023" s="461" t="s">
        <v>8326</v>
      </c>
    </row>
    <row r="3024" spans="1:6" ht="30" x14ac:dyDescent="0.25">
      <c r="A3024" s="461">
        <v>21138</v>
      </c>
      <c r="B3024" s="460" t="s">
        <v>11143</v>
      </c>
      <c r="C3024" s="461" t="s">
        <v>1107</v>
      </c>
      <c r="D3024" s="511">
        <v>10.23</v>
      </c>
      <c r="E3024" s="461" t="s">
        <v>161</v>
      </c>
      <c r="F3024" s="461" t="s">
        <v>8333</v>
      </c>
    </row>
    <row r="3025" spans="1:6" ht="30" x14ac:dyDescent="0.25">
      <c r="A3025" s="461">
        <v>10826</v>
      </c>
      <c r="B3025" s="460" t="s">
        <v>11144</v>
      </c>
      <c r="C3025" s="461" t="s">
        <v>1104</v>
      </c>
      <c r="D3025" s="461">
        <v>79.02</v>
      </c>
      <c r="E3025" s="461" t="s">
        <v>161</v>
      </c>
      <c r="F3025" s="461" t="s">
        <v>8326</v>
      </c>
    </row>
    <row r="3026" spans="1:6" ht="30" x14ac:dyDescent="0.25">
      <c r="A3026" s="461">
        <v>365</v>
      </c>
      <c r="B3026" s="460" t="s">
        <v>11145</v>
      </c>
      <c r="C3026" s="461" t="s">
        <v>1104</v>
      </c>
      <c r="D3026" s="511">
        <v>48.99</v>
      </c>
      <c r="E3026" s="461" t="s">
        <v>161</v>
      </c>
      <c r="F3026" s="461" t="s">
        <v>8326</v>
      </c>
    </row>
    <row r="3027" spans="1:6" ht="15" x14ac:dyDescent="0.25">
      <c r="A3027" s="461">
        <v>38639</v>
      </c>
      <c r="B3027" s="460" t="s">
        <v>11146</v>
      </c>
      <c r="C3027" s="461" t="s">
        <v>1104</v>
      </c>
      <c r="D3027" s="461">
        <v>189.65</v>
      </c>
      <c r="E3027" s="461" t="s">
        <v>161</v>
      </c>
      <c r="F3027" s="461" t="s">
        <v>8326</v>
      </c>
    </row>
    <row r="3028" spans="1:6" ht="15" x14ac:dyDescent="0.25">
      <c r="A3028" s="461">
        <v>38640</v>
      </c>
      <c r="B3028" s="460" t="s">
        <v>11147</v>
      </c>
      <c r="C3028" s="461" t="s">
        <v>1104</v>
      </c>
      <c r="D3028" s="511">
        <v>2.84</v>
      </c>
      <c r="E3028" s="461" t="s">
        <v>161</v>
      </c>
      <c r="F3028" s="461" t="s">
        <v>8326</v>
      </c>
    </row>
    <row r="3029" spans="1:6" ht="30" x14ac:dyDescent="0.25">
      <c r="A3029" s="461">
        <v>358</v>
      </c>
      <c r="B3029" s="460" t="s">
        <v>13267</v>
      </c>
      <c r="C3029" s="461" t="s">
        <v>1104</v>
      </c>
      <c r="D3029" s="461">
        <v>58.47</v>
      </c>
      <c r="E3029" s="461" t="s">
        <v>161</v>
      </c>
      <c r="F3029" s="461" t="s">
        <v>8326</v>
      </c>
    </row>
    <row r="3030" spans="1:6" ht="30" x14ac:dyDescent="0.25">
      <c r="A3030" s="461">
        <v>359</v>
      </c>
      <c r="B3030" s="460" t="s">
        <v>13268</v>
      </c>
      <c r="C3030" s="461" t="s">
        <v>1104</v>
      </c>
      <c r="D3030" s="461">
        <v>120.11</v>
      </c>
      <c r="E3030" s="461" t="s">
        <v>161</v>
      </c>
      <c r="F3030" s="461" t="s">
        <v>8326</v>
      </c>
    </row>
    <row r="3031" spans="1:6" ht="15" x14ac:dyDescent="0.25">
      <c r="A3031" s="461">
        <v>38641</v>
      </c>
      <c r="B3031" s="460" t="s">
        <v>11148</v>
      </c>
      <c r="C3031" s="461" t="s">
        <v>1104</v>
      </c>
      <c r="D3031" s="461">
        <v>118.53</v>
      </c>
      <c r="E3031" s="461" t="s">
        <v>161</v>
      </c>
      <c r="F3031" s="461" t="s">
        <v>8326</v>
      </c>
    </row>
    <row r="3032" spans="1:6" ht="30" x14ac:dyDescent="0.25">
      <c r="A3032" s="461">
        <v>360</v>
      </c>
      <c r="B3032" s="460" t="s">
        <v>11149</v>
      </c>
      <c r="C3032" s="461" t="s">
        <v>1104</v>
      </c>
      <c r="D3032" s="461">
        <v>2.75</v>
      </c>
      <c r="E3032" s="461" t="s">
        <v>161</v>
      </c>
      <c r="F3032" s="461" t="s">
        <v>8333</v>
      </c>
    </row>
    <row r="3033" spans="1:6" ht="45" x14ac:dyDescent="0.25">
      <c r="A3033" s="461">
        <v>42430</v>
      </c>
      <c r="B3033" s="460" t="s">
        <v>11150</v>
      </c>
      <c r="C3033" s="461" t="s">
        <v>1104</v>
      </c>
      <c r="D3033" s="461">
        <v>6434.22</v>
      </c>
      <c r="E3033" s="461" t="s">
        <v>161</v>
      </c>
      <c r="F3033" s="461" t="s">
        <v>8328</v>
      </c>
    </row>
    <row r="3034" spans="1:6" ht="15" x14ac:dyDescent="0.25">
      <c r="A3034" s="461">
        <v>4209</v>
      </c>
      <c r="B3034" s="460" t="s">
        <v>11151</v>
      </c>
      <c r="C3034" s="461" t="s">
        <v>1104</v>
      </c>
      <c r="D3034" s="461">
        <v>25.23</v>
      </c>
      <c r="E3034" s="461" t="s">
        <v>161</v>
      </c>
      <c r="F3034" s="461" t="s">
        <v>8328</v>
      </c>
    </row>
    <row r="3035" spans="1:6" ht="15" x14ac:dyDescent="0.25">
      <c r="A3035" s="461">
        <v>4180</v>
      </c>
      <c r="B3035" s="460" t="s">
        <v>11152</v>
      </c>
      <c r="C3035" s="461" t="s">
        <v>1104</v>
      </c>
      <c r="D3035" s="461">
        <v>18.989999999999998</v>
      </c>
      <c r="E3035" s="461" t="s">
        <v>161</v>
      </c>
      <c r="F3035" s="461" t="s">
        <v>8328</v>
      </c>
    </row>
    <row r="3036" spans="1:6" ht="15" x14ac:dyDescent="0.25">
      <c r="A3036" s="461">
        <v>4177</v>
      </c>
      <c r="B3036" s="460" t="s">
        <v>11153</v>
      </c>
      <c r="C3036" s="461" t="s">
        <v>1104</v>
      </c>
      <c r="D3036" s="461">
        <v>6.3</v>
      </c>
      <c r="E3036" s="461" t="s">
        <v>161</v>
      </c>
      <c r="F3036" s="461" t="s">
        <v>8328</v>
      </c>
    </row>
    <row r="3037" spans="1:6" ht="15" x14ac:dyDescent="0.25">
      <c r="A3037" s="461">
        <v>4179</v>
      </c>
      <c r="B3037" s="460" t="s">
        <v>11154</v>
      </c>
      <c r="C3037" s="461" t="s">
        <v>1104</v>
      </c>
      <c r="D3037" s="461">
        <v>12.9</v>
      </c>
      <c r="E3037" s="461" t="s">
        <v>161</v>
      </c>
      <c r="F3037" s="461" t="s">
        <v>8328</v>
      </c>
    </row>
    <row r="3038" spans="1:6" ht="15" x14ac:dyDescent="0.25">
      <c r="A3038" s="461">
        <v>4208</v>
      </c>
      <c r="B3038" s="460" t="s">
        <v>11155</v>
      </c>
      <c r="C3038" s="461" t="s">
        <v>1104</v>
      </c>
      <c r="D3038" s="461">
        <v>60.06</v>
      </c>
      <c r="E3038" s="461" t="s">
        <v>161</v>
      </c>
      <c r="F3038" s="461" t="s">
        <v>8328</v>
      </c>
    </row>
    <row r="3039" spans="1:6" ht="15" x14ac:dyDescent="0.25">
      <c r="A3039" s="461">
        <v>4181</v>
      </c>
      <c r="B3039" s="460" t="s">
        <v>11156</v>
      </c>
      <c r="C3039" s="461" t="s">
        <v>1104</v>
      </c>
      <c r="D3039" s="461">
        <v>39.24</v>
      </c>
      <c r="E3039" s="461" t="s">
        <v>161</v>
      </c>
      <c r="F3039" s="461" t="s">
        <v>8328</v>
      </c>
    </row>
    <row r="3040" spans="1:6" ht="15" x14ac:dyDescent="0.25">
      <c r="A3040" s="461">
        <v>4178</v>
      </c>
      <c r="B3040" s="460" t="s">
        <v>11157</v>
      </c>
      <c r="C3040" s="461" t="s">
        <v>1104</v>
      </c>
      <c r="D3040" s="461">
        <v>8.74</v>
      </c>
      <c r="E3040" s="461" t="s">
        <v>161</v>
      </c>
      <c r="F3040" s="461" t="s">
        <v>8328</v>
      </c>
    </row>
    <row r="3041" spans="1:6" ht="15" x14ac:dyDescent="0.25">
      <c r="A3041" s="461">
        <v>4182</v>
      </c>
      <c r="B3041" s="460" t="s">
        <v>11158</v>
      </c>
      <c r="C3041" s="461" t="s">
        <v>1104</v>
      </c>
      <c r="D3041" s="461">
        <v>97.7</v>
      </c>
      <c r="E3041" s="461" t="s">
        <v>161</v>
      </c>
      <c r="F3041" s="461" t="s">
        <v>8328</v>
      </c>
    </row>
    <row r="3042" spans="1:6" ht="15" x14ac:dyDescent="0.25">
      <c r="A3042" s="461">
        <v>4183</v>
      </c>
      <c r="B3042" s="460" t="s">
        <v>11159</v>
      </c>
      <c r="C3042" s="461" t="s">
        <v>1104</v>
      </c>
      <c r="D3042" s="461">
        <v>157.29</v>
      </c>
      <c r="E3042" s="461" t="s">
        <v>161</v>
      </c>
      <c r="F3042" s="461" t="s">
        <v>8328</v>
      </c>
    </row>
    <row r="3043" spans="1:6" ht="15" x14ac:dyDescent="0.25">
      <c r="A3043" s="461">
        <v>4184</v>
      </c>
      <c r="B3043" s="460" t="s">
        <v>11160</v>
      </c>
      <c r="C3043" s="461" t="s">
        <v>1104</v>
      </c>
      <c r="D3043" s="461">
        <v>347.21</v>
      </c>
      <c r="E3043" s="461" t="s">
        <v>161</v>
      </c>
      <c r="F3043" s="461" t="s">
        <v>8328</v>
      </c>
    </row>
    <row r="3044" spans="1:6" ht="15" x14ac:dyDescent="0.25">
      <c r="A3044" s="461">
        <v>4185</v>
      </c>
      <c r="B3044" s="460" t="s">
        <v>11161</v>
      </c>
      <c r="C3044" s="461" t="s">
        <v>1104</v>
      </c>
      <c r="D3044" s="511">
        <v>576.91</v>
      </c>
      <c r="E3044" s="461" t="s">
        <v>161</v>
      </c>
      <c r="F3044" s="461" t="s">
        <v>8328</v>
      </c>
    </row>
    <row r="3045" spans="1:6" ht="15" x14ac:dyDescent="0.25">
      <c r="A3045" s="461">
        <v>4205</v>
      </c>
      <c r="B3045" s="460" t="s">
        <v>11162</v>
      </c>
      <c r="C3045" s="461" t="s">
        <v>1104</v>
      </c>
      <c r="D3045" s="461">
        <v>33.32</v>
      </c>
      <c r="E3045" s="461" t="s">
        <v>161</v>
      </c>
      <c r="F3045" s="461" t="s">
        <v>8328</v>
      </c>
    </row>
    <row r="3046" spans="1:6" ht="15" x14ac:dyDescent="0.25">
      <c r="A3046" s="461">
        <v>4192</v>
      </c>
      <c r="B3046" s="460" t="s">
        <v>11163</v>
      </c>
      <c r="C3046" s="461" t="s">
        <v>1104</v>
      </c>
      <c r="D3046" s="461">
        <v>33.32</v>
      </c>
      <c r="E3046" s="461" t="s">
        <v>161</v>
      </c>
      <c r="F3046" s="461" t="s">
        <v>8328</v>
      </c>
    </row>
    <row r="3047" spans="1:6" ht="15" x14ac:dyDescent="0.25">
      <c r="A3047" s="461">
        <v>4191</v>
      </c>
      <c r="B3047" s="460" t="s">
        <v>11164</v>
      </c>
      <c r="C3047" s="461" t="s">
        <v>1104</v>
      </c>
      <c r="D3047" s="461">
        <v>33.32</v>
      </c>
      <c r="E3047" s="461" t="s">
        <v>161</v>
      </c>
      <c r="F3047" s="461" t="s">
        <v>8328</v>
      </c>
    </row>
    <row r="3048" spans="1:6" ht="15" x14ac:dyDescent="0.25">
      <c r="A3048" s="461">
        <v>4207</v>
      </c>
      <c r="B3048" s="460" t="s">
        <v>11165</v>
      </c>
      <c r="C3048" s="461" t="s">
        <v>1104</v>
      </c>
      <c r="D3048" s="461">
        <v>26.81</v>
      </c>
      <c r="E3048" s="461" t="s">
        <v>161</v>
      </c>
      <c r="F3048" s="461" t="s">
        <v>8328</v>
      </c>
    </row>
    <row r="3049" spans="1:6" ht="15" x14ac:dyDescent="0.25">
      <c r="A3049" s="461">
        <v>4206</v>
      </c>
      <c r="B3049" s="460" t="s">
        <v>11166</v>
      </c>
      <c r="C3049" s="461" t="s">
        <v>1104</v>
      </c>
      <c r="D3049" s="461">
        <v>26.03</v>
      </c>
      <c r="E3049" s="461" t="s">
        <v>161</v>
      </c>
      <c r="F3049" s="461" t="s">
        <v>8328</v>
      </c>
    </row>
    <row r="3050" spans="1:6" ht="15" x14ac:dyDescent="0.25">
      <c r="A3050" s="461">
        <v>4190</v>
      </c>
      <c r="B3050" s="460" t="s">
        <v>11167</v>
      </c>
      <c r="C3050" s="461" t="s">
        <v>1104</v>
      </c>
      <c r="D3050" s="461">
        <v>26.03</v>
      </c>
      <c r="E3050" s="461" t="s">
        <v>161</v>
      </c>
      <c r="F3050" s="461" t="s">
        <v>8328</v>
      </c>
    </row>
    <row r="3051" spans="1:6" ht="15" x14ac:dyDescent="0.25">
      <c r="A3051" s="461">
        <v>4186</v>
      </c>
      <c r="B3051" s="460" t="s">
        <v>11168</v>
      </c>
      <c r="C3051" s="461" t="s">
        <v>1104</v>
      </c>
      <c r="D3051" s="461">
        <v>7.69</v>
      </c>
      <c r="E3051" s="461" t="s">
        <v>161</v>
      </c>
      <c r="F3051" s="461" t="s">
        <v>8328</v>
      </c>
    </row>
    <row r="3052" spans="1:6" ht="15" x14ac:dyDescent="0.25">
      <c r="A3052" s="461">
        <v>4188</v>
      </c>
      <c r="B3052" s="460" t="s">
        <v>11169</v>
      </c>
      <c r="C3052" s="461" t="s">
        <v>1104</v>
      </c>
      <c r="D3052" s="461">
        <v>15.71</v>
      </c>
      <c r="E3052" s="461" t="s">
        <v>161</v>
      </c>
      <c r="F3052" s="461" t="s">
        <v>8328</v>
      </c>
    </row>
    <row r="3053" spans="1:6" ht="15" x14ac:dyDescent="0.25">
      <c r="A3053" s="461">
        <v>4189</v>
      </c>
      <c r="B3053" s="460" t="s">
        <v>11170</v>
      </c>
      <c r="C3053" s="461" t="s">
        <v>1104</v>
      </c>
      <c r="D3053" s="461">
        <v>15.71</v>
      </c>
      <c r="E3053" s="461" t="s">
        <v>161</v>
      </c>
      <c r="F3053" s="461" t="s">
        <v>8328</v>
      </c>
    </row>
    <row r="3054" spans="1:6" ht="15" x14ac:dyDescent="0.25">
      <c r="A3054" s="461">
        <v>4197</v>
      </c>
      <c r="B3054" s="460" t="s">
        <v>11171</v>
      </c>
      <c r="C3054" s="461" t="s">
        <v>1104</v>
      </c>
      <c r="D3054" s="461">
        <v>83.19</v>
      </c>
      <c r="E3054" s="461" t="s">
        <v>161</v>
      </c>
      <c r="F3054" s="461" t="s">
        <v>8328</v>
      </c>
    </row>
    <row r="3055" spans="1:6" ht="15" x14ac:dyDescent="0.25">
      <c r="A3055" s="461">
        <v>4194</v>
      </c>
      <c r="B3055" s="460" t="s">
        <v>11172</v>
      </c>
      <c r="C3055" s="461" t="s">
        <v>1104</v>
      </c>
      <c r="D3055" s="461">
        <v>50.27</v>
      </c>
      <c r="E3055" s="461" t="s">
        <v>161</v>
      </c>
      <c r="F3055" s="461" t="s">
        <v>8328</v>
      </c>
    </row>
    <row r="3056" spans="1:6" ht="15" x14ac:dyDescent="0.25">
      <c r="A3056" s="461">
        <v>4193</v>
      </c>
      <c r="B3056" s="460" t="s">
        <v>11173</v>
      </c>
      <c r="C3056" s="461" t="s">
        <v>1104</v>
      </c>
      <c r="D3056" s="461">
        <v>50.27</v>
      </c>
      <c r="E3056" s="461" t="s">
        <v>161</v>
      </c>
      <c r="F3056" s="461" t="s">
        <v>8328</v>
      </c>
    </row>
    <row r="3057" spans="1:6" ht="15" x14ac:dyDescent="0.25">
      <c r="A3057" s="461">
        <v>4204</v>
      </c>
      <c r="B3057" s="460" t="s">
        <v>11174</v>
      </c>
      <c r="C3057" s="461" t="s">
        <v>1104</v>
      </c>
      <c r="D3057" s="461">
        <v>50.27</v>
      </c>
      <c r="E3057" s="461" t="s">
        <v>161</v>
      </c>
      <c r="F3057" s="461" t="s">
        <v>8328</v>
      </c>
    </row>
    <row r="3058" spans="1:6" ht="15" x14ac:dyDescent="0.25">
      <c r="A3058" s="461">
        <v>4187</v>
      </c>
      <c r="B3058" s="460" t="s">
        <v>11175</v>
      </c>
      <c r="C3058" s="461" t="s">
        <v>1104</v>
      </c>
      <c r="D3058" s="461">
        <v>10.02</v>
      </c>
      <c r="E3058" s="461" t="s">
        <v>161</v>
      </c>
      <c r="F3058" s="461" t="s">
        <v>8328</v>
      </c>
    </row>
    <row r="3059" spans="1:6" ht="15" x14ac:dyDescent="0.25">
      <c r="A3059" s="461">
        <v>4202</v>
      </c>
      <c r="B3059" s="460" t="s">
        <v>11176</v>
      </c>
      <c r="C3059" s="461" t="s">
        <v>1104</v>
      </c>
      <c r="D3059" s="461">
        <v>151.93</v>
      </c>
      <c r="E3059" s="461" t="s">
        <v>161</v>
      </c>
      <c r="F3059" s="461" t="s">
        <v>8328</v>
      </c>
    </row>
    <row r="3060" spans="1:6" ht="15" x14ac:dyDescent="0.25">
      <c r="A3060" s="461">
        <v>4203</v>
      </c>
      <c r="B3060" s="460" t="s">
        <v>11177</v>
      </c>
      <c r="C3060" s="461" t="s">
        <v>1104</v>
      </c>
      <c r="D3060" s="461">
        <v>134.18</v>
      </c>
      <c r="E3060" s="461" t="s">
        <v>161</v>
      </c>
      <c r="F3060" s="461" t="s">
        <v>8328</v>
      </c>
    </row>
    <row r="3061" spans="1:6" ht="30" x14ac:dyDescent="0.25">
      <c r="A3061" s="461">
        <v>40368</v>
      </c>
      <c r="B3061" s="460" t="s">
        <v>11178</v>
      </c>
      <c r="C3061" s="461" t="s">
        <v>1104</v>
      </c>
      <c r="D3061" s="461">
        <v>56.95</v>
      </c>
      <c r="E3061" s="461" t="s">
        <v>161</v>
      </c>
      <c r="F3061" s="461" t="s">
        <v>8328</v>
      </c>
    </row>
    <row r="3062" spans="1:6" ht="30" x14ac:dyDescent="0.25">
      <c r="A3062" s="461">
        <v>40365</v>
      </c>
      <c r="B3062" s="460" t="s">
        <v>11179</v>
      </c>
      <c r="C3062" s="461" t="s">
        <v>1104</v>
      </c>
      <c r="D3062" s="461">
        <v>38.42</v>
      </c>
      <c r="E3062" s="461" t="s">
        <v>161</v>
      </c>
      <c r="F3062" s="461" t="s">
        <v>8328</v>
      </c>
    </row>
    <row r="3063" spans="1:6" ht="15" x14ac:dyDescent="0.25">
      <c r="A3063" s="461">
        <v>40356</v>
      </c>
      <c r="B3063" s="460" t="s">
        <v>11180</v>
      </c>
      <c r="C3063" s="461" t="s">
        <v>1104</v>
      </c>
      <c r="D3063" s="461">
        <v>13.13</v>
      </c>
      <c r="E3063" s="461" t="s">
        <v>161</v>
      </c>
      <c r="F3063" s="461" t="s">
        <v>8328</v>
      </c>
    </row>
    <row r="3064" spans="1:6" ht="15" x14ac:dyDescent="0.25">
      <c r="A3064" s="461">
        <v>40362</v>
      </c>
      <c r="B3064" s="460" t="s">
        <v>11181</v>
      </c>
      <c r="C3064" s="461" t="s">
        <v>1104</v>
      </c>
      <c r="D3064" s="461">
        <v>25.45</v>
      </c>
      <c r="E3064" s="461" t="s">
        <v>161</v>
      </c>
      <c r="F3064" s="461" t="s">
        <v>8328</v>
      </c>
    </row>
    <row r="3065" spans="1:6" ht="30" x14ac:dyDescent="0.25">
      <c r="A3065" s="461">
        <v>40374</v>
      </c>
      <c r="B3065" s="460" t="s">
        <v>11182</v>
      </c>
      <c r="C3065" s="461" t="s">
        <v>1104</v>
      </c>
      <c r="D3065" s="461">
        <v>148.85</v>
      </c>
      <c r="E3065" s="461" t="s">
        <v>161</v>
      </c>
      <c r="F3065" s="461" t="s">
        <v>8328</v>
      </c>
    </row>
    <row r="3066" spans="1:6" ht="15" x14ac:dyDescent="0.25">
      <c r="A3066" s="461">
        <v>40371</v>
      </c>
      <c r="B3066" s="460" t="s">
        <v>11183</v>
      </c>
      <c r="C3066" s="461" t="s">
        <v>1104</v>
      </c>
      <c r="D3066" s="461">
        <v>93.7</v>
      </c>
      <c r="E3066" s="461" t="s">
        <v>161</v>
      </c>
      <c r="F3066" s="461" t="s">
        <v>8328</v>
      </c>
    </row>
    <row r="3067" spans="1:6" ht="15" x14ac:dyDescent="0.25">
      <c r="A3067" s="461">
        <v>40359</v>
      </c>
      <c r="B3067" s="460" t="s">
        <v>11184</v>
      </c>
      <c r="C3067" s="461" t="s">
        <v>1104</v>
      </c>
      <c r="D3067" s="461">
        <v>16.96</v>
      </c>
      <c r="E3067" s="461" t="s">
        <v>161</v>
      </c>
      <c r="F3067" s="461" t="s">
        <v>8328</v>
      </c>
    </row>
    <row r="3068" spans="1:6" ht="15" x14ac:dyDescent="0.25">
      <c r="A3068" s="461">
        <v>7595</v>
      </c>
      <c r="B3068" s="460" t="s">
        <v>11185</v>
      </c>
      <c r="C3068" s="461" t="s">
        <v>1103</v>
      </c>
      <c r="D3068" s="461">
        <v>15.27</v>
      </c>
      <c r="E3068" s="461" t="s">
        <v>4455</v>
      </c>
      <c r="F3068" s="461" t="s">
        <v>8326</v>
      </c>
    </row>
    <row r="3069" spans="1:6" ht="15" x14ac:dyDescent="0.25">
      <c r="A3069" s="461">
        <v>41094</v>
      </c>
      <c r="B3069" s="460" t="s">
        <v>11186</v>
      </c>
      <c r="C3069" s="461" t="s">
        <v>1110</v>
      </c>
      <c r="D3069" s="461">
        <v>2722.88</v>
      </c>
      <c r="E3069" s="461" t="s">
        <v>4455</v>
      </c>
      <c r="F3069" s="461" t="s">
        <v>8326</v>
      </c>
    </row>
    <row r="3070" spans="1:6" ht="30" x14ac:dyDescent="0.25">
      <c r="A3070" s="461">
        <v>39609</v>
      </c>
      <c r="B3070" s="460" t="s">
        <v>11187</v>
      </c>
      <c r="C3070" s="461" t="s">
        <v>1104</v>
      </c>
      <c r="D3070" s="461">
        <v>106829.68</v>
      </c>
      <c r="E3070" s="461" t="s">
        <v>161</v>
      </c>
      <c r="F3070" s="461" t="s">
        <v>8326</v>
      </c>
    </row>
    <row r="3071" spans="1:6" ht="30" x14ac:dyDescent="0.25">
      <c r="A3071" s="461">
        <v>39610</v>
      </c>
      <c r="B3071" s="460" t="s">
        <v>11188</v>
      </c>
      <c r="C3071" s="461" t="s">
        <v>1104</v>
      </c>
      <c r="D3071" s="461">
        <v>155938.01</v>
      </c>
      <c r="E3071" s="461" t="s">
        <v>161</v>
      </c>
      <c r="F3071" s="461" t="s">
        <v>8326</v>
      </c>
    </row>
    <row r="3072" spans="1:6" ht="30" x14ac:dyDescent="0.25">
      <c r="A3072" s="461">
        <v>39611</v>
      </c>
      <c r="B3072" s="460" t="s">
        <v>11189</v>
      </c>
      <c r="C3072" s="461" t="s">
        <v>1104</v>
      </c>
      <c r="D3072" s="461">
        <v>188710.51</v>
      </c>
      <c r="E3072" s="461" t="s">
        <v>161</v>
      </c>
      <c r="F3072" s="461" t="s">
        <v>8326</v>
      </c>
    </row>
    <row r="3073" spans="1:6" ht="30" x14ac:dyDescent="0.25">
      <c r="A3073" s="461">
        <v>39612</v>
      </c>
      <c r="B3073" s="460" t="s">
        <v>11190</v>
      </c>
      <c r="C3073" s="461" t="s">
        <v>1104</v>
      </c>
      <c r="D3073" s="461">
        <v>295619.27</v>
      </c>
      <c r="E3073" s="461" t="s">
        <v>161</v>
      </c>
      <c r="F3073" s="461" t="s">
        <v>8326</v>
      </c>
    </row>
    <row r="3074" spans="1:6" ht="30" x14ac:dyDescent="0.25">
      <c r="A3074" s="461">
        <v>39608</v>
      </c>
      <c r="B3074" s="460" t="s">
        <v>11191</v>
      </c>
      <c r="C3074" s="461" t="s">
        <v>1104</v>
      </c>
      <c r="D3074" s="461">
        <v>85419.89</v>
      </c>
      <c r="E3074" s="461" t="s">
        <v>161</v>
      </c>
      <c r="F3074" s="461" t="s">
        <v>8326</v>
      </c>
    </row>
    <row r="3075" spans="1:6" ht="30" x14ac:dyDescent="0.25">
      <c r="A3075" s="461">
        <v>38175</v>
      </c>
      <c r="B3075" s="460" t="s">
        <v>11192</v>
      </c>
      <c r="C3075" s="461" t="s">
        <v>1104</v>
      </c>
      <c r="D3075" s="461">
        <v>4.29</v>
      </c>
      <c r="E3075" s="461" t="s">
        <v>161</v>
      </c>
      <c r="F3075" s="461" t="s">
        <v>8326</v>
      </c>
    </row>
    <row r="3076" spans="1:6" ht="30" x14ac:dyDescent="0.25">
      <c r="A3076" s="461">
        <v>38176</v>
      </c>
      <c r="B3076" s="460" t="s">
        <v>11193</v>
      </c>
      <c r="C3076" s="461" t="s">
        <v>1104</v>
      </c>
      <c r="D3076" s="461">
        <v>12.64</v>
      </c>
      <c r="E3076" s="461" t="s">
        <v>161</v>
      </c>
      <c r="F3076" s="461" t="s">
        <v>8326</v>
      </c>
    </row>
    <row r="3077" spans="1:6" ht="30" x14ac:dyDescent="0.25">
      <c r="A3077" s="461">
        <v>36152</v>
      </c>
      <c r="B3077" s="460" t="s">
        <v>11194</v>
      </c>
      <c r="C3077" s="461" t="s">
        <v>1104</v>
      </c>
      <c r="D3077" s="461">
        <v>6.04</v>
      </c>
      <c r="E3077" s="461" t="s">
        <v>161</v>
      </c>
      <c r="F3077" s="461" t="s">
        <v>8326</v>
      </c>
    </row>
    <row r="3078" spans="1:6" ht="15" x14ac:dyDescent="0.25">
      <c r="A3078" s="461">
        <v>4221</v>
      </c>
      <c r="B3078" s="460" t="s">
        <v>11195</v>
      </c>
      <c r="C3078" s="461" t="s">
        <v>1109</v>
      </c>
      <c r="D3078" s="461">
        <v>5.81</v>
      </c>
      <c r="E3078" s="461" t="s">
        <v>161</v>
      </c>
      <c r="F3078" s="461" t="s">
        <v>8333</v>
      </c>
    </row>
    <row r="3079" spans="1:6" ht="30" x14ac:dyDescent="0.25">
      <c r="A3079" s="461">
        <v>4227</v>
      </c>
      <c r="B3079" s="460" t="s">
        <v>11196</v>
      </c>
      <c r="C3079" s="461" t="s">
        <v>1109</v>
      </c>
      <c r="D3079" s="461">
        <v>27.09</v>
      </c>
      <c r="E3079" s="461" t="s">
        <v>161</v>
      </c>
      <c r="F3079" s="461" t="s">
        <v>8326</v>
      </c>
    </row>
    <row r="3080" spans="1:6" ht="30" x14ac:dyDescent="0.25">
      <c r="A3080" s="461">
        <v>38170</v>
      </c>
      <c r="B3080" s="460" t="s">
        <v>11197</v>
      </c>
      <c r="C3080" s="461" t="s">
        <v>1104</v>
      </c>
      <c r="D3080" s="511">
        <v>18.77</v>
      </c>
      <c r="E3080" s="461" t="s">
        <v>161</v>
      </c>
      <c r="F3080" s="461" t="s">
        <v>8326</v>
      </c>
    </row>
    <row r="3081" spans="1:6" ht="15" x14ac:dyDescent="0.25">
      <c r="A3081" s="461">
        <v>4252</v>
      </c>
      <c r="B3081" s="460" t="s">
        <v>11198</v>
      </c>
      <c r="C3081" s="461" t="s">
        <v>1103</v>
      </c>
      <c r="D3081" s="511">
        <v>19.5</v>
      </c>
      <c r="E3081" s="461" t="s">
        <v>4455</v>
      </c>
      <c r="F3081" s="461" t="s">
        <v>8326</v>
      </c>
    </row>
    <row r="3082" spans="1:6" ht="15" x14ac:dyDescent="0.25">
      <c r="A3082" s="461">
        <v>40980</v>
      </c>
      <c r="B3082" s="460" t="s">
        <v>11199</v>
      </c>
      <c r="C3082" s="461" t="s">
        <v>1110</v>
      </c>
      <c r="D3082" s="511">
        <v>3473.01</v>
      </c>
      <c r="E3082" s="461" t="s">
        <v>4455</v>
      </c>
      <c r="F3082" s="461" t="s">
        <v>8326</v>
      </c>
    </row>
    <row r="3083" spans="1:6" ht="15" x14ac:dyDescent="0.25">
      <c r="A3083" s="461">
        <v>41031</v>
      </c>
      <c r="B3083" s="460" t="s">
        <v>11200</v>
      </c>
      <c r="C3083" s="461" t="s">
        <v>1110</v>
      </c>
      <c r="D3083" s="511">
        <v>3208.46</v>
      </c>
      <c r="E3083" s="461" t="s">
        <v>4455</v>
      </c>
      <c r="F3083" s="461" t="s">
        <v>8326</v>
      </c>
    </row>
    <row r="3084" spans="1:6" ht="15" x14ac:dyDescent="0.25">
      <c r="A3084" s="461">
        <v>37666</v>
      </c>
      <c r="B3084" s="460" t="s">
        <v>11201</v>
      </c>
      <c r="C3084" s="461" t="s">
        <v>1103</v>
      </c>
      <c r="D3084" s="511">
        <v>18</v>
      </c>
      <c r="E3084" s="461" t="s">
        <v>4455</v>
      </c>
      <c r="F3084" s="461" t="s">
        <v>8326</v>
      </c>
    </row>
    <row r="3085" spans="1:6" ht="15" x14ac:dyDescent="0.25">
      <c r="A3085" s="461">
        <v>40986</v>
      </c>
      <c r="B3085" s="460" t="s">
        <v>11202</v>
      </c>
      <c r="C3085" s="461" t="s">
        <v>1110</v>
      </c>
      <c r="D3085" s="511">
        <v>3206.12</v>
      </c>
      <c r="E3085" s="461" t="s">
        <v>4455</v>
      </c>
      <c r="F3085" s="461" t="s">
        <v>8326</v>
      </c>
    </row>
    <row r="3086" spans="1:6" ht="15" x14ac:dyDescent="0.25">
      <c r="A3086" s="461">
        <v>4250</v>
      </c>
      <c r="B3086" s="460" t="s">
        <v>11203</v>
      </c>
      <c r="C3086" s="461" t="s">
        <v>1103</v>
      </c>
      <c r="D3086" s="461">
        <v>14.98</v>
      </c>
      <c r="E3086" s="461" t="s">
        <v>4455</v>
      </c>
      <c r="F3086" s="461" t="s">
        <v>8326</v>
      </c>
    </row>
    <row r="3087" spans="1:6" ht="15" x14ac:dyDescent="0.25">
      <c r="A3087" s="461">
        <v>40978</v>
      </c>
      <c r="B3087" s="460" t="s">
        <v>11204</v>
      </c>
      <c r="C3087" s="461" t="s">
        <v>1110</v>
      </c>
      <c r="D3087" s="461">
        <v>2667.74</v>
      </c>
      <c r="E3087" s="461" t="s">
        <v>4455</v>
      </c>
      <c r="F3087" s="461" t="s">
        <v>8326</v>
      </c>
    </row>
    <row r="3088" spans="1:6" ht="15" x14ac:dyDescent="0.25">
      <c r="A3088" s="461">
        <v>44501</v>
      </c>
      <c r="B3088" s="460" t="s">
        <v>11205</v>
      </c>
      <c r="C3088" s="461" t="s">
        <v>1103</v>
      </c>
      <c r="D3088" s="461">
        <v>18</v>
      </c>
      <c r="E3088" s="461" t="s">
        <v>4455</v>
      </c>
      <c r="F3088" s="461" t="s">
        <v>8326</v>
      </c>
    </row>
    <row r="3089" spans="1:6" ht="15" x14ac:dyDescent="0.25">
      <c r="A3089" s="461">
        <v>41043</v>
      </c>
      <c r="B3089" s="460" t="s">
        <v>11206</v>
      </c>
      <c r="C3089" s="461" t="s">
        <v>1110</v>
      </c>
      <c r="D3089" s="461">
        <v>3208.46</v>
      </c>
      <c r="E3089" s="461" t="s">
        <v>4455</v>
      </c>
      <c r="F3089" s="461" t="s">
        <v>8326</v>
      </c>
    </row>
    <row r="3090" spans="1:6" ht="15" x14ac:dyDescent="0.25">
      <c r="A3090" s="461">
        <v>4234</v>
      </c>
      <c r="B3090" s="460" t="s">
        <v>11207</v>
      </c>
      <c r="C3090" s="461" t="s">
        <v>1103</v>
      </c>
      <c r="D3090" s="461">
        <v>21.83</v>
      </c>
      <c r="E3090" s="461" t="s">
        <v>4455</v>
      </c>
      <c r="F3090" s="461" t="s">
        <v>8333</v>
      </c>
    </row>
    <row r="3091" spans="1:6" ht="15" x14ac:dyDescent="0.25">
      <c r="A3091" s="461">
        <v>40987</v>
      </c>
      <c r="B3091" s="460" t="s">
        <v>11208</v>
      </c>
      <c r="C3091" s="461" t="s">
        <v>1110</v>
      </c>
      <c r="D3091" s="461">
        <v>3886.77</v>
      </c>
      <c r="E3091" s="461" t="s">
        <v>4455</v>
      </c>
      <c r="F3091" s="461" t="s">
        <v>8326</v>
      </c>
    </row>
    <row r="3092" spans="1:6" ht="15" x14ac:dyDescent="0.25">
      <c r="A3092" s="461">
        <v>4253</v>
      </c>
      <c r="B3092" s="460" t="s">
        <v>11209</v>
      </c>
      <c r="C3092" s="461" t="s">
        <v>1103</v>
      </c>
      <c r="D3092" s="461">
        <v>18</v>
      </c>
      <c r="E3092" s="461" t="s">
        <v>4455</v>
      </c>
      <c r="F3092" s="461" t="s">
        <v>8326</v>
      </c>
    </row>
    <row r="3093" spans="1:6" ht="15" x14ac:dyDescent="0.25">
      <c r="A3093" s="461">
        <v>40981</v>
      </c>
      <c r="B3093" s="460" t="s">
        <v>11210</v>
      </c>
      <c r="C3093" s="461" t="s">
        <v>1110</v>
      </c>
      <c r="D3093" s="511">
        <v>3206.12</v>
      </c>
      <c r="E3093" s="461" t="s">
        <v>4455</v>
      </c>
      <c r="F3093" s="461" t="s">
        <v>8326</v>
      </c>
    </row>
    <row r="3094" spans="1:6" ht="15" x14ac:dyDescent="0.25">
      <c r="A3094" s="461">
        <v>4254</v>
      </c>
      <c r="B3094" s="460" t="s">
        <v>11211</v>
      </c>
      <c r="C3094" s="461" t="s">
        <v>1103</v>
      </c>
      <c r="D3094" s="511">
        <v>18</v>
      </c>
      <c r="E3094" s="461" t="s">
        <v>4455</v>
      </c>
      <c r="F3094" s="461" t="s">
        <v>8326</v>
      </c>
    </row>
    <row r="3095" spans="1:6" ht="15" x14ac:dyDescent="0.25">
      <c r="A3095" s="461">
        <v>41036</v>
      </c>
      <c r="B3095" s="460" t="s">
        <v>11212</v>
      </c>
      <c r="C3095" s="461" t="s">
        <v>1110</v>
      </c>
      <c r="D3095" s="461">
        <v>3206.12</v>
      </c>
      <c r="E3095" s="461" t="s">
        <v>4455</v>
      </c>
      <c r="F3095" s="461" t="s">
        <v>8326</v>
      </c>
    </row>
    <row r="3096" spans="1:6" ht="15" x14ac:dyDescent="0.25">
      <c r="A3096" s="461">
        <v>4251</v>
      </c>
      <c r="B3096" s="460" t="s">
        <v>11213</v>
      </c>
      <c r="C3096" s="461" t="s">
        <v>1103</v>
      </c>
      <c r="D3096" s="511">
        <v>15.9</v>
      </c>
      <c r="E3096" s="461" t="s">
        <v>4455</v>
      </c>
      <c r="F3096" s="461" t="s">
        <v>8326</v>
      </c>
    </row>
    <row r="3097" spans="1:6" ht="15" x14ac:dyDescent="0.25">
      <c r="A3097" s="461">
        <v>40979</v>
      </c>
      <c r="B3097" s="460" t="s">
        <v>11214</v>
      </c>
      <c r="C3097" s="461" t="s">
        <v>1110</v>
      </c>
      <c r="D3097" s="461">
        <v>2835.21</v>
      </c>
      <c r="E3097" s="461" t="s">
        <v>4455</v>
      </c>
      <c r="F3097" s="461" t="s">
        <v>8326</v>
      </c>
    </row>
    <row r="3098" spans="1:6" ht="15" x14ac:dyDescent="0.25">
      <c r="A3098" s="461">
        <v>4230</v>
      </c>
      <c r="B3098" s="460" t="s">
        <v>11215</v>
      </c>
      <c r="C3098" s="461" t="s">
        <v>1103</v>
      </c>
      <c r="D3098" s="511">
        <v>18</v>
      </c>
      <c r="E3098" s="461" t="s">
        <v>4455</v>
      </c>
      <c r="F3098" s="461" t="s">
        <v>8326</v>
      </c>
    </row>
    <row r="3099" spans="1:6" ht="15" x14ac:dyDescent="0.25">
      <c r="A3099" s="461">
        <v>40998</v>
      </c>
      <c r="B3099" s="460" t="s">
        <v>11216</v>
      </c>
      <c r="C3099" s="461" t="s">
        <v>1110</v>
      </c>
      <c r="D3099" s="461">
        <v>3206.12</v>
      </c>
      <c r="E3099" s="461" t="s">
        <v>4455</v>
      </c>
      <c r="F3099" s="461" t="s">
        <v>8326</v>
      </c>
    </row>
    <row r="3100" spans="1:6" ht="15" x14ac:dyDescent="0.25">
      <c r="A3100" s="461">
        <v>4257</v>
      </c>
      <c r="B3100" s="460" t="s">
        <v>11217</v>
      </c>
      <c r="C3100" s="461" t="s">
        <v>1103</v>
      </c>
      <c r="D3100" s="511">
        <v>18</v>
      </c>
      <c r="E3100" s="461" t="s">
        <v>4455</v>
      </c>
      <c r="F3100" s="461" t="s">
        <v>8326</v>
      </c>
    </row>
    <row r="3101" spans="1:6" ht="15" x14ac:dyDescent="0.25">
      <c r="A3101" s="461">
        <v>40982</v>
      </c>
      <c r="B3101" s="460" t="s">
        <v>11218</v>
      </c>
      <c r="C3101" s="461" t="s">
        <v>1110</v>
      </c>
      <c r="D3101" s="461">
        <v>3206.12</v>
      </c>
      <c r="E3101" s="461" t="s">
        <v>4455</v>
      </c>
      <c r="F3101" s="461" t="s">
        <v>8326</v>
      </c>
    </row>
    <row r="3102" spans="1:6" ht="15" x14ac:dyDescent="0.25">
      <c r="A3102" s="461">
        <v>4240</v>
      </c>
      <c r="B3102" s="460" t="s">
        <v>11219</v>
      </c>
      <c r="C3102" s="461" t="s">
        <v>1103</v>
      </c>
      <c r="D3102" s="511">
        <v>32.06</v>
      </c>
      <c r="E3102" s="461" t="s">
        <v>4455</v>
      </c>
      <c r="F3102" s="461" t="s">
        <v>8326</v>
      </c>
    </row>
    <row r="3103" spans="1:6" ht="15" x14ac:dyDescent="0.25">
      <c r="A3103" s="461">
        <v>41026</v>
      </c>
      <c r="B3103" s="460" t="s">
        <v>11220</v>
      </c>
      <c r="C3103" s="461" t="s">
        <v>1110</v>
      </c>
      <c r="D3103" s="461">
        <v>5712.22</v>
      </c>
      <c r="E3103" s="461" t="s">
        <v>4455</v>
      </c>
      <c r="F3103" s="461" t="s">
        <v>8326</v>
      </c>
    </row>
    <row r="3104" spans="1:6" ht="15" x14ac:dyDescent="0.25">
      <c r="A3104" s="461">
        <v>4239</v>
      </c>
      <c r="B3104" s="460" t="s">
        <v>11221</v>
      </c>
      <c r="C3104" s="461" t="s">
        <v>1103</v>
      </c>
      <c r="D3104" s="511">
        <v>32.06</v>
      </c>
      <c r="E3104" s="461" t="s">
        <v>4455</v>
      </c>
      <c r="F3104" s="461" t="s">
        <v>8326</v>
      </c>
    </row>
    <row r="3105" spans="1:6" ht="15" x14ac:dyDescent="0.25">
      <c r="A3105" s="461">
        <v>41024</v>
      </c>
      <c r="B3105" s="460" t="s">
        <v>11222</v>
      </c>
      <c r="C3105" s="461" t="s">
        <v>1110</v>
      </c>
      <c r="D3105" s="461">
        <v>5712.22</v>
      </c>
      <c r="E3105" s="461" t="s">
        <v>4455</v>
      </c>
      <c r="F3105" s="461" t="s">
        <v>8326</v>
      </c>
    </row>
    <row r="3106" spans="1:6" ht="15" x14ac:dyDescent="0.25">
      <c r="A3106" s="461">
        <v>4248</v>
      </c>
      <c r="B3106" s="460" t="s">
        <v>11223</v>
      </c>
      <c r="C3106" s="461" t="s">
        <v>1103</v>
      </c>
      <c r="D3106" s="511">
        <v>18</v>
      </c>
      <c r="E3106" s="461" t="s">
        <v>4455</v>
      </c>
      <c r="F3106" s="461" t="s">
        <v>8326</v>
      </c>
    </row>
    <row r="3107" spans="1:6" ht="15" x14ac:dyDescent="0.25">
      <c r="A3107" s="461">
        <v>41033</v>
      </c>
      <c r="B3107" s="460" t="s">
        <v>11224</v>
      </c>
      <c r="C3107" s="461" t="s">
        <v>1110</v>
      </c>
      <c r="D3107" s="461">
        <v>3208.46</v>
      </c>
      <c r="E3107" s="461" t="s">
        <v>4455</v>
      </c>
      <c r="F3107" s="461" t="s">
        <v>8326</v>
      </c>
    </row>
    <row r="3108" spans="1:6" ht="15" x14ac:dyDescent="0.25">
      <c r="A3108" s="461">
        <v>44500</v>
      </c>
      <c r="B3108" s="460" t="s">
        <v>11225</v>
      </c>
      <c r="C3108" s="461" t="s">
        <v>1103</v>
      </c>
      <c r="D3108" s="511">
        <v>18</v>
      </c>
      <c r="E3108" s="461" t="s">
        <v>4455</v>
      </c>
      <c r="F3108" s="461" t="s">
        <v>8326</v>
      </c>
    </row>
    <row r="3109" spans="1:6" ht="15" x14ac:dyDescent="0.25">
      <c r="A3109" s="461">
        <v>41040</v>
      </c>
      <c r="B3109" s="460" t="s">
        <v>11226</v>
      </c>
      <c r="C3109" s="461" t="s">
        <v>1110</v>
      </c>
      <c r="D3109" s="461">
        <v>3208.46</v>
      </c>
      <c r="E3109" s="461" t="s">
        <v>4455</v>
      </c>
      <c r="F3109" s="461" t="s">
        <v>8326</v>
      </c>
    </row>
    <row r="3110" spans="1:6" ht="15" x14ac:dyDescent="0.25">
      <c r="A3110" s="461">
        <v>4238</v>
      </c>
      <c r="B3110" s="460" t="s">
        <v>11227</v>
      </c>
      <c r="C3110" s="461" t="s">
        <v>1103</v>
      </c>
      <c r="D3110" s="511">
        <v>18</v>
      </c>
      <c r="E3110" s="461" t="s">
        <v>4455</v>
      </c>
      <c r="F3110" s="461" t="s">
        <v>8326</v>
      </c>
    </row>
    <row r="3111" spans="1:6" ht="15" x14ac:dyDescent="0.25">
      <c r="A3111" s="461">
        <v>41012</v>
      </c>
      <c r="B3111" s="460" t="s">
        <v>11228</v>
      </c>
      <c r="C3111" s="461" t="s">
        <v>1110</v>
      </c>
      <c r="D3111" s="461">
        <v>3206.12</v>
      </c>
      <c r="E3111" s="461" t="s">
        <v>4455</v>
      </c>
      <c r="F3111" s="461" t="s">
        <v>8326</v>
      </c>
    </row>
    <row r="3112" spans="1:6" ht="15" x14ac:dyDescent="0.25">
      <c r="A3112" s="461">
        <v>4233</v>
      </c>
      <c r="B3112" s="460" t="s">
        <v>11229</v>
      </c>
      <c r="C3112" s="461" t="s">
        <v>1103</v>
      </c>
      <c r="D3112" s="511">
        <v>32.06</v>
      </c>
      <c r="E3112" s="461" t="s">
        <v>4455</v>
      </c>
      <c r="F3112" s="461" t="s">
        <v>8326</v>
      </c>
    </row>
    <row r="3113" spans="1:6" ht="15" x14ac:dyDescent="0.25">
      <c r="A3113" s="461">
        <v>41001</v>
      </c>
      <c r="B3113" s="460" t="s">
        <v>11230</v>
      </c>
      <c r="C3113" s="461" t="s">
        <v>1110</v>
      </c>
      <c r="D3113" s="461">
        <v>5712.22</v>
      </c>
      <c r="E3113" s="461" t="s">
        <v>4455</v>
      </c>
      <c r="F3113" s="461" t="s">
        <v>8326</v>
      </c>
    </row>
    <row r="3114" spans="1:6" ht="15" x14ac:dyDescent="0.25">
      <c r="A3114" s="461">
        <v>2</v>
      </c>
      <c r="B3114" s="460" t="s">
        <v>11231</v>
      </c>
      <c r="C3114" s="461" t="s">
        <v>1105</v>
      </c>
      <c r="D3114" s="511">
        <v>19.61</v>
      </c>
      <c r="E3114" s="461" t="s">
        <v>161</v>
      </c>
      <c r="F3114" s="461" t="s">
        <v>8328</v>
      </c>
    </row>
    <row r="3115" spans="1:6" ht="30" x14ac:dyDescent="0.25">
      <c r="A3115" s="461">
        <v>36517</v>
      </c>
      <c r="B3115" s="460" t="s">
        <v>11232</v>
      </c>
      <c r="C3115" s="461" t="s">
        <v>1104</v>
      </c>
      <c r="D3115" s="461">
        <v>543900</v>
      </c>
      <c r="E3115" s="461" t="s">
        <v>1497</v>
      </c>
      <c r="F3115" s="461" t="s">
        <v>8328</v>
      </c>
    </row>
    <row r="3116" spans="1:6" ht="30" x14ac:dyDescent="0.25">
      <c r="A3116" s="461">
        <v>4262</v>
      </c>
      <c r="B3116" s="460" t="s">
        <v>11233</v>
      </c>
      <c r="C3116" s="461" t="s">
        <v>1104</v>
      </c>
      <c r="D3116" s="511">
        <v>612500</v>
      </c>
      <c r="E3116" s="461" t="s">
        <v>1497</v>
      </c>
      <c r="F3116" s="461" t="s">
        <v>8328</v>
      </c>
    </row>
    <row r="3117" spans="1:6" ht="30" x14ac:dyDescent="0.25">
      <c r="A3117" s="461">
        <v>4263</v>
      </c>
      <c r="B3117" s="460" t="s">
        <v>11234</v>
      </c>
      <c r="C3117" s="461" t="s">
        <v>1104</v>
      </c>
      <c r="D3117" s="461">
        <v>849333.29</v>
      </c>
      <c r="E3117" s="461" t="s">
        <v>1497</v>
      </c>
      <c r="F3117" s="461" t="s">
        <v>8328</v>
      </c>
    </row>
    <row r="3118" spans="1:6" ht="30" x14ac:dyDescent="0.25">
      <c r="A3118" s="461">
        <v>36518</v>
      </c>
      <c r="B3118" s="460" t="s">
        <v>11235</v>
      </c>
      <c r="C3118" s="461" t="s">
        <v>1104</v>
      </c>
      <c r="D3118" s="511">
        <v>966933.29</v>
      </c>
      <c r="E3118" s="461" t="s">
        <v>1497</v>
      </c>
      <c r="F3118" s="461" t="s">
        <v>8328</v>
      </c>
    </row>
    <row r="3119" spans="1:6" ht="30" x14ac:dyDescent="0.25">
      <c r="A3119" s="461">
        <v>14221</v>
      </c>
      <c r="B3119" s="460" t="s">
        <v>11236</v>
      </c>
      <c r="C3119" s="461" t="s">
        <v>1104</v>
      </c>
      <c r="D3119" s="461">
        <v>564316.64</v>
      </c>
      <c r="E3119" s="461" t="s">
        <v>1497</v>
      </c>
      <c r="F3119" s="461" t="s">
        <v>8328</v>
      </c>
    </row>
    <row r="3120" spans="1:6" ht="15" x14ac:dyDescent="0.25">
      <c r="A3120" s="461">
        <v>38402</v>
      </c>
      <c r="B3120" s="460" t="s">
        <v>11237</v>
      </c>
      <c r="C3120" s="461" t="s">
        <v>1104</v>
      </c>
      <c r="D3120" s="511">
        <v>9.89</v>
      </c>
      <c r="E3120" s="461" t="s">
        <v>161</v>
      </c>
      <c r="F3120" s="461" t="s">
        <v>8326</v>
      </c>
    </row>
    <row r="3121" spans="1:6" ht="15" x14ac:dyDescent="0.25">
      <c r="A3121" s="461">
        <v>3412</v>
      </c>
      <c r="B3121" s="460" t="s">
        <v>11238</v>
      </c>
      <c r="C3121" s="461" t="s">
        <v>1106</v>
      </c>
      <c r="D3121" s="461">
        <v>23.56</v>
      </c>
      <c r="E3121" s="461" t="s">
        <v>161</v>
      </c>
      <c r="F3121" s="461" t="s">
        <v>8328</v>
      </c>
    </row>
    <row r="3122" spans="1:6" ht="15" x14ac:dyDescent="0.25">
      <c r="A3122" s="461">
        <v>3413</v>
      </c>
      <c r="B3122" s="460" t="s">
        <v>11239</v>
      </c>
      <c r="C3122" s="461" t="s">
        <v>1106</v>
      </c>
      <c r="D3122" s="511">
        <v>53.03</v>
      </c>
      <c r="E3122" s="461" t="s">
        <v>161</v>
      </c>
      <c r="F3122" s="461" t="s">
        <v>8328</v>
      </c>
    </row>
    <row r="3123" spans="1:6" ht="15" x14ac:dyDescent="0.25">
      <c r="A3123" s="461">
        <v>39744</v>
      </c>
      <c r="B3123" s="460" t="s">
        <v>11240</v>
      </c>
      <c r="C3123" s="461" t="s">
        <v>1106</v>
      </c>
      <c r="D3123" s="461">
        <v>41.18</v>
      </c>
      <c r="E3123" s="461" t="s">
        <v>161</v>
      </c>
      <c r="F3123" s="461" t="s">
        <v>8328</v>
      </c>
    </row>
    <row r="3124" spans="1:6" ht="15" x14ac:dyDescent="0.25">
      <c r="A3124" s="461">
        <v>39745</v>
      </c>
      <c r="B3124" s="460" t="s">
        <v>11241</v>
      </c>
      <c r="C3124" s="461" t="s">
        <v>1106</v>
      </c>
      <c r="D3124" s="511">
        <v>86.91</v>
      </c>
      <c r="E3124" s="461" t="s">
        <v>161</v>
      </c>
      <c r="F3124" s="461" t="s">
        <v>8328</v>
      </c>
    </row>
    <row r="3125" spans="1:6" ht="30" x14ac:dyDescent="0.25">
      <c r="A3125" s="461">
        <v>39637</v>
      </c>
      <c r="B3125" s="460" t="s">
        <v>11242</v>
      </c>
      <c r="C3125" s="461" t="s">
        <v>1106</v>
      </c>
      <c r="D3125" s="461">
        <v>93.03</v>
      </c>
      <c r="E3125" s="461" t="s">
        <v>161</v>
      </c>
      <c r="F3125" s="461" t="s">
        <v>8326</v>
      </c>
    </row>
    <row r="3126" spans="1:6" ht="30" x14ac:dyDescent="0.25">
      <c r="A3126" s="461">
        <v>39638</v>
      </c>
      <c r="B3126" s="460" t="s">
        <v>11243</v>
      </c>
      <c r="C3126" s="461" t="s">
        <v>1106</v>
      </c>
      <c r="D3126" s="511">
        <v>105.27</v>
      </c>
      <c r="E3126" s="461" t="s">
        <v>161</v>
      </c>
      <c r="F3126" s="461" t="s">
        <v>8326</v>
      </c>
    </row>
    <row r="3127" spans="1:6" ht="30" x14ac:dyDescent="0.25">
      <c r="A3127" s="461">
        <v>39639</v>
      </c>
      <c r="B3127" s="460" t="s">
        <v>11244</v>
      </c>
      <c r="C3127" s="461" t="s">
        <v>1106</v>
      </c>
      <c r="D3127" s="511">
        <v>158.83000000000001</v>
      </c>
      <c r="E3127" s="461" t="s">
        <v>161</v>
      </c>
      <c r="F3127" s="461" t="s">
        <v>8326</v>
      </c>
    </row>
    <row r="3128" spans="1:6" ht="60" x14ac:dyDescent="0.25">
      <c r="A3128" s="461">
        <v>39517</v>
      </c>
      <c r="B3128" s="460" t="s">
        <v>11245</v>
      </c>
      <c r="C3128" s="461" t="s">
        <v>1106</v>
      </c>
      <c r="D3128" s="511">
        <v>206.69</v>
      </c>
      <c r="E3128" s="461" t="s">
        <v>161</v>
      </c>
      <c r="F3128" s="461" t="s">
        <v>8328</v>
      </c>
    </row>
    <row r="3129" spans="1:6" ht="60" x14ac:dyDescent="0.25">
      <c r="A3129" s="461">
        <v>39518</v>
      </c>
      <c r="B3129" s="460" t="s">
        <v>11246</v>
      </c>
      <c r="C3129" s="461" t="s">
        <v>1106</v>
      </c>
      <c r="D3129" s="511">
        <v>245.04</v>
      </c>
      <c r="E3129" s="461" t="s">
        <v>161</v>
      </c>
      <c r="F3129" s="461" t="s">
        <v>8328</v>
      </c>
    </row>
    <row r="3130" spans="1:6" ht="15" x14ac:dyDescent="0.25">
      <c r="A3130" s="461">
        <v>38366</v>
      </c>
      <c r="B3130" s="460" t="s">
        <v>11247</v>
      </c>
      <c r="C3130" s="461" t="s">
        <v>1106</v>
      </c>
      <c r="D3130" s="511">
        <v>4.9400000000000004</v>
      </c>
      <c r="E3130" s="461" t="s">
        <v>161</v>
      </c>
      <c r="F3130" s="461" t="s">
        <v>8326</v>
      </c>
    </row>
    <row r="3131" spans="1:6" ht="15" x14ac:dyDescent="0.25">
      <c r="A3131" s="461">
        <v>11703</v>
      </c>
      <c r="B3131" s="460" t="s">
        <v>11248</v>
      </c>
      <c r="C3131" s="461" t="s">
        <v>1104</v>
      </c>
      <c r="D3131" s="461">
        <v>37.85</v>
      </c>
      <c r="E3131" s="461" t="s">
        <v>161</v>
      </c>
      <c r="F3131" s="461" t="s">
        <v>8326</v>
      </c>
    </row>
    <row r="3132" spans="1:6" ht="15" x14ac:dyDescent="0.25">
      <c r="A3132" s="461">
        <v>37400</v>
      </c>
      <c r="B3132" s="460" t="s">
        <v>11249</v>
      </c>
      <c r="C3132" s="461" t="s">
        <v>1104</v>
      </c>
      <c r="D3132" s="461">
        <v>40.46</v>
      </c>
      <c r="E3132" s="461" t="s">
        <v>161</v>
      </c>
      <c r="F3132" s="461" t="s">
        <v>8326</v>
      </c>
    </row>
    <row r="3133" spans="1:6" ht="45" x14ac:dyDescent="0.25">
      <c r="A3133" s="461">
        <v>25400</v>
      </c>
      <c r="B3133" s="460" t="s">
        <v>11250</v>
      </c>
      <c r="C3133" s="461" t="s">
        <v>1104</v>
      </c>
      <c r="D3133" s="461">
        <v>2662.86</v>
      </c>
      <c r="E3133" s="461" t="s">
        <v>161</v>
      </c>
      <c r="F3133" s="461" t="s">
        <v>8326</v>
      </c>
    </row>
    <row r="3134" spans="1:6" ht="30" x14ac:dyDescent="0.25">
      <c r="A3134" s="461">
        <v>4276</v>
      </c>
      <c r="B3134" s="460" t="s">
        <v>11251</v>
      </c>
      <c r="C3134" s="461" t="s">
        <v>1104</v>
      </c>
      <c r="D3134" s="461">
        <v>159.6</v>
      </c>
      <c r="E3134" s="461" t="s">
        <v>161</v>
      </c>
      <c r="F3134" s="461" t="s">
        <v>8326</v>
      </c>
    </row>
    <row r="3135" spans="1:6" ht="30" x14ac:dyDescent="0.25">
      <c r="A3135" s="461">
        <v>4273</v>
      </c>
      <c r="B3135" s="460" t="s">
        <v>11252</v>
      </c>
      <c r="C3135" s="461" t="s">
        <v>1104</v>
      </c>
      <c r="D3135" s="461">
        <v>289.77</v>
      </c>
      <c r="E3135" s="461" t="s">
        <v>161</v>
      </c>
      <c r="F3135" s="461" t="s">
        <v>8326</v>
      </c>
    </row>
    <row r="3136" spans="1:6" ht="30" x14ac:dyDescent="0.25">
      <c r="A3136" s="461">
        <v>4274</v>
      </c>
      <c r="B3136" s="460" t="s">
        <v>11253</v>
      </c>
      <c r="C3136" s="461" t="s">
        <v>1104</v>
      </c>
      <c r="D3136" s="461">
        <v>106.01</v>
      </c>
      <c r="E3136" s="461" t="s">
        <v>161</v>
      </c>
      <c r="F3136" s="461" t="s">
        <v>8333</v>
      </c>
    </row>
    <row r="3137" spans="1:6" ht="45" x14ac:dyDescent="0.25">
      <c r="A3137" s="461">
        <v>39438</v>
      </c>
      <c r="B3137" s="460" t="s">
        <v>11254</v>
      </c>
      <c r="C3137" s="461" t="s">
        <v>1104</v>
      </c>
      <c r="D3137" s="461">
        <v>0.28000000000000003</v>
      </c>
      <c r="E3137" s="461" t="s">
        <v>161</v>
      </c>
      <c r="F3137" s="461" t="s">
        <v>8328</v>
      </c>
    </row>
    <row r="3138" spans="1:6" ht="30" x14ac:dyDescent="0.25">
      <c r="A3138" s="461">
        <v>4379</v>
      </c>
      <c r="B3138" s="460" t="s">
        <v>11255</v>
      </c>
      <c r="C3138" s="461" t="s">
        <v>1104</v>
      </c>
      <c r="D3138" s="461">
        <v>0.05</v>
      </c>
      <c r="E3138" s="461" t="s">
        <v>161</v>
      </c>
      <c r="F3138" s="461" t="s">
        <v>8328</v>
      </c>
    </row>
    <row r="3139" spans="1:6" ht="30" x14ac:dyDescent="0.25">
      <c r="A3139" s="461">
        <v>4377</v>
      </c>
      <c r="B3139" s="460" t="s">
        <v>11256</v>
      </c>
      <c r="C3139" s="461" t="s">
        <v>1104</v>
      </c>
      <c r="D3139" s="461">
        <v>0.2</v>
      </c>
      <c r="E3139" s="461" t="s">
        <v>161</v>
      </c>
      <c r="F3139" s="461" t="s">
        <v>8328</v>
      </c>
    </row>
    <row r="3140" spans="1:6" ht="30" x14ac:dyDescent="0.25">
      <c r="A3140" s="461">
        <v>4356</v>
      </c>
      <c r="B3140" s="460" t="s">
        <v>11257</v>
      </c>
      <c r="C3140" s="461" t="s">
        <v>1104</v>
      </c>
      <c r="D3140" s="461">
        <v>0.28999999999999998</v>
      </c>
      <c r="E3140" s="461" t="s">
        <v>161</v>
      </c>
      <c r="F3140" s="461" t="s">
        <v>8328</v>
      </c>
    </row>
    <row r="3141" spans="1:6" ht="30" x14ac:dyDescent="0.25">
      <c r="A3141" s="461">
        <v>13246</v>
      </c>
      <c r="B3141" s="460" t="s">
        <v>11258</v>
      </c>
      <c r="C3141" s="461" t="s">
        <v>1104</v>
      </c>
      <c r="D3141" s="461">
        <v>0.49</v>
      </c>
      <c r="E3141" s="461" t="s">
        <v>161</v>
      </c>
      <c r="F3141" s="461" t="s">
        <v>8328</v>
      </c>
    </row>
    <row r="3142" spans="1:6" ht="30" x14ac:dyDescent="0.25">
      <c r="A3142" s="461">
        <v>13294</v>
      </c>
      <c r="B3142" s="460" t="s">
        <v>11259</v>
      </c>
      <c r="C3142" s="461" t="s">
        <v>1104</v>
      </c>
      <c r="D3142" s="461">
        <v>1.66</v>
      </c>
      <c r="E3142" s="461" t="s">
        <v>161</v>
      </c>
      <c r="F3142" s="461" t="s">
        <v>8328</v>
      </c>
    </row>
    <row r="3143" spans="1:6" ht="30" x14ac:dyDescent="0.25">
      <c r="A3143" s="461">
        <v>11963</v>
      </c>
      <c r="B3143" s="460" t="s">
        <v>11260</v>
      </c>
      <c r="C3143" s="461" t="s">
        <v>1104</v>
      </c>
      <c r="D3143" s="461">
        <v>10.45</v>
      </c>
      <c r="E3143" s="461" t="s">
        <v>161</v>
      </c>
      <c r="F3143" s="461" t="s">
        <v>8328</v>
      </c>
    </row>
    <row r="3144" spans="1:6" ht="30" x14ac:dyDescent="0.25">
      <c r="A3144" s="461">
        <v>11964</v>
      </c>
      <c r="B3144" s="460" t="s">
        <v>11261</v>
      </c>
      <c r="C3144" s="461" t="s">
        <v>1104</v>
      </c>
      <c r="D3144" s="511">
        <v>2.63</v>
      </c>
      <c r="E3144" s="461" t="s">
        <v>161</v>
      </c>
      <c r="F3144" s="461" t="s">
        <v>8328</v>
      </c>
    </row>
    <row r="3145" spans="1:6" ht="30" x14ac:dyDescent="0.25">
      <c r="A3145" s="461">
        <v>4346</v>
      </c>
      <c r="B3145" s="460" t="s">
        <v>11262</v>
      </c>
      <c r="C3145" s="461" t="s">
        <v>1104</v>
      </c>
      <c r="D3145" s="461">
        <v>11.2</v>
      </c>
      <c r="E3145" s="461" t="s">
        <v>161</v>
      </c>
      <c r="F3145" s="461" t="s">
        <v>8328</v>
      </c>
    </row>
    <row r="3146" spans="1:6" ht="30" x14ac:dyDescent="0.25">
      <c r="A3146" s="461">
        <v>11955</v>
      </c>
      <c r="B3146" s="460" t="s">
        <v>11263</v>
      </c>
      <c r="C3146" s="461" t="s">
        <v>1104</v>
      </c>
      <c r="D3146" s="461">
        <v>4.9000000000000004</v>
      </c>
      <c r="E3146" s="461" t="s">
        <v>161</v>
      </c>
      <c r="F3146" s="461" t="s">
        <v>8328</v>
      </c>
    </row>
    <row r="3147" spans="1:6" ht="30" x14ac:dyDescent="0.25">
      <c r="A3147" s="461">
        <v>11960</v>
      </c>
      <c r="B3147" s="460" t="s">
        <v>11264</v>
      </c>
      <c r="C3147" s="461" t="s">
        <v>1104</v>
      </c>
      <c r="D3147" s="461">
        <v>0.16</v>
      </c>
      <c r="E3147" s="461" t="s">
        <v>161</v>
      </c>
      <c r="F3147" s="461" t="s">
        <v>8328</v>
      </c>
    </row>
    <row r="3148" spans="1:6" ht="30" x14ac:dyDescent="0.25">
      <c r="A3148" s="461">
        <v>4333</v>
      </c>
      <c r="B3148" s="460" t="s">
        <v>11265</v>
      </c>
      <c r="C3148" s="461" t="s">
        <v>1104</v>
      </c>
      <c r="D3148" s="461">
        <v>0.28999999999999998</v>
      </c>
      <c r="E3148" s="461" t="s">
        <v>161</v>
      </c>
      <c r="F3148" s="461" t="s">
        <v>8328</v>
      </c>
    </row>
    <row r="3149" spans="1:6" ht="30" x14ac:dyDescent="0.25">
      <c r="A3149" s="461">
        <v>4358</v>
      </c>
      <c r="B3149" s="460" t="s">
        <v>11266</v>
      </c>
      <c r="C3149" s="461" t="s">
        <v>1104</v>
      </c>
      <c r="D3149" s="461">
        <v>2.2400000000000002</v>
      </c>
      <c r="E3149" s="461" t="s">
        <v>161</v>
      </c>
      <c r="F3149" s="461" t="s">
        <v>8328</v>
      </c>
    </row>
    <row r="3150" spans="1:6" ht="30" x14ac:dyDescent="0.25">
      <c r="A3150" s="461">
        <v>39435</v>
      </c>
      <c r="B3150" s="460" t="s">
        <v>11267</v>
      </c>
      <c r="C3150" s="461" t="s">
        <v>1104</v>
      </c>
      <c r="D3150" s="461">
        <v>0.11</v>
      </c>
      <c r="E3150" s="461" t="s">
        <v>161</v>
      </c>
      <c r="F3150" s="461" t="s">
        <v>8328</v>
      </c>
    </row>
    <row r="3151" spans="1:6" ht="30" x14ac:dyDescent="0.25">
      <c r="A3151" s="461">
        <v>39436</v>
      </c>
      <c r="B3151" s="460" t="s">
        <v>11268</v>
      </c>
      <c r="C3151" s="461" t="s">
        <v>1104</v>
      </c>
      <c r="D3151" s="461">
        <v>0.19</v>
      </c>
      <c r="E3151" s="461" t="s">
        <v>161</v>
      </c>
      <c r="F3151" s="461" t="s">
        <v>8328</v>
      </c>
    </row>
    <row r="3152" spans="1:6" ht="30" x14ac:dyDescent="0.25">
      <c r="A3152" s="461">
        <v>39437</v>
      </c>
      <c r="B3152" s="460" t="s">
        <v>11269</v>
      </c>
      <c r="C3152" s="461" t="s">
        <v>1104</v>
      </c>
      <c r="D3152" s="461">
        <v>0.25</v>
      </c>
      <c r="E3152" s="461" t="s">
        <v>161</v>
      </c>
      <c r="F3152" s="461" t="s">
        <v>8328</v>
      </c>
    </row>
    <row r="3153" spans="1:6" ht="30" x14ac:dyDescent="0.25">
      <c r="A3153" s="461">
        <v>39439</v>
      </c>
      <c r="B3153" s="460" t="s">
        <v>11270</v>
      </c>
      <c r="C3153" s="461" t="s">
        <v>1104</v>
      </c>
      <c r="D3153" s="461">
        <v>0.17</v>
      </c>
      <c r="E3153" s="461" t="s">
        <v>161</v>
      </c>
      <c r="F3153" s="461" t="s">
        <v>8328</v>
      </c>
    </row>
    <row r="3154" spans="1:6" ht="30" x14ac:dyDescent="0.25">
      <c r="A3154" s="461">
        <v>39440</v>
      </c>
      <c r="B3154" s="460" t="s">
        <v>11271</v>
      </c>
      <c r="C3154" s="461" t="s">
        <v>1104</v>
      </c>
      <c r="D3154" s="461">
        <v>0.22</v>
      </c>
      <c r="E3154" s="461" t="s">
        <v>161</v>
      </c>
      <c r="F3154" s="461" t="s">
        <v>8328</v>
      </c>
    </row>
    <row r="3155" spans="1:6" ht="30" x14ac:dyDescent="0.25">
      <c r="A3155" s="461">
        <v>39441</v>
      </c>
      <c r="B3155" s="460" t="s">
        <v>11272</v>
      </c>
      <c r="C3155" s="461" t="s">
        <v>1104</v>
      </c>
      <c r="D3155" s="461">
        <v>0.28000000000000003</v>
      </c>
      <c r="E3155" s="461" t="s">
        <v>161</v>
      </c>
      <c r="F3155" s="461" t="s">
        <v>8328</v>
      </c>
    </row>
    <row r="3156" spans="1:6" ht="30" x14ac:dyDescent="0.25">
      <c r="A3156" s="461">
        <v>39442</v>
      </c>
      <c r="B3156" s="460" t="s">
        <v>11273</v>
      </c>
      <c r="C3156" s="461" t="s">
        <v>1104</v>
      </c>
      <c r="D3156" s="461">
        <v>0.2</v>
      </c>
      <c r="E3156" s="461" t="s">
        <v>161</v>
      </c>
      <c r="F3156" s="461" t="s">
        <v>8328</v>
      </c>
    </row>
    <row r="3157" spans="1:6" ht="30" x14ac:dyDescent="0.25">
      <c r="A3157" s="461">
        <v>39443</v>
      </c>
      <c r="B3157" s="460" t="s">
        <v>11274</v>
      </c>
      <c r="C3157" s="461" t="s">
        <v>1104</v>
      </c>
      <c r="D3157" s="461">
        <v>0.26</v>
      </c>
      <c r="E3157" s="461" t="s">
        <v>161</v>
      </c>
      <c r="F3157" s="461" t="s">
        <v>8328</v>
      </c>
    </row>
    <row r="3158" spans="1:6" ht="30" x14ac:dyDescent="0.25">
      <c r="A3158" s="461">
        <v>4329</v>
      </c>
      <c r="B3158" s="460" t="s">
        <v>11275</v>
      </c>
      <c r="C3158" s="461" t="s">
        <v>1104</v>
      </c>
      <c r="D3158" s="461">
        <v>2.39</v>
      </c>
      <c r="E3158" s="461" t="s">
        <v>161</v>
      </c>
      <c r="F3158" s="461" t="s">
        <v>8328</v>
      </c>
    </row>
    <row r="3159" spans="1:6" ht="30" x14ac:dyDescent="0.25">
      <c r="A3159" s="461">
        <v>4383</v>
      </c>
      <c r="B3159" s="460" t="s">
        <v>11276</v>
      </c>
      <c r="C3159" s="461" t="s">
        <v>1104</v>
      </c>
      <c r="D3159" s="461">
        <v>21.61</v>
      </c>
      <c r="E3159" s="461" t="s">
        <v>161</v>
      </c>
      <c r="F3159" s="461" t="s">
        <v>8328</v>
      </c>
    </row>
    <row r="3160" spans="1:6" ht="30" x14ac:dyDescent="0.25">
      <c r="A3160" s="461">
        <v>4344</v>
      </c>
      <c r="B3160" s="460" t="s">
        <v>11277</v>
      </c>
      <c r="C3160" s="461" t="s">
        <v>1104</v>
      </c>
      <c r="D3160" s="461">
        <v>22.65</v>
      </c>
      <c r="E3160" s="461" t="s">
        <v>161</v>
      </c>
      <c r="F3160" s="461" t="s">
        <v>8328</v>
      </c>
    </row>
    <row r="3161" spans="1:6" ht="30" x14ac:dyDescent="0.25">
      <c r="A3161" s="461">
        <v>436</v>
      </c>
      <c r="B3161" s="460" t="s">
        <v>11278</v>
      </c>
      <c r="C3161" s="461" t="s">
        <v>1104</v>
      </c>
      <c r="D3161" s="461">
        <v>13.08</v>
      </c>
      <c r="E3161" s="461" t="s">
        <v>161</v>
      </c>
      <c r="F3161" s="461" t="s">
        <v>8328</v>
      </c>
    </row>
    <row r="3162" spans="1:6" ht="30" x14ac:dyDescent="0.25">
      <c r="A3162" s="461">
        <v>442</v>
      </c>
      <c r="B3162" s="460" t="s">
        <v>11279</v>
      </c>
      <c r="C3162" s="461" t="s">
        <v>1104</v>
      </c>
      <c r="D3162" s="461">
        <v>7.73</v>
      </c>
      <c r="E3162" s="461" t="s">
        <v>161</v>
      </c>
      <c r="F3162" s="461" t="s">
        <v>8328</v>
      </c>
    </row>
    <row r="3163" spans="1:6" ht="30" x14ac:dyDescent="0.25">
      <c r="A3163" s="461">
        <v>4335</v>
      </c>
      <c r="B3163" s="460" t="s">
        <v>11280</v>
      </c>
      <c r="C3163" s="461" t="s">
        <v>1104</v>
      </c>
      <c r="D3163" s="461">
        <v>15.21</v>
      </c>
      <c r="E3163" s="461" t="s">
        <v>161</v>
      </c>
      <c r="F3163" s="461" t="s">
        <v>8328</v>
      </c>
    </row>
    <row r="3164" spans="1:6" ht="30" x14ac:dyDescent="0.25">
      <c r="A3164" s="461">
        <v>4334</v>
      </c>
      <c r="B3164" s="460" t="s">
        <v>11281</v>
      </c>
      <c r="C3164" s="461" t="s">
        <v>1104</v>
      </c>
      <c r="D3164" s="461">
        <v>20.86</v>
      </c>
      <c r="E3164" s="461" t="s">
        <v>161</v>
      </c>
      <c r="F3164" s="461" t="s">
        <v>8328</v>
      </c>
    </row>
    <row r="3165" spans="1:6" ht="30" x14ac:dyDescent="0.25">
      <c r="A3165" s="461">
        <v>11953</v>
      </c>
      <c r="B3165" s="460" t="s">
        <v>13269</v>
      </c>
      <c r="C3165" s="461" t="s">
        <v>1104</v>
      </c>
      <c r="D3165" s="461">
        <v>3.59</v>
      </c>
      <c r="E3165" s="461" t="s">
        <v>161</v>
      </c>
      <c r="F3165" s="461" t="s">
        <v>8328</v>
      </c>
    </row>
    <row r="3166" spans="1:6" ht="30" x14ac:dyDescent="0.25">
      <c r="A3166" s="461">
        <v>4343</v>
      </c>
      <c r="B3166" s="460" t="s">
        <v>11282</v>
      </c>
      <c r="C3166" s="461" t="s">
        <v>1104</v>
      </c>
      <c r="D3166" s="461">
        <v>5.13</v>
      </c>
      <c r="E3166" s="461" t="s">
        <v>161</v>
      </c>
      <c r="F3166" s="461" t="s">
        <v>8328</v>
      </c>
    </row>
    <row r="3167" spans="1:6" ht="30" x14ac:dyDescent="0.25">
      <c r="A3167" s="461">
        <v>430</v>
      </c>
      <c r="B3167" s="460" t="s">
        <v>11283</v>
      </c>
      <c r="C3167" s="461" t="s">
        <v>1104</v>
      </c>
      <c r="D3167" s="461">
        <v>11.7</v>
      </c>
      <c r="E3167" s="461" t="s">
        <v>161</v>
      </c>
      <c r="F3167" s="461" t="s">
        <v>8328</v>
      </c>
    </row>
    <row r="3168" spans="1:6" ht="30" x14ac:dyDescent="0.25">
      <c r="A3168" s="461">
        <v>441</v>
      </c>
      <c r="B3168" s="460" t="s">
        <v>11284</v>
      </c>
      <c r="C3168" s="461" t="s">
        <v>1104</v>
      </c>
      <c r="D3168" s="461">
        <v>12.88</v>
      </c>
      <c r="E3168" s="461" t="s">
        <v>161</v>
      </c>
      <c r="F3168" s="461" t="s">
        <v>8328</v>
      </c>
    </row>
    <row r="3169" spans="1:6" ht="30" x14ac:dyDescent="0.25">
      <c r="A3169" s="461">
        <v>431</v>
      </c>
      <c r="B3169" s="460" t="s">
        <v>11285</v>
      </c>
      <c r="C3169" s="461" t="s">
        <v>1104</v>
      </c>
      <c r="D3169" s="461">
        <v>15.55</v>
      </c>
      <c r="E3169" s="461" t="s">
        <v>161</v>
      </c>
      <c r="F3169" s="461" t="s">
        <v>8328</v>
      </c>
    </row>
    <row r="3170" spans="1:6" ht="30" x14ac:dyDescent="0.25">
      <c r="A3170" s="461">
        <v>432</v>
      </c>
      <c r="B3170" s="460" t="s">
        <v>11286</v>
      </c>
      <c r="C3170" s="461" t="s">
        <v>1104</v>
      </c>
      <c r="D3170" s="461">
        <v>17.16</v>
      </c>
      <c r="E3170" s="461" t="s">
        <v>161</v>
      </c>
      <c r="F3170" s="461" t="s">
        <v>8328</v>
      </c>
    </row>
    <row r="3171" spans="1:6" ht="30" x14ac:dyDescent="0.25">
      <c r="A3171" s="461">
        <v>429</v>
      </c>
      <c r="B3171" s="460" t="s">
        <v>11287</v>
      </c>
      <c r="C3171" s="461" t="s">
        <v>1104</v>
      </c>
      <c r="D3171" s="461">
        <v>23.13</v>
      </c>
      <c r="E3171" s="461" t="s">
        <v>161</v>
      </c>
      <c r="F3171" s="461" t="s">
        <v>8328</v>
      </c>
    </row>
    <row r="3172" spans="1:6" ht="30" x14ac:dyDescent="0.25">
      <c r="A3172" s="461">
        <v>439</v>
      </c>
      <c r="B3172" s="460" t="s">
        <v>11288</v>
      </c>
      <c r="C3172" s="461" t="s">
        <v>1104</v>
      </c>
      <c r="D3172" s="461">
        <v>19.71</v>
      </c>
      <c r="E3172" s="461" t="s">
        <v>161</v>
      </c>
      <c r="F3172" s="461" t="s">
        <v>8328</v>
      </c>
    </row>
    <row r="3173" spans="1:6" ht="30" x14ac:dyDescent="0.25">
      <c r="A3173" s="461">
        <v>433</v>
      </c>
      <c r="B3173" s="460" t="s">
        <v>11289</v>
      </c>
      <c r="C3173" s="461" t="s">
        <v>1104</v>
      </c>
      <c r="D3173" s="461">
        <v>23.01</v>
      </c>
      <c r="E3173" s="461" t="s">
        <v>161</v>
      </c>
      <c r="F3173" s="461" t="s">
        <v>8328</v>
      </c>
    </row>
    <row r="3174" spans="1:6" ht="30" x14ac:dyDescent="0.25">
      <c r="A3174" s="461">
        <v>437</v>
      </c>
      <c r="B3174" s="460" t="s">
        <v>11290</v>
      </c>
      <c r="C3174" s="461" t="s">
        <v>1104</v>
      </c>
      <c r="D3174" s="461">
        <v>30.58</v>
      </c>
      <c r="E3174" s="461" t="s">
        <v>161</v>
      </c>
      <c r="F3174" s="461" t="s">
        <v>8328</v>
      </c>
    </row>
    <row r="3175" spans="1:6" ht="30" x14ac:dyDescent="0.25">
      <c r="A3175" s="461">
        <v>11790</v>
      </c>
      <c r="B3175" s="460" t="s">
        <v>11291</v>
      </c>
      <c r="C3175" s="461" t="s">
        <v>1104</v>
      </c>
      <c r="D3175" s="461">
        <v>34.68</v>
      </c>
      <c r="E3175" s="461" t="s">
        <v>161</v>
      </c>
      <c r="F3175" s="461" t="s">
        <v>8328</v>
      </c>
    </row>
    <row r="3176" spans="1:6" ht="30" x14ac:dyDescent="0.25">
      <c r="A3176" s="461">
        <v>428</v>
      </c>
      <c r="B3176" s="460" t="s">
        <v>11292</v>
      </c>
      <c r="C3176" s="461" t="s">
        <v>1104</v>
      </c>
      <c r="D3176" s="461">
        <v>37.71</v>
      </c>
      <c r="E3176" s="461" t="s">
        <v>161</v>
      </c>
      <c r="F3176" s="461" t="s">
        <v>8328</v>
      </c>
    </row>
    <row r="3177" spans="1:6" ht="30" x14ac:dyDescent="0.25">
      <c r="A3177" s="461">
        <v>4384</v>
      </c>
      <c r="B3177" s="460" t="s">
        <v>11293</v>
      </c>
      <c r="C3177" s="461" t="s">
        <v>1104</v>
      </c>
      <c r="D3177" s="461">
        <v>24.83</v>
      </c>
      <c r="E3177" s="461" t="s">
        <v>161</v>
      </c>
      <c r="F3177" s="461" t="s">
        <v>8328</v>
      </c>
    </row>
    <row r="3178" spans="1:6" ht="30" x14ac:dyDescent="0.25">
      <c r="A3178" s="461">
        <v>4351</v>
      </c>
      <c r="B3178" s="460" t="s">
        <v>11294</v>
      </c>
      <c r="C3178" s="461" t="s">
        <v>1104</v>
      </c>
      <c r="D3178" s="461">
        <v>18.41</v>
      </c>
      <c r="E3178" s="461" t="s">
        <v>161</v>
      </c>
      <c r="F3178" s="461" t="s">
        <v>8328</v>
      </c>
    </row>
    <row r="3179" spans="1:6" ht="30" x14ac:dyDescent="0.25">
      <c r="A3179" s="461">
        <v>11054</v>
      </c>
      <c r="B3179" s="460" t="s">
        <v>11295</v>
      </c>
      <c r="C3179" s="461" t="s">
        <v>1104</v>
      </c>
      <c r="D3179" s="461">
        <v>0.05</v>
      </c>
      <c r="E3179" s="461" t="s">
        <v>161</v>
      </c>
      <c r="F3179" s="461" t="s">
        <v>8328</v>
      </c>
    </row>
    <row r="3180" spans="1:6" ht="30" x14ac:dyDescent="0.25">
      <c r="A3180" s="461">
        <v>11055</v>
      </c>
      <c r="B3180" s="460" t="s">
        <v>11296</v>
      </c>
      <c r="C3180" s="461" t="s">
        <v>1104</v>
      </c>
      <c r="D3180" s="461">
        <v>0.08</v>
      </c>
      <c r="E3180" s="461" t="s">
        <v>161</v>
      </c>
      <c r="F3180" s="461" t="s">
        <v>8328</v>
      </c>
    </row>
    <row r="3181" spans="1:6" ht="30" x14ac:dyDescent="0.25">
      <c r="A3181" s="461">
        <v>11056</v>
      </c>
      <c r="B3181" s="460" t="s">
        <v>11297</v>
      </c>
      <c r="C3181" s="461" t="s">
        <v>1104</v>
      </c>
      <c r="D3181" s="461">
        <v>0.09</v>
      </c>
      <c r="E3181" s="461" t="s">
        <v>161</v>
      </c>
      <c r="F3181" s="461" t="s">
        <v>8328</v>
      </c>
    </row>
    <row r="3182" spans="1:6" ht="30" x14ac:dyDescent="0.25">
      <c r="A3182" s="461">
        <v>11057</v>
      </c>
      <c r="B3182" s="460" t="s">
        <v>11298</v>
      </c>
      <c r="C3182" s="461" t="s">
        <v>1104</v>
      </c>
      <c r="D3182" s="461">
        <v>0.19</v>
      </c>
      <c r="E3182" s="461" t="s">
        <v>161</v>
      </c>
      <c r="F3182" s="461" t="s">
        <v>8328</v>
      </c>
    </row>
    <row r="3183" spans="1:6" ht="30" x14ac:dyDescent="0.25">
      <c r="A3183" s="461">
        <v>11059</v>
      </c>
      <c r="B3183" s="460" t="s">
        <v>11299</v>
      </c>
      <c r="C3183" s="461" t="s">
        <v>1104</v>
      </c>
      <c r="D3183" s="461">
        <v>0.37</v>
      </c>
      <c r="E3183" s="461" t="s">
        <v>161</v>
      </c>
      <c r="F3183" s="461" t="s">
        <v>8328</v>
      </c>
    </row>
    <row r="3184" spans="1:6" ht="30" x14ac:dyDescent="0.25">
      <c r="A3184" s="461">
        <v>11058</v>
      </c>
      <c r="B3184" s="460" t="s">
        <v>11300</v>
      </c>
      <c r="C3184" s="461" t="s">
        <v>1104</v>
      </c>
      <c r="D3184" s="461">
        <v>0.48</v>
      </c>
      <c r="E3184" s="461" t="s">
        <v>161</v>
      </c>
      <c r="F3184" s="461" t="s">
        <v>8328</v>
      </c>
    </row>
    <row r="3185" spans="1:6" ht="15" x14ac:dyDescent="0.25">
      <c r="A3185" s="461">
        <v>4380</v>
      </c>
      <c r="B3185" s="460" t="s">
        <v>13270</v>
      </c>
      <c r="C3185" s="461" t="s">
        <v>1104</v>
      </c>
      <c r="D3185" s="461">
        <v>1.61</v>
      </c>
      <c r="E3185" s="461" t="s">
        <v>161</v>
      </c>
      <c r="F3185" s="461" t="s">
        <v>8328</v>
      </c>
    </row>
    <row r="3186" spans="1:6" ht="30" x14ac:dyDescent="0.25">
      <c r="A3186" s="461">
        <v>4299</v>
      </c>
      <c r="B3186" s="460" t="s">
        <v>13271</v>
      </c>
      <c r="C3186" s="461" t="s">
        <v>1104</v>
      </c>
      <c r="D3186" s="461">
        <v>1.52</v>
      </c>
      <c r="E3186" s="461" t="s">
        <v>161</v>
      </c>
      <c r="F3186" s="461" t="s">
        <v>8328</v>
      </c>
    </row>
    <row r="3187" spans="1:6" ht="30" x14ac:dyDescent="0.25">
      <c r="A3187" s="461">
        <v>4304</v>
      </c>
      <c r="B3187" s="460" t="s">
        <v>13272</v>
      </c>
      <c r="C3187" s="461" t="s">
        <v>1104</v>
      </c>
      <c r="D3187" s="461">
        <v>2.0699999999999998</v>
      </c>
      <c r="E3187" s="461" t="s">
        <v>161</v>
      </c>
      <c r="F3187" s="461" t="s">
        <v>8328</v>
      </c>
    </row>
    <row r="3188" spans="1:6" ht="30" x14ac:dyDescent="0.25">
      <c r="A3188" s="461">
        <v>4305</v>
      </c>
      <c r="B3188" s="460" t="s">
        <v>13273</v>
      </c>
      <c r="C3188" s="461" t="s">
        <v>1104</v>
      </c>
      <c r="D3188" s="461">
        <v>2.41</v>
      </c>
      <c r="E3188" s="461" t="s">
        <v>161</v>
      </c>
      <c r="F3188" s="461" t="s">
        <v>8328</v>
      </c>
    </row>
    <row r="3189" spans="1:6" ht="30" x14ac:dyDescent="0.25">
      <c r="A3189" s="461">
        <v>4306</v>
      </c>
      <c r="B3189" s="460" t="s">
        <v>13274</v>
      </c>
      <c r="C3189" s="461" t="s">
        <v>1104</v>
      </c>
      <c r="D3189" s="461">
        <v>2.79</v>
      </c>
      <c r="E3189" s="461" t="s">
        <v>161</v>
      </c>
      <c r="F3189" s="461" t="s">
        <v>8328</v>
      </c>
    </row>
    <row r="3190" spans="1:6" ht="30" x14ac:dyDescent="0.25">
      <c r="A3190" s="461">
        <v>4308</v>
      </c>
      <c r="B3190" s="460" t="s">
        <v>13275</v>
      </c>
      <c r="C3190" s="461" t="s">
        <v>1104</v>
      </c>
      <c r="D3190" s="461">
        <v>5.79</v>
      </c>
      <c r="E3190" s="461" t="s">
        <v>161</v>
      </c>
      <c r="F3190" s="461" t="s">
        <v>8328</v>
      </c>
    </row>
    <row r="3191" spans="1:6" ht="30" x14ac:dyDescent="0.25">
      <c r="A3191" s="461">
        <v>4302</v>
      </c>
      <c r="B3191" s="460" t="s">
        <v>13276</v>
      </c>
      <c r="C3191" s="461" t="s">
        <v>1104</v>
      </c>
      <c r="D3191" s="461">
        <v>4.34</v>
      </c>
      <c r="E3191" s="461" t="s">
        <v>161</v>
      </c>
      <c r="F3191" s="461" t="s">
        <v>8328</v>
      </c>
    </row>
    <row r="3192" spans="1:6" ht="30" x14ac:dyDescent="0.25">
      <c r="A3192" s="461">
        <v>4300</v>
      </c>
      <c r="B3192" s="460" t="s">
        <v>13277</v>
      </c>
      <c r="C3192" s="461" t="s">
        <v>1104</v>
      </c>
      <c r="D3192" s="461">
        <v>1.03</v>
      </c>
      <c r="E3192" s="461" t="s">
        <v>161</v>
      </c>
      <c r="F3192" s="461" t="s">
        <v>8328</v>
      </c>
    </row>
    <row r="3193" spans="1:6" ht="30" x14ac:dyDescent="0.25">
      <c r="A3193" s="461">
        <v>4301</v>
      </c>
      <c r="B3193" s="460" t="s">
        <v>13278</v>
      </c>
      <c r="C3193" s="461" t="s">
        <v>1104</v>
      </c>
      <c r="D3193" s="461">
        <v>1.26</v>
      </c>
      <c r="E3193" s="461" t="s">
        <v>161</v>
      </c>
      <c r="F3193" s="461" t="s">
        <v>8328</v>
      </c>
    </row>
    <row r="3194" spans="1:6" ht="30" x14ac:dyDescent="0.25">
      <c r="A3194" s="461">
        <v>4320</v>
      </c>
      <c r="B3194" s="460" t="s">
        <v>13279</v>
      </c>
      <c r="C3194" s="461" t="s">
        <v>1104</v>
      </c>
      <c r="D3194" s="461">
        <v>3.83</v>
      </c>
      <c r="E3194" s="461" t="s">
        <v>161</v>
      </c>
      <c r="F3194" s="461" t="s">
        <v>8328</v>
      </c>
    </row>
    <row r="3195" spans="1:6" ht="30" x14ac:dyDescent="0.25">
      <c r="A3195" s="461">
        <v>4318</v>
      </c>
      <c r="B3195" s="460" t="s">
        <v>13280</v>
      </c>
      <c r="C3195" s="461" t="s">
        <v>1104</v>
      </c>
      <c r="D3195" s="461">
        <v>1.86</v>
      </c>
      <c r="E3195" s="461" t="s">
        <v>161</v>
      </c>
      <c r="F3195" s="461" t="s">
        <v>8328</v>
      </c>
    </row>
    <row r="3196" spans="1:6" ht="15" x14ac:dyDescent="0.25">
      <c r="A3196" s="461">
        <v>40547</v>
      </c>
      <c r="B3196" s="460" t="s">
        <v>11301</v>
      </c>
      <c r="C3196" s="461" t="s">
        <v>1117</v>
      </c>
      <c r="D3196" s="461">
        <v>30.17</v>
      </c>
      <c r="E3196" s="461" t="s">
        <v>161</v>
      </c>
      <c r="F3196" s="461" t="s">
        <v>8328</v>
      </c>
    </row>
    <row r="3197" spans="1:6" ht="30" x14ac:dyDescent="0.25">
      <c r="A3197" s="461">
        <v>11962</v>
      </c>
      <c r="B3197" s="460" t="s">
        <v>11302</v>
      </c>
      <c r="C3197" s="461" t="s">
        <v>1104</v>
      </c>
      <c r="D3197" s="461">
        <v>0.24</v>
      </c>
      <c r="E3197" s="461" t="s">
        <v>161</v>
      </c>
      <c r="F3197" s="461" t="s">
        <v>8328</v>
      </c>
    </row>
    <row r="3198" spans="1:6" ht="30" x14ac:dyDescent="0.25">
      <c r="A3198" s="461">
        <v>4332</v>
      </c>
      <c r="B3198" s="460" t="s">
        <v>11303</v>
      </c>
      <c r="C3198" s="461" t="s">
        <v>1104</v>
      </c>
      <c r="D3198" s="461">
        <v>1.2</v>
      </c>
      <c r="E3198" s="461" t="s">
        <v>161</v>
      </c>
      <c r="F3198" s="461" t="s">
        <v>8328</v>
      </c>
    </row>
    <row r="3199" spans="1:6" ht="30" x14ac:dyDescent="0.25">
      <c r="A3199" s="461">
        <v>4331</v>
      </c>
      <c r="B3199" s="460" t="s">
        <v>11304</v>
      </c>
      <c r="C3199" s="461" t="s">
        <v>1104</v>
      </c>
      <c r="D3199" s="461">
        <v>4.53</v>
      </c>
      <c r="E3199" s="461" t="s">
        <v>161</v>
      </c>
      <c r="F3199" s="461" t="s">
        <v>8328</v>
      </c>
    </row>
    <row r="3200" spans="1:6" ht="30" x14ac:dyDescent="0.25">
      <c r="A3200" s="461">
        <v>4336</v>
      </c>
      <c r="B3200" s="460" t="s">
        <v>11305</v>
      </c>
      <c r="C3200" s="461" t="s">
        <v>1104</v>
      </c>
      <c r="D3200" s="461">
        <v>5.79</v>
      </c>
      <c r="E3200" s="461" t="s">
        <v>161</v>
      </c>
      <c r="F3200" s="461" t="s">
        <v>8328</v>
      </c>
    </row>
    <row r="3201" spans="1:6" ht="30" x14ac:dyDescent="0.25">
      <c r="A3201" s="461">
        <v>11948</v>
      </c>
      <c r="B3201" s="460" t="s">
        <v>11306</v>
      </c>
      <c r="C3201" s="461" t="s">
        <v>1104</v>
      </c>
      <c r="D3201" s="461">
        <v>0.74</v>
      </c>
      <c r="E3201" s="461" t="s">
        <v>161</v>
      </c>
      <c r="F3201" s="461" t="s">
        <v>8328</v>
      </c>
    </row>
    <row r="3202" spans="1:6" ht="30" x14ac:dyDescent="0.25">
      <c r="A3202" s="461">
        <v>4382</v>
      </c>
      <c r="B3202" s="460" t="s">
        <v>11307</v>
      </c>
      <c r="C3202" s="461" t="s">
        <v>1104</v>
      </c>
      <c r="D3202" s="461">
        <v>1.24</v>
      </c>
      <c r="E3202" s="461" t="s">
        <v>161</v>
      </c>
      <c r="F3202" s="461" t="s">
        <v>8328</v>
      </c>
    </row>
    <row r="3203" spans="1:6" ht="30" x14ac:dyDescent="0.25">
      <c r="A3203" s="461">
        <v>4354</v>
      </c>
      <c r="B3203" s="460" t="s">
        <v>11308</v>
      </c>
      <c r="C3203" s="461" t="s">
        <v>1104</v>
      </c>
      <c r="D3203" s="461">
        <v>51.95</v>
      </c>
      <c r="E3203" s="461" t="s">
        <v>161</v>
      </c>
      <c r="F3203" s="461" t="s">
        <v>8328</v>
      </c>
    </row>
    <row r="3204" spans="1:6" ht="30" x14ac:dyDescent="0.25">
      <c r="A3204" s="461">
        <v>40839</v>
      </c>
      <c r="B3204" s="460" t="s">
        <v>13281</v>
      </c>
      <c r="C3204" s="461" t="s">
        <v>1117</v>
      </c>
      <c r="D3204" s="461">
        <v>125.01</v>
      </c>
      <c r="E3204" s="461" t="s">
        <v>161</v>
      </c>
      <c r="F3204" s="461" t="s">
        <v>8328</v>
      </c>
    </row>
    <row r="3205" spans="1:6" ht="30" x14ac:dyDescent="0.25">
      <c r="A3205" s="461">
        <v>40552</v>
      </c>
      <c r="B3205" s="460" t="s">
        <v>11309</v>
      </c>
      <c r="C3205" s="461" t="s">
        <v>1117</v>
      </c>
      <c r="D3205" s="461">
        <v>51.73</v>
      </c>
      <c r="E3205" s="461" t="s">
        <v>161</v>
      </c>
      <c r="F3205" s="461" t="s">
        <v>8328</v>
      </c>
    </row>
    <row r="3206" spans="1:6" ht="30" x14ac:dyDescent="0.25">
      <c r="A3206" s="461">
        <v>40549</v>
      </c>
      <c r="B3206" s="460" t="s">
        <v>11310</v>
      </c>
      <c r="C3206" s="461" t="s">
        <v>1117</v>
      </c>
      <c r="D3206" s="461">
        <v>204.77</v>
      </c>
      <c r="E3206" s="461" t="s">
        <v>161</v>
      </c>
      <c r="F3206" s="461" t="s">
        <v>8328</v>
      </c>
    </row>
    <row r="3207" spans="1:6" ht="30" x14ac:dyDescent="0.25">
      <c r="A3207" s="461">
        <v>4385</v>
      </c>
      <c r="B3207" s="460" t="s">
        <v>11311</v>
      </c>
      <c r="C3207" s="461" t="s">
        <v>1113</v>
      </c>
      <c r="D3207" s="461">
        <v>8695.0499999999993</v>
      </c>
      <c r="E3207" s="461" t="s">
        <v>161</v>
      </c>
      <c r="F3207" s="461" t="s">
        <v>8326</v>
      </c>
    </row>
    <row r="3208" spans="1:6" ht="30" x14ac:dyDescent="0.25">
      <c r="A3208" s="461">
        <v>20078</v>
      </c>
      <c r="B3208" s="460" t="s">
        <v>11312</v>
      </c>
      <c r="C3208" s="461" t="s">
        <v>1104</v>
      </c>
      <c r="D3208" s="461">
        <v>28.51</v>
      </c>
      <c r="E3208" s="461" t="s">
        <v>161</v>
      </c>
      <c r="F3208" s="461" t="s">
        <v>8326</v>
      </c>
    </row>
    <row r="3209" spans="1:6" ht="15" x14ac:dyDescent="0.25">
      <c r="A3209" s="461">
        <v>39897</v>
      </c>
      <c r="B3209" s="460" t="s">
        <v>11313</v>
      </c>
      <c r="C3209" s="461" t="s">
        <v>1104</v>
      </c>
      <c r="D3209" s="461">
        <v>60</v>
      </c>
      <c r="E3209" s="461" t="s">
        <v>161</v>
      </c>
      <c r="F3209" s="461" t="s">
        <v>8326</v>
      </c>
    </row>
    <row r="3210" spans="1:6" ht="30" x14ac:dyDescent="0.25">
      <c r="A3210" s="461">
        <v>118</v>
      </c>
      <c r="B3210" s="460" t="s">
        <v>11314</v>
      </c>
      <c r="C3210" s="461" t="s">
        <v>1104</v>
      </c>
      <c r="D3210" s="461">
        <v>60.29</v>
      </c>
      <c r="E3210" s="461" t="s">
        <v>161</v>
      </c>
      <c r="F3210" s="461" t="s">
        <v>8326</v>
      </c>
    </row>
    <row r="3211" spans="1:6" ht="30" x14ac:dyDescent="0.25">
      <c r="A3211" s="461">
        <v>4396</v>
      </c>
      <c r="B3211" s="460" t="s">
        <v>13282</v>
      </c>
      <c r="C3211" s="461" t="s">
        <v>1106</v>
      </c>
      <c r="D3211" s="461">
        <v>183.71</v>
      </c>
      <c r="E3211" s="461" t="s">
        <v>161</v>
      </c>
      <c r="F3211" s="461" t="s">
        <v>8326</v>
      </c>
    </row>
    <row r="3212" spans="1:6" ht="30" x14ac:dyDescent="0.25">
      <c r="A3212" s="461">
        <v>36881</v>
      </c>
      <c r="B3212" s="460" t="s">
        <v>13283</v>
      </c>
      <c r="C3212" s="461" t="s">
        <v>1106</v>
      </c>
      <c r="D3212" s="461">
        <v>118.32</v>
      </c>
      <c r="E3212" s="461" t="s">
        <v>161</v>
      </c>
      <c r="F3212" s="461" t="s">
        <v>8326</v>
      </c>
    </row>
    <row r="3213" spans="1:6" ht="30" x14ac:dyDescent="0.25">
      <c r="A3213" s="461">
        <v>4397</v>
      </c>
      <c r="B3213" s="460" t="s">
        <v>13284</v>
      </c>
      <c r="C3213" s="461" t="s">
        <v>1106</v>
      </c>
      <c r="D3213" s="461">
        <v>199.84</v>
      </c>
      <c r="E3213" s="461" t="s">
        <v>161</v>
      </c>
      <c r="F3213" s="461" t="s">
        <v>8326</v>
      </c>
    </row>
    <row r="3214" spans="1:6" ht="30" x14ac:dyDescent="0.25">
      <c r="A3214" s="461">
        <v>36882</v>
      </c>
      <c r="B3214" s="460" t="s">
        <v>13285</v>
      </c>
      <c r="C3214" s="461" t="s">
        <v>1106</v>
      </c>
      <c r="D3214" s="461">
        <v>141.47999999999999</v>
      </c>
      <c r="E3214" s="461" t="s">
        <v>161</v>
      </c>
      <c r="F3214" s="461" t="s">
        <v>8326</v>
      </c>
    </row>
    <row r="3215" spans="1:6" ht="15" x14ac:dyDescent="0.25">
      <c r="A3215" s="461">
        <v>4751</v>
      </c>
      <c r="B3215" s="460" t="s">
        <v>11315</v>
      </c>
      <c r="C3215" s="461" t="s">
        <v>1103</v>
      </c>
      <c r="D3215" s="461">
        <v>21.83</v>
      </c>
      <c r="E3215" s="461" t="s">
        <v>4455</v>
      </c>
      <c r="F3215" s="461" t="s">
        <v>8326</v>
      </c>
    </row>
    <row r="3216" spans="1:6" ht="15" x14ac:dyDescent="0.25">
      <c r="A3216" s="461">
        <v>41066</v>
      </c>
      <c r="B3216" s="460" t="s">
        <v>11316</v>
      </c>
      <c r="C3216" s="461" t="s">
        <v>1110</v>
      </c>
      <c r="D3216" s="461">
        <v>3886.77</v>
      </c>
      <c r="E3216" s="461" t="s">
        <v>4455</v>
      </c>
      <c r="F3216" s="461" t="s">
        <v>8326</v>
      </c>
    </row>
    <row r="3217" spans="1:6" ht="30" x14ac:dyDescent="0.25">
      <c r="A3217" s="461">
        <v>39604</v>
      </c>
      <c r="B3217" s="460" t="s">
        <v>11317</v>
      </c>
      <c r="C3217" s="461" t="s">
        <v>1104</v>
      </c>
      <c r="D3217" s="461">
        <v>15.42</v>
      </c>
      <c r="E3217" s="461" t="s">
        <v>161</v>
      </c>
      <c r="F3217" s="461" t="s">
        <v>8326</v>
      </c>
    </row>
    <row r="3218" spans="1:6" ht="30" x14ac:dyDescent="0.25">
      <c r="A3218" s="461">
        <v>39605</v>
      </c>
      <c r="B3218" s="460" t="s">
        <v>11318</v>
      </c>
      <c r="C3218" s="461" t="s">
        <v>1104</v>
      </c>
      <c r="D3218" s="511">
        <v>16.75</v>
      </c>
      <c r="E3218" s="461" t="s">
        <v>161</v>
      </c>
      <c r="F3218" s="461" t="s">
        <v>8326</v>
      </c>
    </row>
    <row r="3219" spans="1:6" ht="30" x14ac:dyDescent="0.25">
      <c r="A3219" s="461">
        <v>39606</v>
      </c>
      <c r="B3219" s="460" t="s">
        <v>11319</v>
      </c>
      <c r="C3219" s="461" t="s">
        <v>1104</v>
      </c>
      <c r="D3219" s="461">
        <v>29.34</v>
      </c>
      <c r="E3219" s="461" t="s">
        <v>161</v>
      </c>
      <c r="F3219" s="461" t="s">
        <v>8326</v>
      </c>
    </row>
    <row r="3220" spans="1:6" ht="30" x14ac:dyDescent="0.25">
      <c r="A3220" s="461">
        <v>39607</v>
      </c>
      <c r="B3220" s="460" t="s">
        <v>11320</v>
      </c>
      <c r="C3220" s="461" t="s">
        <v>1104</v>
      </c>
      <c r="D3220" s="461">
        <v>39.69</v>
      </c>
      <c r="E3220" s="461" t="s">
        <v>161</v>
      </c>
      <c r="F3220" s="461" t="s">
        <v>8326</v>
      </c>
    </row>
    <row r="3221" spans="1:6" ht="30" x14ac:dyDescent="0.25">
      <c r="A3221" s="461">
        <v>39594</v>
      </c>
      <c r="B3221" s="460" t="s">
        <v>11321</v>
      </c>
      <c r="C3221" s="461" t="s">
        <v>1104</v>
      </c>
      <c r="D3221" s="461">
        <v>269.33999999999997</v>
      </c>
      <c r="E3221" s="461" t="s">
        <v>161</v>
      </c>
      <c r="F3221" s="461" t="s">
        <v>8328</v>
      </c>
    </row>
    <row r="3222" spans="1:6" ht="30" x14ac:dyDescent="0.25">
      <c r="A3222" s="461">
        <v>39596</v>
      </c>
      <c r="B3222" s="460" t="s">
        <v>11322</v>
      </c>
      <c r="C3222" s="461" t="s">
        <v>1104</v>
      </c>
      <c r="D3222" s="461">
        <v>721.31</v>
      </c>
      <c r="E3222" s="461" t="s">
        <v>161</v>
      </c>
      <c r="F3222" s="461" t="s">
        <v>8328</v>
      </c>
    </row>
    <row r="3223" spans="1:6" ht="30" x14ac:dyDescent="0.25">
      <c r="A3223" s="461">
        <v>39595</v>
      </c>
      <c r="B3223" s="460" t="s">
        <v>11323</v>
      </c>
      <c r="C3223" s="461" t="s">
        <v>1104</v>
      </c>
      <c r="D3223" s="461">
        <v>1620.69</v>
      </c>
      <c r="E3223" s="461" t="s">
        <v>161</v>
      </c>
      <c r="F3223" s="461" t="s">
        <v>8328</v>
      </c>
    </row>
    <row r="3224" spans="1:6" ht="30" x14ac:dyDescent="0.25">
      <c r="A3224" s="461">
        <v>39597</v>
      </c>
      <c r="B3224" s="460" t="s">
        <v>11324</v>
      </c>
      <c r="C3224" s="461" t="s">
        <v>1104</v>
      </c>
      <c r="D3224" s="461">
        <v>2542.27</v>
      </c>
      <c r="E3224" s="461" t="s">
        <v>161</v>
      </c>
      <c r="F3224" s="461" t="s">
        <v>8328</v>
      </c>
    </row>
    <row r="3225" spans="1:6" ht="15" x14ac:dyDescent="0.25">
      <c r="A3225" s="461">
        <v>10731</v>
      </c>
      <c r="B3225" s="460" t="s">
        <v>11325</v>
      </c>
      <c r="C3225" s="461" t="s">
        <v>1106</v>
      </c>
      <c r="D3225" s="461">
        <v>42</v>
      </c>
      <c r="E3225" s="461" t="s">
        <v>161</v>
      </c>
      <c r="F3225" s="461" t="s">
        <v>8328</v>
      </c>
    </row>
    <row r="3226" spans="1:6" ht="15" x14ac:dyDescent="0.25">
      <c r="A3226" s="461">
        <v>4704</v>
      </c>
      <c r="B3226" s="460" t="s">
        <v>13286</v>
      </c>
      <c r="C3226" s="461" t="s">
        <v>1106</v>
      </c>
      <c r="D3226" s="461">
        <v>37.9</v>
      </c>
      <c r="E3226" s="461" t="s">
        <v>161</v>
      </c>
      <c r="F3226" s="461" t="s">
        <v>8328</v>
      </c>
    </row>
    <row r="3227" spans="1:6" ht="15" x14ac:dyDescent="0.25">
      <c r="A3227" s="461">
        <v>10730</v>
      </c>
      <c r="B3227" s="460" t="s">
        <v>13287</v>
      </c>
      <c r="C3227" s="461" t="s">
        <v>1106</v>
      </c>
      <c r="D3227" s="511">
        <v>40.61</v>
      </c>
      <c r="E3227" s="461" t="s">
        <v>161</v>
      </c>
      <c r="F3227" s="461" t="s">
        <v>8328</v>
      </c>
    </row>
    <row r="3228" spans="1:6" ht="30" x14ac:dyDescent="0.25">
      <c r="A3228" s="461">
        <v>4720</v>
      </c>
      <c r="B3228" s="460" t="s">
        <v>11326</v>
      </c>
      <c r="C3228" s="461" t="s">
        <v>1105</v>
      </c>
      <c r="D3228" s="461">
        <v>204.84</v>
      </c>
      <c r="E3228" s="461" t="s">
        <v>161</v>
      </c>
      <c r="F3228" s="461" t="s">
        <v>8326</v>
      </c>
    </row>
    <row r="3229" spans="1:6" ht="15" x14ac:dyDescent="0.25">
      <c r="A3229" s="461">
        <v>4721</v>
      </c>
      <c r="B3229" s="460" t="s">
        <v>13288</v>
      </c>
      <c r="C3229" s="461" t="s">
        <v>1105</v>
      </c>
      <c r="D3229" s="461">
        <v>177.42</v>
      </c>
      <c r="E3229" s="461" t="s">
        <v>161</v>
      </c>
      <c r="F3229" s="461" t="s">
        <v>8326</v>
      </c>
    </row>
    <row r="3230" spans="1:6" ht="15" x14ac:dyDescent="0.25">
      <c r="A3230" s="461">
        <v>4718</v>
      </c>
      <c r="B3230" s="460" t="s">
        <v>11327</v>
      </c>
      <c r="C3230" s="461" t="s">
        <v>1105</v>
      </c>
      <c r="D3230" s="461">
        <v>178.36</v>
      </c>
      <c r="E3230" s="461" t="s">
        <v>161</v>
      </c>
      <c r="F3230" s="461" t="s">
        <v>8333</v>
      </c>
    </row>
    <row r="3231" spans="1:6" ht="15" x14ac:dyDescent="0.25">
      <c r="A3231" s="461">
        <v>4722</v>
      </c>
      <c r="B3231" s="460" t="s">
        <v>11328</v>
      </c>
      <c r="C3231" s="461" t="s">
        <v>1105</v>
      </c>
      <c r="D3231" s="461">
        <v>167.6</v>
      </c>
      <c r="E3231" s="461" t="s">
        <v>161</v>
      </c>
      <c r="F3231" s="461" t="s">
        <v>8326</v>
      </c>
    </row>
    <row r="3232" spans="1:6" ht="30" x14ac:dyDescent="0.25">
      <c r="A3232" s="461">
        <v>4730</v>
      </c>
      <c r="B3232" s="460" t="s">
        <v>11329</v>
      </c>
      <c r="C3232" s="461" t="s">
        <v>1105</v>
      </c>
      <c r="D3232" s="461">
        <v>166.77</v>
      </c>
      <c r="E3232" s="461" t="s">
        <v>161</v>
      </c>
      <c r="F3232" s="461" t="s">
        <v>8326</v>
      </c>
    </row>
    <row r="3233" spans="1:6" ht="45" x14ac:dyDescent="0.25">
      <c r="A3233" s="461">
        <v>13186</v>
      </c>
      <c r="B3233" s="460" t="s">
        <v>11330</v>
      </c>
      <c r="C3233" s="461" t="s">
        <v>1105</v>
      </c>
      <c r="D3233" s="461">
        <v>192.43</v>
      </c>
      <c r="E3233" s="461" t="s">
        <v>161</v>
      </c>
      <c r="F3233" s="461" t="s">
        <v>8326</v>
      </c>
    </row>
    <row r="3234" spans="1:6" ht="45" x14ac:dyDescent="0.25">
      <c r="A3234" s="461">
        <v>10737</v>
      </c>
      <c r="B3234" s="460" t="s">
        <v>13289</v>
      </c>
      <c r="C3234" s="461" t="s">
        <v>1106</v>
      </c>
      <c r="D3234" s="511">
        <v>131.99</v>
      </c>
      <c r="E3234" s="461" t="s">
        <v>161</v>
      </c>
      <c r="F3234" s="461" t="s">
        <v>8328</v>
      </c>
    </row>
    <row r="3235" spans="1:6" ht="30" x14ac:dyDescent="0.25">
      <c r="A3235" s="461">
        <v>10734</v>
      </c>
      <c r="B3235" s="460" t="s">
        <v>13290</v>
      </c>
      <c r="C3235" s="461" t="s">
        <v>1106</v>
      </c>
      <c r="D3235" s="511">
        <v>78.510000000000005</v>
      </c>
      <c r="E3235" s="461" t="s">
        <v>161</v>
      </c>
      <c r="F3235" s="461" t="s">
        <v>8328</v>
      </c>
    </row>
    <row r="3236" spans="1:6" ht="15" x14ac:dyDescent="0.25">
      <c r="A3236" s="461">
        <v>4708</v>
      </c>
      <c r="B3236" s="460" t="s">
        <v>13291</v>
      </c>
      <c r="C3236" s="461" t="s">
        <v>1106</v>
      </c>
      <c r="D3236" s="461">
        <v>152.29</v>
      </c>
      <c r="E3236" s="461" t="s">
        <v>161</v>
      </c>
      <c r="F3236" s="461" t="s">
        <v>8328</v>
      </c>
    </row>
    <row r="3237" spans="1:6" ht="45" x14ac:dyDescent="0.25">
      <c r="A3237" s="461">
        <v>4712</v>
      </c>
      <c r="B3237" s="460" t="s">
        <v>13292</v>
      </c>
      <c r="C3237" s="461" t="s">
        <v>1106</v>
      </c>
      <c r="D3237" s="461">
        <v>74.45</v>
      </c>
      <c r="E3237" s="461" t="s">
        <v>161</v>
      </c>
      <c r="F3237" s="461" t="s">
        <v>8328</v>
      </c>
    </row>
    <row r="3238" spans="1:6" ht="45" x14ac:dyDescent="0.25">
      <c r="A3238" s="461">
        <v>4710</v>
      </c>
      <c r="B3238" s="460" t="s">
        <v>13293</v>
      </c>
      <c r="C3238" s="461" t="s">
        <v>1106</v>
      </c>
      <c r="D3238" s="461">
        <v>238.76</v>
      </c>
      <c r="E3238" s="461" t="s">
        <v>161</v>
      </c>
      <c r="F3238" s="461" t="s">
        <v>8328</v>
      </c>
    </row>
    <row r="3239" spans="1:6" ht="15" x14ac:dyDescent="0.25">
      <c r="A3239" s="461">
        <v>4750</v>
      </c>
      <c r="B3239" s="460" t="s">
        <v>11331</v>
      </c>
      <c r="C3239" s="461" t="s">
        <v>1103</v>
      </c>
      <c r="D3239" s="461">
        <v>21.83</v>
      </c>
      <c r="E3239" s="461" t="s">
        <v>4455</v>
      </c>
      <c r="F3239" s="461" t="s">
        <v>8333</v>
      </c>
    </row>
    <row r="3240" spans="1:6" ht="15" x14ac:dyDescent="0.25">
      <c r="A3240" s="461">
        <v>41065</v>
      </c>
      <c r="B3240" s="460" t="s">
        <v>11332</v>
      </c>
      <c r="C3240" s="461" t="s">
        <v>1110</v>
      </c>
      <c r="D3240" s="461">
        <v>3886.77</v>
      </c>
      <c r="E3240" s="461" t="s">
        <v>4455</v>
      </c>
      <c r="F3240" s="461" t="s">
        <v>8326</v>
      </c>
    </row>
    <row r="3241" spans="1:6" ht="30" x14ac:dyDescent="0.25">
      <c r="A3241" s="461">
        <v>34747</v>
      </c>
      <c r="B3241" s="460" t="s">
        <v>13294</v>
      </c>
      <c r="C3241" s="461" t="s">
        <v>1107</v>
      </c>
      <c r="D3241" s="461">
        <v>82.65</v>
      </c>
      <c r="E3241" s="461" t="s">
        <v>161</v>
      </c>
      <c r="F3241" s="461" t="s">
        <v>8326</v>
      </c>
    </row>
    <row r="3242" spans="1:6" ht="30" x14ac:dyDescent="0.25">
      <c r="A3242" s="461">
        <v>4826</v>
      </c>
      <c r="B3242" s="460" t="s">
        <v>13295</v>
      </c>
      <c r="C3242" s="461" t="s">
        <v>1107</v>
      </c>
      <c r="D3242" s="461">
        <v>88.87</v>
      </c>
      <c r="E3242" s="461" t="s">
        <v>161</v>
      </c>
      <c r="F3242" s="461" t="s">
        <v>8326</v>
      </c>
    </row>
    <row r="3243" spans="1:6" ht="15" x14ac:dyDescent="0.25">
      <c r="A3243" s="461">
        <v>41975</v>
      </c>
      <c r="B3243" s="460" t="s">
        <v>11333</v>
      </c>
      <c r="C3243" s="461" t="s">
        <v>1106</v>
      </c>
      <c r="D3243" s="461">
        <v>103.04</v>
      </c>
      <c r="E3243" s="461" t="s">
        <v>161</v>
      </c>
      <c r="F3243" s="461" t="s">
        <v>8328</v>
      </c>
    </row>
    <row r="3244" spans="1:6" ht="30" x14ac:dyDescent="0.25">
      <c r="A3244" s="461">
        <v>4825</v>
      </c>
      <c r="B3244" s="460" t="s">
        <v>13296</v>
      </c>
      <c r="C3244" s="461" t="s">
        <v>1107</v>
      </c>
      <c r="D3244" s="461">
        <v>123.02</v>
      </c>
      <c r="E3244" s="461" t="s">
        <v>161</v>
      </c>
      <c r="F3244" s="461" t="s">
        <v>8326</v>
      </c>
    </row>
    <row r="3245" spans="1:6" ht="15" x14ac:dyDescent="0.25">
      <c r="A3245" s="461">
        <v>34744</v>
      </c>
      <c r="B3245" s="460" t="s">
        <v>11334</v>
      </c>
      <c r="C3245" s="461" t="s">
        <v>1106</v>
      </c>
      <c r="D3245" s="461">
        <v>23.25</v>
      </c>
      <c r="E3245" s="461" t="s">
        <v>161</v>
      </c>
      <c r="F3245" s="461" t="s">
        <v>8328</v>
      </c>
    </row>
    <row r="3246" spans="1:6" ht="30" x14ac:dyDescent="0.25">
      <c r="A3246" s="461">
        <v>39430</v>
      </c>
      <c r="B3246" s="460" t="s">
        <v>11335</v>
      </c>
      <c r="C3246" s="461" t="s">
        <v>1104</v>
      </c>
      <c r="D3246" s="461">
        <v>1.78</v>
      </c>
      <c r="E3246" s="461" t="s">
        <v>161</v>
      </c>
      <c r="F3246" s="461" t="s">
        <v>8326</v>
      </c>
    </row>
    <row r="3247" spans="1:6" ht="30" x14ac:dyDescent="0.25">
      <c r="A3247" s="461">
        <v>39573</v>
      </c>
      <c r="B3247" s="460" t="s">
        <v>11336</v>
      </c>
      <c r="C3247" s="461" t="s">
        <v>1104</v>
      </c>
      <c r="D3247" s="461">
        <v>1.75</v>
      </c>
      <c r="E3247" s="461" t="s">
        <v>161</v>
      </c>
      <c r="F3247" s="461" t="s">
        <v>8326</v>
      </c>
    </row>
    <row r="3248" spans="1:6" ht="30" x14ac:dyDescent="0.25">
      <c r="A3248" s="461">
        <v>38410</v>
      </c>
      <c r="B3248" s="460" t="s">
        <v>11337</v>
      </c>
      <c r="C3248" s="461" t="s">
        <v>1104</v>
      </c>
      <c r="D3248" s="461">
        <v>15876.84</v>
      </c>
      <c r="E3248" s="461" t="s">
        <v>1497</v>
      </c>
      <c r="F3248" s="461" t="s">
        <v>8326</v>
      </c>
    </row>
    <row r="3249" spans="1:6" ht="15" x14ac:dyDescent="0.25">
      <c r="A3249" s="461">
        <v>43082</v>
      </c>
      <c r="B3249" s="460" t="s">
        <v>11338</v>
      </c>
      <c r="C3249" s="461" t="s">
        <v>1108</v>
      </c>
      <c r="D3249" s="461">
        <v>10</v>
      </c>
      <c r="E3249" s="461" t="s">
        <v>161</v>
      </c>
      <c r="F3249" s="461" t="s">
        <v>8328</v>
      </c>
    </row>
    <row r="3250" spans="1:6" ht="30" x14ac:dyDescent="0.25">
      <c r="A3250" s="461">
        <v>43083</v>
      </c>
      <c r="B3250" s="460" t="s">
        <v>11339</v>
      </c>
      <c r="C3250" s="461" t="s">
        <v>1108</v>
      </c>
      <c r="D3250" s="461">
        <v>8.66</v>
      </c>
      <c r="E3250" s="461" t="s">
        <v>161</v>
      </c>
      <c r="F3250" s="461" t="s">
        <v>8328</v>
      </c>
    </row>
    <row r="3251" spans="1:6" ht="30" x14ac:dyDescent="0.25">
      <c r="A3251" s="461">
        <v>40535</v>
      </c>
      <c r="B3251" s="460" t="s">
        <v>11340</v>
      </c>
      <c r="C3251" s="461" t="s">
        <v>1108</v>
      </c>
      <c r="D3251" s="461">
        <v>8.66</v>
      </c>
      <c r="E3251" s="461" t="s">
        <v>161</v>
      </c>
      <c r="F3251" s="461" t="s">
        <v>8328</v>
      </c>
    </row>
    <row r="3252" spans="1:6" ht="30" x14ac:dyDescent="0.25">
      <c r="A3252" s="461">
        <v>40598</v>
      </c>
      <c r="B3252" s="460" t="s">
        <v>11341</v>
      </c>
      <c r="C3252" s="461" t="s">
        <v>1108</v>
      </c>
      <c r="D3252" s="461">
        <v>8.4499999999999993</v>
      </c>
      <c r="E3252" s="461" t="s">
        <v>161</v>
      </c>
      <c r="F3252" s="461" t="s">
        <v>8328</v>
      </c>
    </row>
    <row r="3253" spans="1:6" ht="30" x14ac:dyDescent="0.25">
      <c r="A3253" s="461">
        <v>43692</v>
      </c>
      <c r="B3253" s="460" t="s">
        <v>11342</v>
      </c>
      <c r="C3253" s="461" t="s">
        <v>1108</v>
      </c>
      <c r="D3253" s="461">
        <v>9.1199999999999992</v>
      </c>
      <c r="E3253" s="461" t="s">
        <v>161</v>
      </c>
      <c r="F3253" s="461" t="s">
        <v>8328</v>
      </c>
    </row>
    <row r="3254" spans="1:6" ht="30" x14ac:dyDescent="0.25">
      <c r="A3254" s="461">
        <v>43665</v>
      </c>
      <c r="B3254" s="460" t="s">
        <v>11343</v>
      </c>
      <c r="C3254" s="461" t="s">
        <v>1108</v>
      </c>
      <c r="D3254" s="461">
        <v>8.59</v>
      </c>
      <c r="E3254" s="461" t="s">
        <v>161</v>
      </c>
      <c r="F3254" s="461" t="s">
        <v>8328</v>
      </c>
    </row>
    <row r="3255" spans="1:6" ht="30" x14ac:dyDescent="0.25">
      <c r="A3255" s="461">
        <v>10966</v>
      </c>
      <c r="B3255" s="460" t="s">
        <v>11344</v>
      </c>
      <c r="C3255" s="461" t="s">
        <v>1108</v>
      </c>
      <c r="D3255" s="461">
        <v>9.1199999999999992</v>
      </c>
      <c r="E3255" s="461" t="s">
        <v>161</v>
      </c>
      <c r="F3255" s="461" t="s">
        <v>8328</v>
      </c>
    </row>
    <row r="3256" spans="1:6" ht="30" x14ac:dyDescent="0.25">
      <c r="A3256" s="461">
        <v>39427</v>
      </c>
      <c r="B3256" s="460" t="s">
        <v>11345</v>
      </c>
      <c r="C3256" s="461" t="s">
        <v>1107</v>
      </c>
      <c r="D3256" s="511">
        <v>4.7300000000000004</v>
      </c>
      <c r="E3256" s="461" t="s">
        <v>161</v>
      </c>
      <c r="F3256" s="461" t="s">
        <v>8326</v>
      </c>
    </row>
    <row r="3257" spans="1:6" ht="30" x14ac:dyDescent="0.25">
      <c r="A3257" s="461">
        <v>39424</v>
      </c>
      <c r="B3257" s="460" t="s">
        <v>11346</v>
      </c>
      <c r="C3257" s="461" t="s">
        <v>1107</v>
      </c>
      <c r="D3257" s="461">
        <v>2.81</v>
      </c>
      <c r="E3257" s="461" t="s">
        <v>161</v>
      </c>
      <c r="F3257" s="461" t="s">
        <v>8326</v>
      </c>
    </row>
    <row r="3258" spans="1:6" ht="30" x14ac:dyDescent="0.25">
      <c r="A3258" s="461">
        <v>39425</v>
      </c>
      <c r="B3258" s="460" t="s">
        <v>11347</v>
      </c>
      <c r="C3258" s="461" t="s">
        <v>1107</v>
      </c>
      <c r="D3258" s="461">
        <v>2.77</v>
      </c>
      <c r="E3258" s="461" t="s">
        <v>161</v>
      </c>
      <c r="F3258" s="461" t="s">
        <v>8326</v>
      </c>
    </row>
    <row r="3259" spans="1:6" ht="15" x14ac:dyDescent="0.25">
      <c r="A3259" s="461">
        <v>40664</v>
      </c>
      <c r="B3259" s="460" t="s">
        <v>13297</v>
      </c>
      <c r="C3259" s="461" t="s">
        <v>1108</v>
      </c>
      <c r="D3259" s="461">
        <v>17.77</v>
      </c>
      <c r="E3259" s="461" t="s">
        <v>161</v>
      </c>
      <c r="F3259" s="461" t="s">
        <v>8328</v>
      </c>
    </row>
    <row r="3260" spans="1:6" ht="15" x14ac:dyDescent="0.25">
      <c r="A3260" s="461">
        <v>34360</v>
      </c>
      <c r="B3260" s="460" t="s">
        <v>11348</v>
      </c>
      <c r="C3260" s="461" t="s">
        <v>1108</v>
      </c>
      <c r="D3260" s="461">
        <v>42.22</v>
      </c>
      <c r="E3260" s="461" t="s">
        <v>161</v>
      </c>
      <c r="F3260" s="461" t="s">
        <v>8328</v>
      </c>
    </row>
    <row r="3261" spans="1:6" ht="15" x14ac:dyDescent="0.25">
      <c r="A3261" s="461">
        <v>20259</v>
      </c>
      <c r="B3261" s="460" t="s">
        <v>11349</v>
      </c>
      <c r="C3261" s="461" t="s">
        <v>1107</v>
      </c>
      <c r="D3261" s="461">
        <v>15</v>
      </c>
      <c r="E3261" s="461" t="s">
        <v>161</v>
      </c>
      <c r="F3261" s="461" t="s">
        <v>8326</v>
      </c>
    </row>
    <row r="3262" spans="1:6" ht="45" x14ac:dyDescent="0.25">
      <c r="A3262" s="461">
        <v>14077</v>
      </c>
      <c r="B3262" s="460" t="s">
        <v>11350</v>
      </c>
      <c r="C3262" s="461" t="s">
        <v>1107</v>
      </c>
      <c r="D3262" s="461">
        <v>229.59</v>
      </c>
      <c r="E3262" s="461" t="s">
        <v>161</v>
      </c>
      <c r="F3262" s="461" t="s">
        <v>8326</v>
      </c>
    </row>
    <row r="3263" spans="1:6" ht="45" x14ac:dyDescent="0.25">
      <c r="A3263" s="461">
        <v>3678</v>
      </c>
      <c r="B3263" s="460" t="s">
        <v>11351</v>
      </c>
      <c r="C3263" s="461" t="s">
        <v>1107</v>
      </c>
      <c r="D3263" s="461">
        <v>103.77</v>
      </c>
      <c r="E3263" s="461" t="s">
        <v>161</v>
      </c>
      <c r="F3263" s="461" t="s">
        <v>8326</v>
      </c>
    </row>
    <row r="3264" spans="1:6" ht="30" x14ac:dyDescent="0.25">
      <c r="A3264" s="461">
        <v>11552</v>
      </c>
      <c r="B3264" s="460" t="s">
        <v>13298</v>
      </c>
      <c r="C3264" s="461" t="s">
        <v>1107</v>
      </c>
      <c r="D3264" s="511">
        <v>6.62</v>
      </c>
      <c r="E3264" s="461" t="s">
        <v>161</v>
      </c>
      <c r="F3264" s="461" t="s">
        <v>8326</v>
      </c>
    </row>
    <row r="3265" spans="1:6" ht="30" x14ac:dyDescent="0.25">
      <c r="A3265" s="461">
        <v>585</v>
      </c>
      <c r="B3265" s="460" t="s">
        <v>11352</v>
      </c>
      <c r="C3265" s="461" t="s">
        <v>1108</v>
      </c>
      <c r="D3265" s="461">
        <v>33.770000000000003</v>
      </c>
      <c r="E3265" s="461" t="s">
        <v>161</v>
      </c>
      <c r="F3265" s="461" t="s">
        <v>8328</v>
      </c>
    </row>
    <row r="3266" spans="1:6" ht="30" x14ac:dyDescent="0.25">
      <c r="A3266" s="461">
        <v>39418</v>
      </c>
      <c r="B3266" s="460" t="s">
        <v>13299</v>
      </c>
      <c r="C3266" s="461" t="s">
        <v>1107</v>
      </c>
      <c r="D3266" s="461">
        <v>5.27</v>
      </c>
      <c r="E3266" s="461" t="s">
        <v>161</v>
      </c>
      <c r="F3266" s="461" t="s">
        <v>8326</v>
      </c>
    </row>
    <row r="3267" spans="1:6" ht="30" x14ac:dyDescent="0.25">
      <c r="A3267" s="461">
        <v>39419</v>
      </c>
      <c r="B3267" s="460" t="s">
        <v>11353</v>
      </c>
      <c r="C3267" s="461" t="s">
        <v>1107</v>
      </c>
      <c r="D3267" s="461">
        <v>6.42</v>
      </c>
      <c r="E3267" s="461" t="s">
        <v>161</v>
      </c>
      <c r="F3267" s="461" t="s">
        <v>8326</v>
      </c>
    </row>
    <row r="3268" spans="1:6" ht="30" x14ac:dyDescent="0.25">
      <c r="A3268" s="461">
        <v>39420</v>
      </c>
      <c r="B3268" s="460" t="s">
        <v>11354</v>
      </c>
      <c r="C3268" s="461" t="s">
        <v>1107</v>
      </c>
      <c r="D3268" s="461">
        <v>7.09</v>
      </c>
      <c r="E3268" s="461" t="s">
        <v>161</v>
      </c>
      <c r="F3268" s="461" t="s">
        <v>8326</v>
      </c>
    </row>
    <row r="3269" spans="1:6" ht="30" x14ac:dyDescent="0.25">
      <c r="A3269" s="461">
        <v>39571</v>
      </c>
      <c r="B3269" s="460" t="s">
        <v>11355</v>
      </c>
      <c r="C3269" s="461" t="s">
        <v>1107</v>
      </c>
      <c r="D3269" s="461">
        <v>4.28</v>
      </c>
      <c r="E3269" s="461" t="s">
        <v>161</v>
      </c>
      <c r="F3269" s="461" t="s">
        <v>8326</v>
      </c>
    </row>
    <row r="3270" spans="1:6" ht="30" x14ac:dyDescent="0.25">
      <c r="A3270" s="461">
        <v>39421</v>
      </c>
      <c r="B3270" s="460" t="s">
        <v>11356</v>
      </c>
      <c r="C3270" s="461" t="s">
        <v>1107</v>
      </c>
      <c r="D3270" s="461">
        <v>6.24</v>
      </c>
      <c r="E3270" s="461" t="s">
        <v>161</v>
      </c>
      <c r="F3270" s="461" t="s">
        <v>8326</v>
      </c>
    </row>
    <row r="3271" spans="1:6" ht="30" x14ac:dyDescent="0.25">
      <c r="A3271" s="461">
        <v>39422</v>
      </c>
      <c r="B3271" s="460" t="s">
        <v>11357</v>
      </c>
      <c r="C3271" s="461" t="s">
        <v>1107</v>
      </c>
      <c r="D3271" s="461">
        <v>7.29</v>
      </c>
      <c r="E3271" s="461" t="s">
        <v>161</v>
      </c>
      <c r="F3271" s="461" t="s">
        <v>8333</v>
      </c>
    </row>
    <row r="3272" spans="1:6" ht="30" x14ac:dyDescent="0.25">
      <c r="A3272" s="461">
        <v>39423</v>
      </c>
      <c r="B3272" s="460" t="s">
        <v>11358</v>
      </c>
      <c r="C3272" s="461" t="s">
        <v>1107</v>
      </c>
      <c r="D3272" s="461">
        <v>8.4600000000000009</v>
      </c>
      <c r="E3272" s="461" t="s">
        <v>161</v>
      </c>
      <c r="F3272" s="461" t="s">
        <v>8326</v>
      </c>
    </row>
    <row r="3273" spans="1:6" ht="30" x14ac:dyDescent="0.25">
      <c r="A3273" s="461">
        <v>39426</v>
      </c>
      <c r="B3273" s="460" t="s">
        <v>11359</v>
      </c>
      <c r="C3273" s="461" t="s">
        <v>1107</v>
      </c>
      <c r="D3273" s="461">
        <v>19.03</v>
      </c>
      <c r="E3273" s="461" t="s">
        <v>161</v>
      </c>
      <c r="F3273" s="461" t="s">
        <v>8326</v>
      </c>
    </row>
    <row r="3274" spans="1:6" ht="30" x14ac:dyDescent="0.25">
      <c r="A3274" s="461">
        <v>39429</v>
      </c>
      <c r="B3274" s="460" t="s">
        <v>11360</v>
      </c>
      <c r="C3274" s="461" t="s">
        <v>1107</v>
      </c>
      <c r="D3274" s="461">
        <v>6</v>
      </c>
      <c r="E3274" s="461" t="s">
        <v>161</v>
      </c>
      <c r="F3274" s="461" t="s">
        <v>8326</v>
      </c>
    </row>
    <row r="3275" spans="1:6" ht="30" x14ac:dyDescent="0.25">
      <c r="A3275" s="461">
        <v>39428</v>
      </c>
      <c r="B3275" s="460" t="s">
        <v>11361</v>
      </c>
      <c r="C3275" s="461" t="s">
        <v>1107</v>
      </c>
      <c r="D3275" s="461">
        <v>4.58</v>
      </c>
      <c r="E3275" s="461" t="s">
        <v>161</v>
      </c>
      <c r="F3275" s="461" t="s">
        <v>8326</v>
      </c>
    </row>
    <row r="3276" spans="1:6" ht="30" x14ac:dyDescent="0.25">
      <c r="A3276" s="461">
        <v>39572</v>
      </c>
      <c r="B3276" s="460" t="s">
        <v>11362</v>
      </c>
      <c r="C3276" s="461" t="s">
        <v>1107</v>
      </c>
      <c r="D3276" s="461">
        <v>3.97</v>
      </c>
      <c r="E3276" s="461" t="s">
        <v>161</v>
      </c>
      <c r="F3276" s="461" t="s">
        <v>8326</v>
      </c>
    </row>
    <row r="3277" spans="1:6" ht="30" x14ac:dyDescent="0.25">
      <c r="A3277" s="461">
        <v>39570</v>
      </c>
      <c r="B3277" s="460" t="s">
        <v>13300</v>
      </c>
      <c r="C3277" s="461" t="s">
        <v>1107</v>
      </c>
      <c r="D3277" s="461">
        <v>4.21</v>
      </c>
      <c r="E3277" s="461" t="s">
        <v>161</v>
      </c>
      <c r="F3277" s="461" t="s">
        <v>8326</v>
      </c>
    </row>
    <row r="3278" spans="1:6" ht="30" x14ac:dyDescent="0.25">
      <c r="A3278" s="461">
        <v>39569</v>
      </c>
      <c r="B3278" s="460" t="s">
        <v>11363</v>
      </c>
      <c r="C3278" s="461" t="s">
        <v>1107</v>
      </c>
      <c r="D3278" s="461">
        <v>4.16</v>
      </c>
      <c r="E3278" s="461" t="s">
        <v>161</v>
      </c>
      <c r="F3278" s="461" t="s">
        <v>8326</v>
      </c>
    </row>
    <row r="3279" spans="1:6" ht="15" x14ac:dyDescent="0.25">
      <c r="A3279" s="461">
        <v>39029</v>
      </c>
      <c r="B3279" s="460" t="s">
        <v>11364</v>
      </c>
      <c r="C3279" s="461" t="s">
        <v>1107</v>
      </c>
      <c r="D3279" s="461">
        <v>13.43</v>
      </c>
      <c r="E3279" s="461" t="s">
        <v>161</v>
      </c>
      <c r="F3279" s="461" t="s">
        <v>8326</v>
      </c>
    </row>
    <row r="3280" spans="1:6" ht="15" x14ac:dyDescent="0.25">
      <c r="A3280" s="461">
        <v>39028</v>
      </c>
      <c r="B3280" s="460" t="s">
        <v>11365</v>
      </c>
      <c r="C3280" s="461" t="s">
        <v>1107</v>
      </c>
      <c r="D3280" s="461">
        <v>7.82</v>
      </c>
      <c r="E3280" s="461" t="s">
        <v>161</v>
      </c>
      <c r="F3280" s="461" t="s">
        <v>8326</v>
      </c>
    </row>
    <row r="3281" spans="1:6" ht="15" x14ac:dyDescent="0.25">
      <c r="A3281" s="461">
        <v>39328</v>
      </c>
      <c r="B3281" s="460" t="s">
        <v>11366</v>
      </c>
      <c r="C3281" s="461" t="s">
        <v>1107</v>
      </c>
      <c r="D3281" s="461">
        <v>4.3</v>
      </c>
      <c r="E3281" s="461" t="s">
        <v>161</v>
      </c>
      <c r="F3281" s="461" t="s">
        <v>8326</v>
      </c>
    </row>
    <row r="3282" spans="1:6" ht="45" x14ac:dyDescent="0.25">
      <c r="A3282" s="461">
        <v>38541</v>
      </c>
      <c r="B3282" s="460" t="s">
        <v>11367</v>
      </c>
      <c r="C3282" s="461" t="s">
        <v>1104</v>
      </c>
      <c r="D3282" s="461">
        <v>3975394.7</v>
      </c>
      <c r="E3282" s="461" t="s">
        <v>1497</v>
      </c>
      <c r="F3282" s="461" t="s">
        <v>8328</v>
      </c>
    </row>
    <row r="3283" spans="1:6" ht="45" x14ac:dyDescent="0.25">
      <c r="A3283" s="461">
        <v>38542</v>
      </c>
      <c r="B3283" s="460" t="s">
        <v>11368</v>
      </c>
      <c r="C3283" s="461" t="s">
        <v>1104</v>
      </c>
      <c r="D3283" s="461">
        <v>6181578.9000000004</v>
      </c>
      <c r="E3283" s="461" t="s">
        <v>1497</v>
      </c>
      <c r="F3283" s="461" t="s">
        <v>8328</v>
      </c>
    </row>
    <row r="3284" spans="1:6" ht="60" x14ac:dyDescent="0.25">
      <c r="A3284" s="461">
        <v>38543</v>
      </c>
      <c r="B3284" s="460" t="s">
        <v>11369</v>
      </c>
      <c r="C3284" s="461" t="s">
        <v>1104</v>
      </c>
      <c r="D3284" s="461">
        <v>1513421.09</v>
      </c>
      <c r="E3284" s="461" t="s">
        <v>1497</v>
      </c>
      <c r="F3284" s="461" t="s">
        <v>8328</v>
      </c>
    </row>
    <row r="3285" spans="1:6" ht="30" x14ac:dyDescent="0.25">
      <c r="A3285" s="461">
        <v>40406</v>
      </c>
      <c r="B3285" s="460" t="s">
        <v>11370</v>
      </c>
      <c r="C3285" s="461" t="s">
        <v>1104</v>
      </c>
      <c r="D3285" s="461">
        <v>74813.7</v>
      </c>
      <c r="E3285" s="461" t="s">
        <v>1497</v>
      </c>
      <c r="F3285" s="461" t="s">
        <v>8328</v>
      </c>
    </row>
    <row r="3286" spans="1:6" ht="30" x14ac:dyDescent="0.25">
      <c r="A3286" s="461">
        <v>40789</v>
      </c>
      <c r="B3286" s="460" t="s">
        <v>11371</v>
      </c>
      <c r="C3286" s="461" t="s">
        <v>1104</v>
      </c>
      <c r="D3286" s="461">
        <v>10781.42</v>
      </c>
      <c r="E3286" s="461" t="s">
        <v>1497</v>
      </c>
      <c r="F3286" s="461" t="s">
        <v>8328</v>
      </c>
    </row>
    <row r="3287" spans="1:6" ht="30" x14ac:dyDescent="0.25">
      <c r="A3287" s="461">
        <v>40791</v>
      </c>
      <c r="B3287" s="460" t="s">
        <v>11372</v>
      </c>
      <c r="C3287" s="461" t="s">
        <v>1104</v>
      </c>
      <c r="D3287" s="461">
        <v>33750.54</v>
      </c>
      <c r="E3287" s="461" t="s">
        <v>1497</v>
      </c>
      <c r="F3287" s="461" t="s">
        <v>8328</v>
      </c>
    </row>
    <row r="3288" spans="1:6" ht="30" x14ac:dyDescent="0.25">
      <c r="A3288" s="461">
        <v>11651</v>
      </c>
      <c r="B3288" s="460" t="s">
        <v>11373</v>
      </c>
      <c r="C3288" s="461" t="s">
        <v>1104</v>
      </c>
      <c r="D3288" s="461">
        <v>18458.650000000001</v>
      </c>
      <c r="E3288" s="461" t="s">
        <v>1497</v>
      </c>
      <c r="F3288" s="461" t="s">
        <v>8328</v>
      </c>
    </row>
    <row r="3289" spans="1:6" ht="30" x14ac:dyDescent="0.25">
      <c r="A3289" s="461">
        <v>40435</v>
      </c>
      <c r="B3289" s="460" t="s">
        <v>11374</v>
      </c>
      <c r="C3289" s="461" t="s">
        <v>1104</v>
      </c>
      <c r="D3289" s="461">
        <v>830250</v>
      </c>
      <c r="E3289" s="461" t="s">
        <v>1497</v>
      </c>
      <c r="F3289" s="461" t="s">
        <v>8328</v>
      </c>
    </row>
    <row r="3290" spans="1:6" ht="30" x14ac:dyDescent="0.25">
      <c r="A3290" s="461">
        <v>39012</v>
      </c>
      <c r="B3290" s="460" t="s">
        <v>11375</v>
      </c>
      <c r="C3290" s="461" t="s">
        <v>1104</v>
      </c>
      <c r="D3290" s="461">
        <v>866251.09</v>
      </c>
      <c r="E3290" s="461" t="s">
        <v>1497</v>
      </c>
      <c r="F3290" s="461" t="s">
        <v>8328</v>
      </c>
    </row>
    <row r="3291" spans="1:6" ht="30" x14ac:dyDescent="0.25">
      <c r="A3291" s="461">
        <v>13617</v>
      </c>
      <c r="B3291" s="460" t="s">
        <v>11376</v>
      </c>
      <c r="C3291" s="461" t="s">
        <v>1104</v>
      </c>
      <c r="D3291" s="461">
        <v>99012.04</v>
      </c>
      <c r="E3291" s="461" t="s">
        <v>1497</v>
      </c>
      <c r="F3291" s="461" t="s">
        <v>8326</v>
      </c>
    </row>
    <row r="3292" spans="1:6" ht="30" x14ac:dyDescent="0.25">
      <c r="A3292" s="461">
        <v>35274</v>
      </c>
      <c r="B3292" s="460" t="s">
        <v>11377</v>
      </c>
      <c r="C3292" s="461" t="s">
        <v>1107</v>
      </c>
      <c r="D3292" s="461">
        <v>54.96</v>
      </c>
      <c r="E3292" s="461" t="s">
        <v>161</v>
      </c>
      <c r="F3292" s="461" t="s">
        <v>8326</v>
      </c>
    </row>
    <row r="3293" spans="1:6" ht="30" x14ac:dyDescent="0.25">
      <c r="A3293" s="461">
        <v>35275</v>
      </c>
      <c r="B3293" s="460" t="s">
        <v>11378</v>
      </c>
      <c r="C3293" s="461" t="s">
        <v>1107</v>
      </c>
      <c r="D3293" s="461">
        <v>116.65</v>
      </c>
      <c r="E3293" s="461" t="s">
        <v>161</v>
      </c>
      <c r="F3293" s="461" t="s">
        <v>8326</v>
      </c>
    </row>
    <row r="3294" spans="1:6" ht="30" x14ac:dyDescent="0.25">
      <c r="A3294" s="461">
        <v>35276</v>
      </c>
      <c r="B3294" s="460" t="s">
        <v>11379</v>
      </c>
      <c r="C3294" s="461" t="s">
        <v>1107</v>
      </c>
      <c r="D3294" s="461">
        <v>202.97</v>
      </c>
      <c r="E3294" s="461" t="s">
        <v>161</v>
      </c>
      <c r="F3294" s="461" t="s">
        <v>8326</v>
      </c>
    </row>
    <row r="3295" spans="1:6" ht="15" x14ac:dyDescent="0.25">
      <c r="A3295" s="461">
        <v>38386</v>
      </c>
      <c r="B3295" s="460" t="s">
        <v>13301</v>
      </c>
      <c r="C3295" s="461" t="s">
        <v>1104</v>
      </c>
      <c r="D3295" s="461">
        <v>5.18</v>
      </c>
      <c r="E3295" s="461" t="s">
        <v>161</v>
      </c>
      <c r="F3295" s="461" t="s">
        <v>8326</v>
      </c>
    </row>
    <row r="3296" spans="1:6" ht="30" x14ac:dyDescent="0.25">
      <c r="A3296" s="461">
        <v>11091</v>
      </c>
      <c r="B3296" s="460" t="s">
        <v>11380</v>
      </c>
      <c r="C3296" s="461" t="s">
        <v>1104</v>
      </c>
      <c r="D3296" s="461">
        <v>1.85</v>
      </c>
      <c r="E3296" s="461" t="s">
        <v>161</v>
      </c>
      <c r="F3296" s="461" t="s">
        <v>8328</v>
      </c>
    </row>
    <row r="3297" spans="1:6" ht="30" x14ac:dyDescent="0.25">
      <c r="A3297" s="461">
        <v>37586</v>
      </c>
      <c r="B3297" s="460" t="s">
        <v>11381</v>
      </c>
      <c r="C3297" s="461" t="s">
        <v>1117</v>
      </c>
      <c r="D3297" s="461">
        <v>50.43</v>
      </c>
      <c r="E3297" s="461" t="s">
        <v>161</v>
      </c>
      <c r="F3297" s="461" t="s">
        <v>8328</v>
      </c>
    </row>
    <row r="3298" spans="1:6" ht="15" x14ac:dyDescent="0.25">
      <c r="A3298" s="461">
        <v>37395</v>
      </c>
      <c r="B3298" s="460" t="s">
        <v>11382</v>
      </c>
      <c r="C3298" s="461" t="s">
        <v>1117</v>
      </c>
      <c r="D3298" s="511">
        <v>43.36</v>
      </c>
      <c r="E3298" s="461" t="s">
        <v>161</v>
      </c>
      <c r="F3298" s="461" t="s">
        <v>8328</v>
      </c>
    </row>
    <row r="3299" spans="1:6" ht="30" x14ac:dyDescent="0.25">
      <c r="A3299" s="461">
        <v>14147</v>
      </c>
      <c r="B3299" s="460" t="s">
        <v>11383</v>
      </c>
      <c r="C3299" s="461" t="s">
        <v>1117</v>
      </c>
      <c r="D3299" s="511">
        <v>57.51</v>
      </c>
      <c r="E3299" s="461" t="s">
        <v>161</v>
      </c>
      <c r="F3299" s="461" t="s">
        <v>8328</v>
      </c>
    </row>
    <row r="3300" spans="1:6" ht="15" x14ac:dyDescent="0.25">
      <c r="A3300" s="461">
        <v>37396</v>
      </c>
      <c r="B3300" s="460" t="s">
        <v>11384</v>
      </c>
      <c r="C3300" s="461" t="s">
        <v>1117</v>
      </c>
      <c r="D3300" s="511">
        <v>35.479999999999997</v>
      </c>
      <c r="E3300" s="461" t="s">
        <v>161</v>
      </c>
      <c r="F3300" s="461" t="s">
        <v>8328</v>
      </c>
    </row>
    <row r="3301" spans="1:6" ht="15" x14ac:dyDescent="0.25">
      <c r="A3301" s="461">
        <v>37397</v>
      </c>
      <c r="B3301" s="460" t="s">
        <v>11385</v>
      </c>
      <c r="C3301" s="461" t="s">
        <v>1117</v>
      </c>
      <c r="D3301" s="511">
        <v>37.159999999999997</v>
      </c>
      <c r="E3301" s="461" t="s">
        <v>161</v>
      </c>
      <c r="F3301" s="461" t="s">
        <v>8328</v>
      </c>
    </row>
    <row r="3302" spans="1:6" ht="30" x14ac:dyDescent="0.25">
      <c r="A3302" s="461">
        <v>43606</v>
      </c>
      <c r="B3302" s="460" t="s">
        <v>11386</v>
      </c>
      <c r="C3302" s="461" t="s">
        <v>1104</v>
      </c>
      <c r="D3302" s="511">
        <v>7.94</v>
      </c>
      <c r="E3302" s="461" t="s">
        <v>161</v>
      </c>
      <c r="F3302" s="461" t="s">
        <v>8326</v>
      </c>
    </row>
    <row r="3303" spans="1:6" ht="30" x14ac:dyDescent="0.25">
      <c r="A3303" s="461">
        <v>444</v>
      </c>
      <c r="B3303" s="460" t="s">
        <v>11387</v>
      </c>
      <c r="C3303" s="461" t="s">
        <v>1104</v>
      </c>
      <c r="D3303" s="511">
        <v>34.11</v>
      </c>
      <c r="E3303" s="461" t="s">
        <v>161</v>
      </c>
      <c r="F3303" s="461" t="s">
        <v>8326</v>
      </c>
    </row>
    <row r="3304" spans="1:6" ht="30" x14ac:dyDescent="0.25">
      <c r="A3304" s="461">
        <v>445</v>
      </c>
      <c r="B3304" s="460" t="s">
        <v>11388</v>
      </c>
      <c r="C3304" s="461" t="s">
        <v>1104</v>
      </c>
      <c r="D3304" s="511">
        <v>46.69</v>
      </c>
      <c r="E3304" s="461" t="s">
        <v>161</v>
      </c>
      <c r="F3304" s="461" t="s">
        <v>8326</v>
      </c>
    </row>
    <row r="3305" spans="1:6" ht="15" x14ac:dyDescent="0.25">
      <c r="A3305" s="461">
        <v>4783</v>
      </c>
      <c r="B3305" s="460" t="s">
        <v>11389</v>
      </c>
      <c r="C3305" s="461" t="s">
        <v>1103</v>
      </c>
      <c r="D3305" s="511">
        <v>21.83</v>
      </c>
      <c r="E3305" s="461" t="s">
        <v>4455</v>
      </c>
      <c r="F3305" s="461" t="s">
        <v>8333</v>
      </c>
    </row>
    <row r="3306" spans="1:6" ht="15" x14ac:dyDescent="0.25">
      <c r="A3306" s="461">
        <v>41079</v>
      </c>
      <c r="B3306" s="460" t="s">
        <v>11390</v>
      </c>
      <c r="C3306" s="461" t="s">
        <v>1110</v>
      </c>
      <c r="D3306" s="511">
        <v>3886.77</v>
      </c>
      <c r="E3306" s="461" t="s">
        <v>4455</v>
      </c>
      <c r="F3306" s="461" t="s">
        <v>8326</v>
      </c>
    </row>
    <row r="3307" spans="1:6" ht="15" x14ac:dyDescent="0.25">
      <c r="A3307" s="461">
        <v>12874</v>
      </c>
      <c r="B3307" s="460" t="s">
        <v>11391</v>
      </c>
      <c r="C3307" s="461" t="s">
        <v>1103</v>
      </c>
      <c r="D3307" s="511">
        <v>21.18</v>
      </c>
      <c r="E3307" s="461" t="s">
        <v>4455</v>
      </c>
      <c r="F3307" s="461" t="s">
        <v>8326</v>
      </c>
    </row>
    <row r="3308" spans="1:6" ht="15" x14ac:dyDescent="0.25">
      <c r="A3308" s="461">
        <v>41082</v>
      </c>
      <c r="B3308" s="460" t="s">
        <v>11392</v>
      </c>
      <c r="C3308" s="461" t="s">
        <v>1110</v>
      </c>
      <c r="D3308" s="461">
        <v>3774.3</v>
      </c>
      <c r="E3308" s="461" t="s">
        <v>4455</v>
      </c>
      <c r="F3308" s="461" t="s">
        <v>8326</v>
      </c>
    </row>
    <row r="3309" spans="1:6" ht="15" x14ac:dyDescent="0.25">
      <c r="A3309" s="461">
        <v>4785</v>
      </c>
      <c r="B3309" s="460" t="s">
        <v>11393</v>
      </c>
      <c r="C3309" s="461" t="s">
        <v>1103</v>
      </c>
      <c r="D3309" s="461">
        <v>21.83</v>
      </c>
      <c r="E3309" s="461" t="s">
        <v>4455</v>
      </c>
      <c r="F3309" s="461" t="s">
        <v>8326</v>
      </c>
    </row>
    <row r="3310" spans="1:6" ht="15" x14ac:dyDescent="0.25">
      <c r="A3310" s="461">
        <v>41081</v>
      </c>
      <c r="B3310" s="460" t="s">
        <v>11394</v>
      </c>
      <c r="C3310" s="461" t="s">
        <v>1110</v>
      </c>
      <c r="D3310" s="461">
        <v>3886.77</v>
      </c>
      <c r="E3310" s="461" t="s">
        <v>4455</v>
      </c>
      <c r="F3310" s="461" t="s">
        <v>8326</v>
      </c>
    </row>
    <row r="3311" spans="1:6" ht="15" x14ac:dyDescent="0.25">
      <c r="A3311" s="461">
        <v>4801</v>
      </c>
      <c r="B3311" s="460" t="s">
        <v>11395</v>
      </c>
      <c r="C3311" s="461" t="s">
        <v>1106</v>
      </c>
      <c r="D3311" s="461">
        <v>83.21</v>
      </c>
      <c r="E3311" s="461" t="s">
        <v>161</v>
      </c>
      <c r="F3311" s="461" t="s">
        <v>8326</v>
      </c>
    </row>
    <row r="3312" spans="1:6" ht="30" x14ac:dyDescent="0.25">
      <c r="A3312" s="461">
        <v>4794</v>
      </c>
      <c r="B3312" s="460" t="s">
        <v>11396</v>
      </c>
      <c r="C3312" s="461" t="s">
        <v>1106</v>
      </c>
      <c r="D3312" s="461">
        <v>379</v>
      </c>
      <c r="E3312" s="461" t="s">
        <v>161</v>
      </c>
      <c r="F3312" s="461" t="s">
        <v>8326</v>
      </c>
    </row>
    <row r="3313" spans="1:6" ht="30" x14ac:dyDescent="0.25">
      <c r="A3313" s="461">
        <v>4796</v>
      </c>
      <c r="B3313" s="460" t="s">
        <v>11397</v>
      </c>
      <c r="C3313" s="461" t="s">
        <v>1106</v>
      </c>
      <c r="D3313" s="461">
        <v>230.2</v>
      </c>
      <c r="E3313" s="461" t="s">
        <v>161</v>
      </c>
      <c r="F3313" s="461" t="s">
        <v>8326</v>
      </c>
    </row>
    <row r="3314" spans="1:6" ht="30" x14ac:dyDescent="0.25">
      <c r="A3314" s="461">
        <v>4800</v>
      </c>
      <c r="B3314" s="460" t="s">
        <v>11398</v>
      </c>
      <c r="C3314" s="461" t="s">
        <v>1106</v>
      </c>
      <c r="D3314" s="461">
        <v>63.3</v>
      </c>
      <c r="E3314" s="461" t="s">
        <v>161</v>
      </c>
      <c r="F3314" s="461" t="s">
        <v>8326</v>
      </c>
    </row>
    <row r="3315" spans="1:6" ht="30" x14ac:dyDescent="0.25">
      <c r="A3315" s="461">
        <v>4795</v>
      </c>
      <c r="B3315" s="460" t="s">
        <v>11399</v>
      </c>
      <c r="C3315" s="461" t="s">
        <v>1106</v>
      </c>
      <c r="D3315" s="461">
        <v>368.93</v>
      </c>
      <c r="E3315" s="461" t="s">
        <v>161</v>
      </c>
      <c r="F3315" s="461" t="s">
        <v>8326</v>
      </c>
    </row>
    <row r="3316" spans="1:6" ht="45" x14ac:dyDescent="0.25">
      <c r="A3316" s="461">
        <v>39694</v>
      </c>
      <c r="B3316" s="460" t="s">
        <v>11400</v>
      </c>
      <c r="C3316" s="461" t="s">
        <v>1106</v>
      </c>
      <c r="D3316" s="461">
        <v>282.72000000000003</v>
      </c>
      <c r="E3316" s="461" t="s">
        <v>161</v>
      </c>
      <c r="F3316" s="461" t="s">
        <v>8326</v>
      </c>
    </row>
    <row r="3317" spans="1:6" ht="30" x14ac:dyDescent="0.25">
      <c r="A3317" s="461">
        <v>1292</v>
      </c>
      <c r="B3317" s="460" t="s">
        <v>11401</v>
      </c>
      <c r="C3317" s="461" t="s">
        <v>1106</v>
      </c>
      <c r="D3317" s="461">
        <v>54.83</v>
      </c>
      <c r="E3317" s="461" t="s">
        <v>161</v>
      </c>
      <c r="F3317" s="461" t="s">
        <v>8326</v>
      </c>
    </row>
    <row r="3318" spans="1:6" ht="30" x14ac:dyDescent="0.25">
      <c r="A3318" s="461">
        <v>1287</v>
      </c>
      <c r="B3318" s="460" t="s">
        <v>11402</v>
      </c>
      <c r="C3318" s="461" t="s">
        <v>1106</v>
      </c>
      <c r="D3318" s="461">
        <v>26.9</v>
      </c>
      <c r="E3318" s="461" t="s">
        <v>161</v>
      </c>
      <c r="F3318" s="461" t="s">
        <v>8333</v>
      </c>
    </row>
    <row r="3319" spans="1:6" ht="30" x14ac:dyDescent="0.25">
      <c r="A3319" s="461">
        <v>1297</v>
      </c>
      <c r="B3319" s="460" t="s">
        <v>11403</v>
      </c>
      <c r="C3319" s="461" t="s">
        <v>1106</v>
      </c>
      <c r="D3319" s="461">
        <v>22.31</v>
      </c>
      <c r="E3319" s="461" t="s">
        <v>161</v>
      </c>
      <c r="F3319" s="461" t="s">
        <v>8326</v>
      </c>
    </row>
    <row r="3320" spans="1:6" ht="30" x14ac:dyDescent="0.25">
      <c r="A3320" s="461">
        <v>4786</v>
      </c>
      <c r="B3320" s="460" t="s">
        <v>13302</v>
      </c>
      <c r="C3320" s="461" t="s">
        <v>1106</v>
      </c>
      <c r="D3320" s="461">
        <v>118.5</v>
      </c>
      <c r="E3320" s="461" t="s">
        <v>161</v>
      </c>
      <c r="F3320" s="461" t="s">
        <v>8328</v>
      </c>
    </row>
    <row r="3321" spans="1:6" ht="45" x14ac:dyDescent="0.25">
      <c r="A3321" s="461">
        <v>10840</v>
      </c>
      <c r="B3321" s="460" t="s">
        <v>13303</v>
      </c>
      <c r="C3321" s="461" t="s">
        <v>1106</v>
      </c>
      <c r="D3321" s="461">
        <v>343.14</v>
      </c>
      <c r="E3321" s="461" t="s">
        <v>161</v>
      </c>
      <c r="F3321" s="461" t="s">
        <v>8333</v>
      </c>
    </row>
    <row r="3322" spans="1:6" ht="45" x14ac:dyDescent="0.25">
      <c r="A3322" s="461">
        <v>10841</v>
      </c>
      <c r="B3322" s="460" t="s">
        <v>13304</v>
      </c>
      <c r="C3322" s="461" t="s">
        <v>1106</v>
      </c>
      <c r="D3322" s="511">
        <v>258.97000000000003</v>
      </c>
      <c r="E3322" s="461" t="s">
        <v>161</v>
      </c>
      <c r="F3322" s="461" t="s">
        <v>8326</v>
      </c>
    </row>
    <row r="3323" spans="1:6" ht="30" x14ac:dyDescent="0.25">
      <c r="A3323" s="461">
        <v>44540</v>
      </c>
      <c r="B3323" s="460" t="s">
        <v>13305</v>
      </c>
      <c r="C3323" s="461" t="s">
        <v>1106</v>
      </c>
      <c r="D3323" s="461">
        <v>330.91</v>
      </c>
      <c r="E3323" s="461" t="s">
        <v>161</v>
      </c>
      <c r="F3323" s="461" t="s">
        <v>8326</v>
      </c>
    </row>
    <row r="3324" spans="1:6" ht="30" x14ac:dyDescent="0.25">
      <c r="A3324" s="461">
        <v>10842</v>
      </c>
      <c r="B3324" s="460" t="s">
        <v>13306</v>
      </c>
      <c r="C3324" s="461" t="s">
        <v>1106</v>
      </c>
      <c r="D3324" s="511">
        <v>374.07</v>
      </c>
      <c r="E3324" s="461" t="s">
        <v>161</v>
      </c>
      <c r="F3324" s="461" t="s">
        <v>8326</v>
      </c>
    </row>
    <row r="3325" spans="1:6" ht="30" x14ac:dyDescent="0.25">
      <c r="A3325" s="461">
        <v>21108</v>
      </c>
      <c r="B3325" s="460" t="s">
        <v>11404</v>
      </c>
      <c r="C3325" s="461" t="s">
        <v>1106</v>
      </c>
      <c r="D3325" s="461">
        <v>73.08</v>
      </c>
      <c r="E3325" s="461" t="s">
        <v>161</v>
      </c>
      <c r="F3325" s="461" t="s">
        <v>8326</v>
      </c>
    </row>
    <row r="3326" spans="1:6" ht="30" x14ac:dyDescent="0.25">
      <c r="A3326" s="461">
        <v>38195</v>
      </c>
      <c r="B3326" s="460" t="s">
        <v>11405</v>
      </c>
      <c r="C3326" s="461" t="s">
        <v>1106</v>
      </c>
      <c r="D3326" s="511">
        <v>86.32</v>
      </c>
      <c r="E3326" s="461" t="s">
        <v>161</v>
      </c>
      <c r="F3326" s="461" t="s">
        <v>8326</v>
      </c>
    </row>
    <row r="3327" spans="1:6" ht="30" x14ac:dyDescent="0.25">
      <c r="A3327" s="461">
        <v>38180</v>
      </c>
      <c r="B3327" s="460" t="s">
        <v>11406</v>
      </c>
      <c r="C3327" s="461" t="s">
        <v>1106</v>
      </c>
      <c r="D3327" s="461">
        <v>185.34</v>
      </c>
      <c r="E3327" s="461" t="s">
        <v>161</v>
      </c>
      <c r="F3327" s="461" t="s">
        <v>8326</v>
      </c>
    </row>
    <row r="3328" spans="1:6" ht="15" x14ac:dyDescent="0.25">
      <c r="A3328" s="461">
        <v>40648</v>
      </c>
      <c r="B3328" s="460" t="s">
        <v>11407</v>
      </c>
      <c r="C3328" s="461" t="s">
        <v>1106</v>
      </c>
      <c r="D3328" s="461">
        <v>227.52</v>
      </c>
      <c r="E3328" s="461" t="s">
        <v>161</v>
      </c>
      <c r="F3328" s="461" t="s">
        <v>8328</v>
      </c>
    </row>
    <row r="3329" spans="1:6" ht="15" x14ac:dyDescent="0.25">
      <c r="A3329" s="461">
        <v>40649</v>
      </c>
      <c r="B3329" s="460" t="s">
        <v>11408</v>
      </c>
      <c r="C3329" s="461" t="s">
        <v>1106</v>
      </c>
      <c r="D3329" s="461">
        <v>132.53</v>
      </c>
      <c r="E3329" s="461" t="s">
        <v>161</v>
      </c>
      <c r="F3329" s="461" t="s">
        <v>8328</v>
      </c>
    </row>
    <row r="3330" spans="1:6" ht="30" x14ac:dyDescent="0.25">
      <c r="A3330" s="461">
        <v>40650</v>
      </c>
      <c r="B3330" s="460" t="s">
        <v>11409</v>
      </c>
      <c r="C3330" s="461" t="s">
        <v>1106</v>
      </c>
      <c r="D3330" s="461">
        <v>170.64</v>
      </c>
      <c r="E3330" s="461" t="s">
        <v>161</v>
      </c>
      <c r="F3330" s="461" t="s">
        <v>8328</v>
      </c>
    </row>
    <row r="3331" spans="1:6" ht="30" x14ac:dyDescent="0.25">
      <c r="A3331" s="461">
        <v>40651</v>
      </c>
      <c r="B3331" s="460" t="s">
        <v>11410</v>
      </c>
      <c r="C3331" s="461" t="s">
        <v>1106</v>
      </c>
      <c r="D3331" s="461">
        <v>314.73</v>
      </c>
      <c r="E3331" s="461" t="s">
        <v>161</v>
      </c>
      <c r="F3331" s="461" t="s">
        <v>8328</v>
      </c>
    </row>
    <row r="3332" spans="1:6" ht="15" x14ac:dyDescent="0.25">
      <c r="A3332" s="461">
        <v>40652</v>
      </c>
      <c r="B3332" s="460" t="s">
        <v>11411</v>
      </c>
      <c r="C3332" s="461" t="s">
        <v>1106</v>
      </c>
      <c r="D3332" s="461">
        <v>168.74</v>
      </c>
      <c r="E3332" s="461" t="s">
        <v>161</v>
      </c>
      <c r="F3332" s="461" t="s">
        <v>8328</v>
      </c>
    </row>
    <row r="3333" spans="1:6" ht="30" x14ac:dyDescent="0.25">
      <c r="A3333" s="461">
        <v>40647</v>
      </c>
      <c r="B3333" s="460" t="s">
        <v>11412</v>
      </c>
      <c r="C3333" s="461" t="s">
        <v>1106</v>
      </c>
      <c r="D3333" s="461">
        <v>185.8</v>
      </c>
      <c r="E3333" s="461" t="s">
        <v>161</v>
      </c>
      <c r="F3333" s="461" t="s">
        <v>8328</v>
      </c>
    </row>
    <row r="3334" spans="1:6" ht="15" x14ac:dyDescent="0.25">
      <c r="A3334" s="461">
        <v>40653</v>
      </c>
      <c r="B3334" s="460" t="s">
        <v>11413</v>
      </c>
      <c r="C3334" s="461" t="s">
        <v>1106</v>
      </c>
      <c r="D3334" s="461">
        <v>142.19999999999999</v>
      </c>
      <c r="E3334" s="461" t="s">
        <v>161</v>
      </c>
      <c r="F3334" s="461" t="s">
        <v>8328</v>
      </c>
    </row>
    <row r="3335" spans="1:6" ht="30" x14ac:dyDescent="0.25">
      <c r="A3335" s="461">
        <v>38135</v>
      </c>
      <c r="B3335" s="460" t="s">
        <v>11414</v>
      </c>
      <c r="C3335" s="461" t="s">
        <v>1106</v>
      </c>
      <c r="D3335" s="461">
        <v>96.27</v>
      </c>
      <c r="E3335" s="461" t="s">
        <v>161</v>
      </c>
      <c r="F3335" s="461" t="s">
        <v>8328</v>
      </c>
    </row>
    <row r="3336" spans="1:6" ht="30" x14ac:dyDescent="0.25">
      <c r="A3336" s="461">
        <v>36178</v>
      </c>
      <c r="B3336" s="460" t="s">
        <v>11415</v>
      </c>
      <c r="C3336" s="461" t="s">
        <v>1104</v>
      </c>
      <c r="D3336" s="461">
        <v>16.53</v>
      </c>
      <c r="E3336" s="461" t="s">
        <v>161</v>
      </c>
      <c r="F3336" s="461" t="s">
        <v>8326</v>
      </c>
    </row>
    <row r="3337" spans="1:6" ht="30" x14ac:dyDescent="0.25">
      <c r="A3337" s="461">
        <v>38181</v>
      </c>
      <c r="B3337" s="460" t="s">
        <v>11416</v>
      </c>
      <c r="C3337" s="461" t="s">
        <v>1106</v>
      </c>
      <c r="D3337" s="461">
        <v>253.01</v>
      </c>
      <c r="E3337" s="461" t="s">
        <v>161</v>
      </c>
      <c r="F3337" s="461" t="s">
        <v>8326</v>
      </c>
    </row>
    <row r="3338" spans="1:6" ht="30" x14ac:dyDescent="0.25">
      <c r="A3338" s="461">
        <v>38182</v>
      </c>
      <c r="B3338" s="460" t="s">
        <v>11417</v>
      </c>
      <c r="C3338" s="461" t="s">
        <v>1106</v>
      </c>
      <c r="D3338" s="461">
        <v>241</v>
      </c>
      <c r="E3338" s="461" t="s">
        <v>161</v>
      </c>
      <c r="F3338" s="461" t="s">
        <v>8326</v>
      </c>
    </row>
    <row r="3339" spans="1:6" ht="30" x14ac:dyDescent="0.25">
      <c r="A3339" s="461">
        <v>38186</v>
      </c>
      <c r="B3339" s="460" t="s">
        <v>11418</v>
      </c>
      <c r="C3339" s="461" t="s">
        <v>1106</v>
      </c>
      <c r="D3339" s="461">
        <v>626.46</v>
      </c>
      <c r="E3339" s="461" t="s">
        <v>161</v>
      </c>
      <c r="F3339" s="461" t="s">
        <v>8326</v>
      </c>
    </row>
    <row r="3340" spans="1:6" ht="30" x14ac:dyDescent="0.25">
      <c r="A3340" s="461">
        <v>38185</v>
      </c>
      <c r="B3340" s="460" t="s">
        <v>11419</v>
      </c>
      <c r="C3340" s="461" t="s">
        <v>1106</v>
      </c>
      <c r="D3340" s="461">
        <v>557.77</v>
      </c>
      <c r="E3340" s="461" t="s">
        <v>161</v>
      </c>
      <c r="F3340" s="461" t="s">
        <v>8326</v>
      </c>
    </row>
    <row r="3341" spans="1:6" ht="30" x14ac:dyDescent="0.25">
      <c r="A3341" s="461">
        <v>40654</v>
      </c>
      <c r="B3341" s="460" t="s">
        <v>11420</v>
      </c>
      <c r="C3341" s="461" t="s">
        <v>1106</v>
      </c>
      <c r="D3341" s="461">
        <v>220.88</v>
      </c>
      <c r="E3341" s="461" t="s">
        <v>161</v>
      </c>
      <c r="F3341" s="461" t="s">
        <v>8328</v>
      </c>
    </row>
    <row r="3342" spans="1:6" ht="45" x14ac:dyDescent="0.25">
      <c r="A3342" s="461">
        <v>44541</v>
      </c>
      <c r="B3342" s="460" t="s">
        <v>11421</v>
      </c>
      <c r="C3342" s="461" t="s">
        <v>1106</v>
      </c>
      <c r="D3342" s="461">
        <v>273.36</v>
      </c>
      <c r="E3342" s="461" t="s">
        <v>161</v>
      </c>
      <c r="F3342" s="461" t="s">
        <v>8326</v>
      </c>
    </row>
    <row r="3343" spans="1:6" ht="30" x14ac:dyDescent="0.25">
      <c r="A3343" s="461">
        <v>4822</v>
      </c>
      <c r="B3343" s="460" t="s">
        <v>11422</v>
      </c>
      <c r="C3343" s="461" t="s">
        <v>1106</v>
      </c>
      <c r="D3343" s="461">
        <v>340.51</v>
      </c>
      <c r="E3343" s="461" t="s">
        <v>161</v>
      </c>
      <c r="F3343" s="461" t="s">
        <v>8326</v>
      </c>
    </row>
    <row r="3344" spans="1:6" ht="30" x14ac:dyDescent="0.25">
      <c r="A3344" s="461">
        <v>4818</v>
      </c>
      <c r="B3344" s="460" t="s">
        <v>11423</v>
      </c>
      <c r="C3344" s="461" t="s">
        <v>1106</v>
      </c>
      <c r="D3344" s="461">
        <v>350</v>
      </c>
      <c r="E3344" s="461" t="s">
        <v>161</v>
      </c>
      <c r="F3344" s="461" t="s">
        <v>8333</v>
      </c>
    </row>
    <row r="3345" spans="1:6" ht="45" x14ac:dyDescent="0.25">
      <c r="A3345" s="461">
        <v>39567</v>
      </c>
      <c r="B3345" s="460" t="s">
        <v>11424</v>
      </c>
      <c r="C3345" s="461" t="s">
        <v>1106</v>
      </c>
      <c r="D3345" s="461">
        <v>37.479999999999997</v>
      </c>
      <c r="E3345" s="461" t="s">
        <v>161</v>
      </c>
      <c r="F3345" s="461" t="s">
        <v>8326</v>
      </c>
    </row>
    <row r="3346" spans="1:6" ht="45" x14ac:dyDescent="0.25">
      <c r="A3346" s="461">
        <v>39566</v>
      </c>
      <c r="B3346" s="460" t="s">
        <v>11425</v>
      </c>
      <c r="C3346" s="461" t="s">
        <v>1106</v>
      </c>
      <c r="D3346" s="461">
        <v>39.67</v>
      </c>
      <c r="E3346" s="461" t="s">
        <v>161</v>
      </c>
      <c r="F3346" s="461" t="s">
        <v>8326</v>
      </c>
    </row>
    <row r="3347" spans="1:6" ht="30" x14ac:dyDescent="0.25">
      <c r="A3347" s="461">
        <v>39416</v>
      </c>
      <c r="B3347" s="460" t="s">
        <v>11426</v>
      </c>
      <c r="C3347" s="461" t="s">
        <v>1106</v>
      </c>
      <c r="D3347" s="461">
        <v>24.18</v>
      </c>
      <c r="E3347" s="461" t="s">
        <v>161</v>
      </c>
      <c r="F3347" s="461" t="s">
        <v>8326</v>
      </c>
    </row>
    <row r="3348" spans="1:6" ht="30" x14ac:dyDescent="0.25">
      <c r="A3348" s="461">
        <v>39417</v>
      </c>
      <c r="B3348" s="460" t="s">
        <v>11427</v>
      </c>
      <c r="C3348" s="461" t="s">
        <v>1106</v>
      </c>
      <c r="D3348" s="461">
        <v>23.58</v>
      </c>
      <c r="E3348" s="461" t="s">
        <v>161</v>
      </c>
      <c r="F3348" s="461" t="s">
        <v>8326</v>
      </c>
    </row>
    <row r="3349" spans="1:6" ht="30" x14ac:dyDescent="0.25">
      <c r="A3349" s="461">
        <v>43742</v>
      </c>
      <c r="B3349" s="460" t="s">
        <v>11428</v>
      </c>
      <c r="C3349" s="461" t="s">
        <v>1106</v>
      </c>
      <c r="D3349" s="461">
        <v>25.43</v>
      </c>
      <c r="E3349" s="461" t="s">
        <v>161</v>
      </c>
      <c r="F3349" s="461" t="s">
        <v>8326</v>
      </c>
    </row>
    <row r="3350" spans="1:6" ht="30" x14ac:dyDescent="0.25">
      <c r="A3350" s="461">
        <v>39414</v>
      </c>
      <c r="B3350" s="460" t="s">
        <v>11429</v>
      </c>
      <c r="C3350" s="461" t="s">
        <v>1106</v>
      </c>
      <c r="D3350" s="461">
        <v>22.9</v>
      </c>
      <c r="E3350" s="461" t="s">
        <v>161</v>
      </c>
      <c r="F3350" s="461" t="s">
        <v>8326</v>
      </c>
    </row>
    <row r="3351" spans="1:6" ht="30" x14ac:dyDescent="0.25">
      <c r="A3351" s="461">
        <v>39415</v>
      </c>
      <c r="B3351" s="460" t="s">
        <v>11430</v>
      </c>
      <c r="C3351" s="461" t="s">
        <v>1106</v>
      </c>
      <c r="D3351" s="461">
        <v>19.73</v>
      </c>
      <c r="E3351" s="461" t="s">
        <v>161</v>
      </c>
      <c r="F3351" s="461" t="s">
        <v>8326</v>
      </c>
    </row>
    <row r="3352" spans="1:6" ht="30" x14ac:dyDescent="0.25">
      <c r="A3352" s="461">
        <v>43740</v>
      </c>
      <c r="B3352" s="460" t="s">
        <v>11431</v>
      </c>
      <c r="C3352" s="461" t="s">
        <v>1106</v>
      </c>
      <c r="D3352" s="461">
        <v>24.1</v>
      </c>
      <c r="E3352" s="461" t="s">
        <v>161</v>
      </c>
      <c r="F3352" s="461" t="s">
        <v>8326</v>
      </c>
    </row>
    <row r="3353" spans="1:6" ht="30" x14ac:dyDescent="0.25">
      <c r="A3353" s="461">
        <v>39412</v>
      </c>
      <c r="B3353" s="460" t="s">
        <v>11432</v>
      </c>
      <c r="C3353" s="461" t="s">
        <v>1106</v>
      </c>
      <c r="D3353" s="461">
        <v>16.53</v>
      </c>
      <c r="E3353" s="461" t="s">
        <v>161</v>
      </c>
      <c r="F3353" s="461" t="s">
        <v>8333</v>
      </c>
    </row>
    <row r="3354" spans="1:6" ht="30" x14ac:dyDescent="0.25">
      <c r="A3354" s="461">
        <v>39413</v>
      </c>
      <c r="B3354" s="460" t="s">
        <v>11433</v>
      </c>
      <c r="C3354" s="461" t="s">
        <v>1106</v>
      </c>
      <c r="D3354" s="461">
        <v>17.87</v>
      </c>
      <c r="E3354" s="461" t="s">
        <v>161</v>
      </c>
      <c r="F3354" s="461" t="s">
        <v>8326</v>
      </c>
    </row>
    <row r="3355" spans="1:6" ht="30" x14ac:dyDescent="0.25">
      <c r="A3355" s="461">
        <v>43741</v>
      </c>
      <c r="B3355" s="460" t="s">
        <v>11434</v>
      </c>
      <c r="C3355" s="461" t="s">
        <v>1106</v>
      </c>
      <c r="D3355" s="461">
        <v>19.05</v>
      </c>
      <c r="E3355" s="461" t="s">
        <v>161</v>
      </c>
      <c r="F3355" s="461" t="s">
        <v>8326</v>
      </c>
    </row>
    <row r="3356" spans="1:6" ht="15" x14ac:dyDescent="0.25">
      <c r="A3356" s="461">
        <v>11062</v>
      </c>
      <c r="B3356" s="460" t="s">
        <v>11435</v>
      </c>
      <c r="C3356" s="461" t="s">
        <v>1106</v>
      </c>
      <c r="D3356" s="461">
        <v>48.42</v>
      </c>
      <c r="E3356" s="461" t="s">
        <v>161</v>
      </c>
      <c r="F3356" s="461" t="s">
        <v>8326</v>
      </c>
    </row>
    <row r="3357" spans="1:6" ht="15" x14ac:dyDescent="0.25">
      <c r="A3357" s="461">
        <v>11063</v>
      </c>
      <c r="B3357" s="460" t="s">
        <v>11436</v>
      </c>
      <c r="C3357" s="461" t="s">
        <v>1106</v>
      </c>
      <c r="D3357" s="461">
        <v>29.63</v>
      </c>
      <c r="E3357" s="461" t="s">
        <v>161</v>
      </c>
      <c r="F3357" s="461" t="s">
        <v>8326</v>
      </c>
    </row>
    <row r="3358" spans="1:6" ht="15" x14ac:dyDescent="0.25">
      <c r="A3358" s="461">
        <v>13521</v>
      </c>
      <c r="B3358" s="460" t="s">
        <v>13307</v>
      </c>
      <c r="C3358" s="461" t="s">
        <v>1104</v>
      </c>
      <c r="D3358" s="461">
        <v>82.5</v>
      </c>
      <c r="E3358" s="461" t="s">
        <v>161</v>
      </c>
      <c r="F3358" s="461" t="s">
        <v>8328</v>
      </c>
    </row>
    <row r="3359" spans="1:6" ht="30" x14ac:dyDescent="0.25">
      <c r="A3359" s="461">
        <v>10851</v>
      </c>
      <c r="B3359" s="460" t="s">
        <v>11437</v>
      </c>
      <c r="C3359" s="461" t="s">
        <v>1104</v>
      </c>
      <c r="D3359" s="461">
        <v>82.56</v>
      </c>
      <c r="E3359" s="461" t="s">
        <v>161</v>
      </c>
      <c r="F3359" s="461" t="s">
        <v>8328</v>
      </c>
    </row>
    <row r="3360" spans="1:6" ht="30" x14ac:dyDescent="0.25">
      <c r="A3360" s="461">
        <v>39515</v>
      </c>
      <c r="B3360" s="460" t="s">
        <v>11438</v>
      </c>
      <c r="C3360" s="461" t="s">
        <v>1104</v>
      </c>
      <c r="D3360" s="461">
        <v>52.33</v>
      </c>
      <c r="E3360" s="461" t="s">
        <v>161</v>
      </c>
      <c r="F3360" s="461" t="s">
        <v>8328</v>
      </c>
    </row>
    <row r="3361" spans="1:6" ht="30" x14ac:dyDescent="0.25">
      <c r="A3361" s="461">
        <v>39516</v>
      </c>
      <c r="B3361" s="460" t="s">
        <v>11439</v>
      </c>
      <c r="C3361" s="461" t="s">
        <v>1104</v>
      </c>
      <c r="D3361" s="461">
        <v>44.12</v>
      </c>
      <c r="E3361" s="461" t="s">
        <v>161</v>
      </c>
      <c r="F3361" s="461" t="s">
        <v>8328</v>
      </c>
    </row>
    <row r="3362" spans="1:6" ht="30" x14ac:dyDescent="0.25">
      <c r="A3362" s="461">
        <v>39514</v>
      </c>
      <c r="B3362" s="460" t="s">
        <v>11440</v>
      </c>
      <c r="C3362" s="461" t="s">
        <v>1104</v>
      </c>
      <c r="D3362" s="461">
        <v>27.45</v>
      </c>
      <c r="E3362" s="461" t="s">
        <v>161</v>
      </c>
      <c r="F3362" s="461" t="s">
        <v>8328</v>
      </c>
    </row>
    <row r="3363" spans="1:6" ht="30" x14ac:dyDescent="0.25">
      <c r="A3363" s="461">
        <v>4812</v>
      </c>
      <c r="B3363" s="460" t="s">
        <v>11441</v>
      </c>
      <c r="C3363" s="461" t="s">
        <v>1106</v>
      </c>
      <c r="D3363" s="461">
        <v>9.91</v>
      </c>
      <c r="E3363" s="461" t="s">
        <v>161</v>
      </c>
      <c r="F3363" s="461" t="s">
        <v>8326</v>
      </c>
    </row>
    <row r="3364" spans="1:6" ht="15" x14ac:dyDescent="0.25">
      <c r="A3364" s="461">
        <v>10849</v>
      </c>
      <c r="B3364" s="460" t="s">
        <v>11442</v>
      </c>
      <c r="C3364" s="461" t="s">
        <v>1104</v>
      </c>
      <c r="D3364" s="461">
        <v>1200.01</v>
      </c>
      <c r="E3364" s="461" t="s">
        <v>161</v>
      </c>
      <c r="F3364" s="461" t="s">
        <v>8328</v>
      </c>
    </row>
    <row r="3365" spans="1:6" ht="15" x14ac:dyDescent="0.25">
      <c r="A3365" s="461">
        <v>10848</v>
      </c>
      <c r="B3365" s="460" t="s">
        <v>11443</v>
      </c>
      <c r="C3365" s="461" t="s">
        <v>1104</v>
      </c>
      <c r="D3365" s="461">
        <v>753.75</v>
      </c>
      <c r="E3365" s="461" t="s">
        <v>161</v>
      </c>
      <c r="F3365" s="461" t="s">
        <v>8328</v>
      </c>
    </row>
    <row r="3366" spans="1:6" ht="30" x14ac:dyDescent="0.25">
      <c r="A3366" s="461">
        <v>4813</v>
      </c>
      <c r="B3366" s="460" t="s">
        <v>11444</v>
      </c>
      <c r="C3366" s="461" t="s">
        <v>1106</v>
      </c>
      <c r="D3366" s="461">
        <v>250</v>
      </c>
      <c r="E3366" s="461" t="s">
        <v>161</v>
      </c>
      <c r="F3366" s="461" t="s">
        <v>8328</v>
      </c>
    </row>
    <row r="3367" spans="1:6" ht="45" x14ac:dyDescent="0.25">
      <c r="A3367" s="461">
        <v>37560</v>
      </c>
      <c r="B3367" s="460" t="s">
        <v>11445</v>
      </c>
      <c r="C3367" s="461" t="s">
        <v>1104</v>
      </c>
      <c r="D3367" s="461">
        <v>49.21</v>
      </c>
      <c r="E3367" s="461" t="s">
        <v>161</v>
      </c>
      <c r="F3367" s="461" t="s">
        <v>8326</v>
      </c>
    </row>
    <row r="3368" spans="1:6" ht="45" x14ac:dyDescent="0.25">
      <c r="A3368" s="461">
        <v>37557</v>
      </c>
      <c r="B3368" s="460" t="s">
        <v>11446</v>
      </c>
      <c r="C3368" s="461" t="s">
        <v>1104</v>
      </c>
      <c r="D3368" s="461">
        <v>14.94</v>
      </c>
      <c r="E3368" s="461" t="s">
        <v>161</v>
      </c>
      <c r="F3368" s="461" t="s">
        <v>8326</v>
      </c>
    </row>
    <row r="3369" spans="1:6" ht="45" x14ac:dyDescent="0.25">
      <c r="A3369" s="461">
        <v>37556</v>
      </c>
      <c r="B3369" s="460" t="s">
        <v>11447</v>
      </c>
      <c r="C3369" s="461" t="s">
        <v>1104</v>
      </c>
      <c r="D3369" s="461">
        <v>28.91</v>
      </c>
      <c r="E3369" s="461" t="s">
        <v>161</v>
      </c>
      <c r="F3369" s="461" t="s">
        <v>8326</v>
      </c>
    </row>
    <row r="3370" spans="1:6" ht="45" x14ac:dyDescent="0.25">
      <c r="A3370" s="461">
        <v>37559</v>
      </c>
      <c r="B3370" s="460" t="s">
        <v>11448</v>
      </c>
      <c r="C3370" s="461" t="s">
        <v>1104</v>
      </c>
      <c r="D3370" s="461">
        <v>35.47</v>
      </c>
      <c r="E3370" s="461" t="s">
        <v>161</v>
      </c>
      <c r="F3370" s="461" t="s">
        <v>8326</v>
      </c>
    </row>
    <row r="3371" spans="1:6" ht="45" x14ac:dyDescent="0.25">
      <c r="A3371" s="461">
        <v>37539</v>
      </c>
      <c r="B3371" s="460" t="s">
        <v>11449</v>
      </c>
      <c r="C3371" s="461" t="s">
        <v>1104</v>
      </c>
      <c r="D3371" s="461">
        <v>25</v>
      </c>
      <c r="E3371" s="461" t="s">
        <v>161</v>
      </c>
      <c r="F3371" s="461" t="s">
        <v>8333</v>
      </c>
    </row>
    <row r="3372" spans="1:6" ht="45" x14ac:dyDescent="0.25">
      <c r="A3372" s="461">
        <v>37558</v>
      </c>
      <c r="B3372" s="460" t="s">
        <v>11450</v>
      </c>
      <c r="C3372" s="461" t="s">
        <v>1104</v>
      </c>
      <c r="D3372" s="461">
        <v>46.61</v>
      </c>
      <c r="E3372" s="461" t="s">
        <v>161</v>
      </c>
      <c r="F3372" s="461" t="s">
        <v>8326</v>
      </c>
    </row>
    <row r="3373" spans="1:6" ht="15" x14ac:dyDescent="0.25">
      <c r="A3373" s="461">
        <v>34723</v>
      </c>
      <c r="B3373" s="460" t="s">
        <v>11451</v>
      </c>
      <c r="C3373" s="461" t="s">
        <v>1106</v>
      </c>
      <c r="D3373" s="461">
        <v>577.5</v>
      </c>
      <c r="E3373" s="461" t="s">
        <v>161</v>
      </c>
      <c r="F3373" s="461" t="s">
        <v>8328</v>
      </c>
    </row>
    <row r="3374" spans="1:6" ht="15" x14ac:dyDescent="0.25">
      <c r="A3374" s="461">
        <v>34721</v>
      </c>
      <c r="B3374" s="460" t="s">
        <v>11452</v>
      </c>
      <c r="C3374" s="461" t="s">
        <v>1106</v>
      </c>
      <c r="D3374" s="461">
        <v>720</v>
      </c>
      <c r="E3374" s="461" t="s">
        <v>161</v>
      </c>
      <c r="F3374" s="461" t="s">
        <v>8328</v>
      </c>
    </row>
    <row r="3375" spans="1:6" ht="15" x14ac:dyDescent="0.25">
      <c r="A3375" s="461">
        <v>4309</v>
      </c>
      <c r="B3375" s="460" t="s">
        <v>11453</v>
      </c>
      <c r="C3375" s="461" t="s">
        <v>1104</v>
      </c>
      <c r="D3375" s="461">
        <v>8.32</v>
      </c>
      <c r="E3375" s="461" t="s">
        <v>161</v>
      </c>
      <c r="F3375" s="461" t="s">
        <v>8328</v>
      </c>
    </row>
    <row r="3376" spans="1:6" ht="15" x14ac:dyDescent="0.25">
      <c r="A3376" s="461">
        <v>4307</v>
      </c>
      <c r="B3376" s="460" t="s">
        <v>11454</v>
      </c>
      <c r="C3376" s="461" t="s">
        <v>1104</v>
      </c>
      <c r="D3376" s="461">
        <v>14.23</v>
      </c>
      <c r="E3376" s="461" t="s">
        <v>161</v>
      </c>
      <c r="F3376" s="461" t="s">
        <v>8328</v>
      </c>
    </row>
    <row r="3377" spans="1:6" ht="15" x14ac:dyDescent="0.25">
      <c r="A3377" s="461">
        <v>10850</v>
      </c>
      <c r="B3377" s="460" t="s">
        <v>11455</v>
      </c>
      <c r="C3377" s="461" t="s">
        <v>1104</v>
      </c>
      <c r="D3377" s="461">
        <v>37.5</v>
      </c>
      <c r="E3377" s="461" t="s">
        <v>161</v>
      </c>
      <c r="F3377" s="461" t="s">
        <v>8328</v>
      </c>
    </row>
    <row r="3378" spans="1:6" ht="60" x14ac:dyDescent="0.25">
      <c r="A3378" s="461">
        <v>42438</v>
      </c>
      <c r="B3378" s="460" t="s">
        <v>13308</v>
      </c>
      <c r="C3378" s="461" t="s">
        <v>1104</v>
      </c>
      <c r="D3378" s="461">
        <v>2090.75</v>
      </c>
      <c r="E3378" s="461" t="s">
        <v>161</v>
      </c>
      <c r="F3378" s="461" t="s">
        <v>8328</v>
      </c>
    </row>
    <row r="3379" spans="1:6" ht="15" x14ac:dyDescent="0.25">
      <c r="A3379" s="461">
        <v>4792</v>
      </c>
      <c r="B3379" s="460" t="s">
        <v>11456</v>
      </c>
      <c r="C3379" s="461" t="s">
        <v>1106</v>
      </c>
      <c r="D3379" s="461">
        <v>177.91</v>
      </c>
      <c r="E3379" s="461" t="s">
        <v>161</v>
      </c>
      <c r="F3379" s="461" t="s">
        <v>8326</v>
      </c>
    </row>
    <row r="3380" spans="1:6" ht="30" x14ac:dyDescent="0.25">
      <c r="A3380" s="461">
        <v>4790</v>
      </c>
      <c r="B3380" s="460" t="s">
        <v>11457</v>
      </c>
      <c r="C3380" s="461" t="s">
        <v>1106</v>
      </c>
      <c r="D3380" s="511">
        <v>106.97</v>
      </c>
      <c r="E3380" s="461" t="s">
        <v>161</v>
      </c>
      <c r="F3380" s="461" t="s">
        <v>8333</v>
      </c>
    </row>
    <row r="3381" spans="1:6" ht="30" x14ac:dyDescent="0.25">
      <c r="A3381" s="461">
        <v>40671</v>
      </c>
      <c r="B3381" s="460" t="s">
        <v>11458</v>
      </c>
      <c r="C3381" s="461" t="s">
        <v>1106</v>
      </c>
      <c r="D3381" s="461">
        <v>108.53</v>
      </c>
      <c r="E3381" s="461" t="s">
        <v>161</v>
      </c>
      <c r="F3381" s="461" t="s">
        <v>8326</v>
      </c>
    </row>
    <row r="3382" spans="1:6" ht="30" x14ac:dyDescent="0.25">
      <c r="A3382" s="461">
        <v>7552</v>
      </c>
      <c r="B3382" s="460" t="s">
        <v>11459</v>
      </c>
      <c r="C3382" s="461" t="s">
        <v>1104</v>
      </c>
      <c r="D3382" s="461">
        <v>25</v>
      </c>
      <c r="E3382" s="461" t="s">
        <v>161</v>
      </c>
      <c r="F3382" s="461" t="s">
        <v>8326</v>
      </c>
    </row>
    <row r="3383" spans="1:6" ht="15" x14ac:dyDescent="0.25">
      <c r="A3383" s="461">
        <v>4893</v>
      </c>
      <c r="B3383" s="460" t="s">
        <v>11460</v>
      </c>
      <c r="C3383" s="461" t="s">
        <v>1104</v>
      </c>
      <c r="D3383" s="461">
        <v>15.74</v>
      </c>
      <c r="E3383" s="461" t="s">
        <v>161</v>
      </c>
      <c r="F3383" s="461" t="s">
        <v>8328</v>
      </c>
    </row>
    <row r="3384" spans="1:6" ht="15" x14ac:dyDescent="0.25">
      <c r="A3384" s="461">
        <v>4894</v>
      </c>
      <c r="B3384" s="460" t="s">
        <v>11461</v>
      </c>
      <c r="C3384" s="461" t="s">
        <v>1104</v>
      </c>
      <c r="D3384" s="461">
        <v>13.5</v>
      </c>
      <c r="E3384" s="461" t="s">
        <v>161</v>
      </c>
      <c r="F3384" s="461" t="s">
        <v>8328</v>
      </c>
    </row>
    <row r="3385" spans="1:6" ht="15" x14ac:dyDescent="0.25">
      <c r="A3385" s="461">
        <v>4888</v>
      </c>
      <c r="B3385" s="460" t="s">
        <v>11462</v>
      </c>
      <c r="C3385" s="461" t="s">
        <v>1104</v>
      </c>
      <c r="D3385" s="461">
        <v>4.5999999999999996</v>
      </c>
      <c r="E3385" s="461" t="s">
        <v>161</v>
      </c>
      <c r="F3385" s="461" t="s">
        <v>8328</v>
      </c>
    </row>
    <row r="3386" spans="1:6" ht="15" x14ac:dyDescent="0.25">
      <c r="A3386" s="461">
        <v>4890</v>
      </c>
      <c r="B3386" s="460" t="s">
        <v>11463</v>
      </c>
      <c r="C3386" s="461" t="s">
        <v>1104</v>
      </c>
      <c r="D3386" s="461">
        <v>8.64</v>
      </c>
      <c r="E3386" s="461" t="s">
        <v>161</v>
      </c>
      <c r="F3386" s="461" t="s">
        <v>8328</v>
      </c>
    </row>
    <row r="3387" spans="1:6" ht="15" x14ac:dyDescent="0.25">
      <c r="A3387" s="461">
        <v>12411</v>
      </c>
      <c r="B3387" s="460" t="s">
        <v>11464</v>
      </c>
      <c r="C3387" s="461" t="s">
        <v>1104</v>
      </c>
      <c r="D3387" s="461">
        <v>46.54</v>
      </c>
      <c r="E3387" s="461" t="s">
        <v>161</v>
      </c>
      <c r="F3387" s="461" t="s">
        <v>8328</v>
      </c>
    </row>
    <row r="3388" spans="1:6" ht="15" x14ac:dyDescent="0.25">
      <c r="A3388" s="461">
        <v>4891</v>
      </c>
      <c r="B3388" s="460" t="s">
        <v>11465</v>
      </c>
      <c r="C3388" s="461" t="s">
        <v>1104</v>
      </c>
      <c r="D3388" s="461">
        <v>23.27</v>
      </c>
      <c r="E3388" s="461" t="s">
        <v>161</v>
      </c>
      <c r="F3388" s="461" t="s">
        <v>8328</v>
      </c>
    </row>
    <row r="3389" spans="1:6" ht="15" x14ac:dyDescent="0.25">
      <c r="A3389" s="461">
        <v>4889</v>
      </c>
      <c r="B3389" s="460" t="s">
        <v>11466</v>
      </c>
      <c r="C3389" s="461" t="s">
        <v>1104</v>
      </c>
      <c r="D3389" s="461">
        <v>6.22</v>
      </c>
      <c r="E3389" s="461" t="s">
        <v>161</v>
      </c>
      <c r="F3389" s="461" t="s">
        <v>8328</v>
      </c>
    </row>
    <row r="3390" spans="1:6" ht="15" x14ac:dyDescent="0.25">
      <c r="A3390" s="461">
        <v>4892</v>
      </c>
      <c r="B3390" s="460" t="s">
        <v>11467</v>
      </c>
      <c r="C3390" s="461" t="s">
        <v>1104</v>
      </c>
      <c r="D3390" s="461">
        <v>65.17</v>
      </c>
      <c r="E3390" s="461" t="s">
        <v>161</v>
      </c>
      <c r="F3390" s="461" t="s">
        <v>8328</v>
      </c>
    </row>
    <row r="3391" spans="1:6" ht="15" x14ac:dyDescent="0.25">
      <c r="A3391" s="461">
        <v>12412</v>
      </c>
      <c r="B3391" s="460" t="s">
        <v>11468</v>
      </c>
      <c r="C3391" s="461" t="s">
        <v>1104</v>
      </c>
      <c r="D3391" s="461">
        <v>121.12</v>
      </c>
      <c r="E3391" s="461" t="s">
        <v>161</v>
      </c>
      <c r="F3391" s="461" t="s">
        <v>8328</v>
      </c>
    </row>
    <row r="3392" spans="1:6" ht="15" x14ac:dyDescent="0.25">
      <c r="A3392" s="461">
        <v>4907</v>
      </c>
      <c r="B3392" s="460" t="s">
        <v>11469</v>
      </c>
      <c r="C3392" s="461" t="s">
        <v>1104</v>
      </c>
      <c r="D3392" s="461">
        <v>17.850000000000001</v>
      </c>
      <c r="E3392" s="461" t="s">
        <v>161</v>
      </c>
      <c r="F3392" s="461" t="s">
        <v>8326</v>
      </c>
    </row>
    <row r="3393" spans="1:6" ht="15" x14ac:dyDescent="0.25">
      <c r="A3393" s="461">
        <v>4902</v>
      </c>
      <c r="B3393" s="460" t="s">
        <v>11470</v>
      </c>
      <c r="C3393" s="461" t="s">
        <v>1104</v>
      </c>
      <c r="D3393" s="461">
        <v>46.32</v>
      </c>
      <c r="E3393" s="461" t="s">
        <v>161</v>
      </c>
      <c r="F3393" s="461" t="s">
        <v>8326</v>
      </c>
    </row>
    <row r="3394" spans="1:6" ht="15" x14ac:dyDescent="0.25">
      <c r="A3394" s="461">
        <v>4741</v>
      </c>
      <c r="B3394" s="460" t="s">
        <v>11471</v>
      </c>
      <c r="C3394" s="461" t="s">
        <v>1105</v>
      </c>
      <c r="D3394" s="511">
        <v>167.6</v>
      </c>
      <c r="E3394" s="461" t="s">
        <v>161</v>
      </c>
      <c r="F3394" s="461" t="s">
        <v>8326</v>
      </c>
    </row>
    <row r="3395" spans="1:6" ht="15" x14ac:dyDescent="0.25">
      <c r="A3395" s="461">
        <v>4752</v>
      </c>
      <c r="B3395" s="460" t="s">
        <v>11472</v>
      </c>
      <c r="C3395" s="461" t="s">
        <v>1103</v>
      </c>
      <c r="D3395" s="461">
        <v>18</v>
      </c>
      <c r="E3395" s="461" t="s">
        <v>4455</v>
      </c>
      <c r="F3395" s="461" t="s">
        <v>8326</v>
      </c>
    </row>
    <row r="3396" spans="1:6" ht="15" x14ac:dyDescent="0.25">
      <c r="A3396" s="461">
        <v>41091</v>
      </c>
      <c r="B3396" s="460" t="s">
        <v>11473</v>
      </c>
      <c r="C3396" s="461" t="s">
        <v>1110</v>
      </c>
      <c r="D3396" s="461">
        <v>3206.12</v>
      </c>
      <c r="E3396" s="461" t="s">
        <v>4455</v>
      </c>
      <c r="F3396" s="461" t="s">
        <v>8326</v>
      </c>
    </row>
    <row r="3397" spans="1:6" ht="30" x14ac:dyDescent="0.25">
      <c r="A3397" s="461">
        <v>13954</v>
      </c>
      <c r="B3397" s="460" t="s">
        <v>11474</v>
      </c>
      <c r="C3397" s="461" t="s">
        <v>1104</v>
      </c>
      <c r="D3397" s="461">
        <v>6768.76</v>
      </c>
      <c r="E3397" s="461" t="s">
        <v>161</v>
      </c>
      <c r="F3397" s="461" t="s">
        <v>8328</v>
      </c>
    </row>
    <row r="3398" spans="1:6" ht="15" x14ac:dyDescent="0.25">
      <c r="A3398" s="461">
        <v>3411</v>
      </c>
      <c r="B3398" s="460" t="s">
        <v>11475</v>
      </c>
      <c r="C3398" s="461" t="s">
        <v>1108</v>
      </c>
      <c r="D3398" s="461">
        <v>66.13</v>
      </c>
      <c r="E3398" s="461" t="s">
        <v>161</v>
      </c>
      <c r="F3398" s="461" t="s">
        <v>8328</v>
      </c>
    </row>
    <row r="3399" spans="1:6" ht="15" x14ac:dyDescent="0.25">
      <c r="A3399" s="461">
        <v>39995</v>
      </c>
      <c r="B3399" s="460" t="s">
        <v>11476</v>
      </c>
      <c r="C3399" s="461" t="s">
        <v>1105</v>
      </c>
      <c r="D3399" s="461">
        <v>508.73</v>
      </c>
      <c r="E3399" s="461" t="s">
        <v>161</v>
      </c>
      <c r="F3399" s="461" t="s">
        <v>8328</v>
      </c>
    </row>
    <row r="3400" spans="1:6" ht="30" x14ac:dyDescent="0.25">
      <c r="A3400" s="461">
        <v>11615</v>
      </c>
      <c r="B3400" s="460" t="s">
        <v>11477</v>
      </c>
      <c r="C3400" s="461" t="s">
        <v>1106</v>
      </c>
      <c r="D3400" s="461">
        <v>4.3099999999999996</v>
      </c>
      <c r="E3400" s="461" t="s">
        <v>161</v>
      </c>
      <c r="F3400" s="461" t="s">
        <v>8328</v>
      </c>
    </row>
    <row r="3401" spans="1:6" ht="30" x14ac:dyDescent="0.25">
      <c r="A3401" s="461">
        <v>3408</v>
      </c>
      <c r="B3401" s="460" t="s">
        <v>11478</v>
      </c>
      <c r="C3401" s="461" t="s">
        <v>1106</v>
      </c>
      <c r="D3401" s="461">
        <v>11.46</v>
      </c>
      <c r="E3401" s="461" t="s">
        <v>161</v>
      </c>
      <c r="F3401" s="461" t="s">
        <v>8328</v>
      </c>
    </row>
    <row r="3402" spans="1:6" ht="30" x14ac:dyDescent="0.25">
      <c r="A3402" s="461">
        <v>3409</v>
      </c>
      <c r="B3402" s="460" t="s">
        <v>11479</v>
      </c>
      <c r="C3402" s="461" t="s">
        <v>1106</v>
      </c>
      <c r="D3402" s="461">
        <v>28.65</v>
      </c>
      <c r="E3402" s="461" t="s">
        <v>161</v>
      </c>
      <c r="F3402" s="461" t="s">
        <v>8328</v>
      </c>
    </row>
    <row r="3403" spans="1:6" ht="15" x14ac:dyDescent="0.25">
      <c r="A3403" s="461">
        <v>11427</v>
      </c>
      <c r="B3403" s="460" t="s">
        <v>11480</v>
      </c>
      <c r="C3403" s="461" t="s">
        <v>1108</v>
      </c>
      <c r="D3403" s="461">
        <v>95.86</v>
      </c>
      <c r="E3403" s="461" t="s">
        <v>161</v>
      </c>
      <c r="F3403" s="461" t="s">
        <v>8328</v>
      </c>
    </row>
    <row r="3404" spans="1:6" ht="15" x14ac:dyDescent="0.25">
      <c r="A3404" s="461">
        <v>4491</v>
      </c>
      <c r="B3404" s="460" t="s">
        <v>11481</v>
      </c>
      <c r="C3404" s="461" t="s">
        <v>1107</v>
      </c>
      <c r="D3404" s="461">
        <v>7.6</v>
      </c>
      <c r="E3404" s="461" t="s">
        <v>161</v>
      </c>
      <c r="F3404" s="461" t="s">
        <v>8326</v>
      </c>
    </row>
    <row r="3405" spans="1:6" ht="30" x14ac:dyDescent="0.25">
      <c r="A3405" s="461">
        <v>2745</v>
      </c>
      <c r="B3405" s="460" t="s">
        <v>11482</v>
      </c>
      <c r="C3405" s="461" t="s">
        <v>1107</v>
      </c>
      <c r="D3405" s="461">
        <v>3.76</v>
      </c>
      <c r="E3405" s="461" t="s">
        <v>161</v>
      </c>
      <c r="F3405" s="461" t="s">
        <v>8326</v>
      </c>
    </row>
    <row r="3406" spans="1:6" ht="30" x14ac:dyDescent="0.25">
      <c r="A3406" s="461">
        <v>14439</v>
      </c>
      <c r="B3406" s="460" t="s">
        <v>11483</v>
      </c>
      <c r="C3406" s="461" t="s">
        <v>1107</v>
      </c>
      <c r="D3406" s="461">
        <v>4.67</v>
      </c>
      <c r="E3406" s="461" t="s">
        <v>161</v>
      </c>
      <c r="F3406" s="461" t="s">
        <v>8326</v>
      </c>
    </row>
    <row r="3407" spans="1:6" ht="30" x14ac:dyDescent="0.25">
      <c r="A3407" s="461">
        <v>44496</v>
      </c>
      <c r="B3407" s="460" t="s">
        <v>11484</v>
      </c>
      <c r="C3407" s="461" t="s">
        <v>1104</v>
      </c>
      <c r="D3407" s="461">
        <v>118.43</v>
      </c>
      <c r="E3407" s="461" t="s">
        <v>161</v>
      </c>
      <c r="F3407" s="461" t="s">
        <v>8326</v>
      </c>
    </row>
    <row r="3408" spans="1:6" ht="15" x14ac:dyDescent="0.25">
      <c r="A3408" s="461">
        <v>12362</v>
      </c>
      <c r="B3408" s="460" t="s">
        <v>11485</v>
      </c>
      <c r="C3408" s="461" t="s">
        <v>1104</v>
      </c>
      <c r="D3408" s="461">
        <v>18.53</v>
      </c>
      <c r="E3408" s="461" t="s">
        <v>161</v>
      </c>
      <c r="F3408" s="461" t="s">
        <v>8326</v>
      </c>
    </row>
    <row r="3409" spans="1:6" ht="15" x14ac:dyDescent="0.25">
      <c r="A3409" s="461">
        <v>421</v>
      </c>
      <c r="B3409" s="460" t="s">
        <v>13309</v>
      </c>
      <c r="C3409" s="461" t="s">
        <v>1104</v>
      </c>
      <c r="D3409" s="461">
        <v>22.78</v>
      </c>
      <c r="E3409" s="461" t="s">
        <v>161</v>
      </c>
      <c r="F3409" s="461" t="s">
        <v>8328</v>
      </c>
    </row>
    <row r="3410" spans="1:6" ht="30" x14ac:dyDescent="0.25">
      <c r="A3410" s="461">
        <v>14148</v>
      </c>
      <c r="B3410" s="460" t="s">
        <v>11486</v>
      </c>
      <c r="C3410" s="461" t="s">
        <v>1104</v>
      </c>
      <c r="D3410" s="461">
        <v>0.97</v>
      </c>
      <c r="E3410" s="461" t="s">
        <v>161</v>
      </c>
      <c r="F3410" s="461" t="s">
        <v>8328</v>
      </c>
    </row>
    <row r="3411" spans="1:6" ht="15" x14ac:dyDescent="0.25">
      <c r="A3411" s="461">
        <v>4341</v>
      </c>
      <c r="B3411" s="460" t="s">
        <v>11487</v>
      </c>
      <c r="C3411" s="461" t="s">
        <v>1104</v>
      </c>
      <c r="D3411" s="461">
        <v>1.1200000000000001</v>
      </c>
      <c r="E3411" s="461" t="s">
        <v>161</v>
      </c>
      <c r="F3411" s="461" t="s">
        <v>8328</v>
      </c>
    </row>
    <row r="3412" spans="1:6" ht="15" x14ac:dyDescent="0.25">
      <c r="A3412" s="461">
        <v>4337</v>
      </c>
      <c r="B3412" s="460" t="s">
        <v>11488</v>
      </c>
      <c r="C3412" s="461" t="s">
        <v>1104</v>
      </c>
      <c r="D3412" s="461">
        <v>2.82</v>
      </c>
      <c r="E3412" s="461" t="s">
        <v>161</v>
      </c>
      <c r="F3412" s="461" t="s">
        <v>8328</v>
      </c>
    </row>
    <row r="3413" spans="1:6" ht="15" x14ac:dyDescent="0.25">
      <c r="A3413" s="461">
        <v>4339</v>
      </c>
      <c r="B3413" s="460" t="s">
        <v>11489</v>
      </c>
      <c r="C3413" s="461" t="s">
        <v>1104</v>
      </c>
      <c r="D3413" s="511">
        <v>0.6</v>
      </c>
      <c r="E3413" s="461" t="s">
        <v>161</v>
      </c>
      <c r="F3413" s="461" t="s">
        <v>8328</v>
      </c>
    </row>
    <row r="3414" spans="1:6" ht="15" x14ac:dyDescent="0.25">
      <c r="A3414" s="461">
        <v>39997</v>
      </c>
      <c r="B3414" s="460" t="s">
        <v>11490</v>
      </c>
      <c r="C3414" s="461" t="s">
        <v>1104</v>
      </c>
      <c r="D3414" s="511">
        <v>0.33</v>
      </c>
      <c r="E3414" s="461" t="s">
        <v>161</v>
      </c>
      <c r="F3414" s="461" t="s">
        <v>8328</v>
      </c>
    </row>
    <row r="3415" spans="1:6" ht="15" x14ac:dyDescent="0.25">
      <c r="A3415" s="461">
        <v>11971</v>
      </c>
      <c r="B3415" s="460" t="s">
        <v>11491</v>
      </c>
      <c r="C3415" s="461" t="s">
        <v>1104</v>
      </c>
      <c r="D3415" s="461">
        <v>4.67</v>
      </c>
      <c r="E3415" s="461" t="s">
        <v>161</v>
      </c>
      <c r="F3415" s="461" t="s">
        <v>8328</v>
      </c>
    </row>
    <row r="3416" spans="1:6" ht="15" x14ac:dyDescent="0.25">
      <c r="A3416" s="461">
        <v>4342</v>
      </c>
      <c r="B3416" s="460" t="s">
        <v>11492</v>
      </c>
      <c r="C3416" s="461" t="s">
        <v>1104</v>
      </c>
      <c r="D3416" s="461">
        <v>0.24</v>
      </c>
      <c r="E3416" s="461" t="s">
        <v>161</v>
      </c>
      <c r="F3416" s="461" t="s">
        <v>8328</v>
      </c>
    </row>
    <row r="3417" spans="1:6" ht="15" x14ac:dyDescent="0.25">
      <c r="A3417" s="461">
        <v>4330</v>
      </c>
      <c r="B3417" s="460" t="s">
        <v>11493</v>
      </c>
      <c r="C3417" s="461" t="s">
        <v>1104</v>
      </c>
      <c r="D3417" s="461">
        <v>0.16</v>
      </c>
      <c r="E3417" s="461" t="s">
        <v>161</v>
      </c>
      <c r="F3417" s="461" t="s">
        <v>8328</v>
      </c>
    </row>
    <row r="3418" spans="1:6" ht="15" x14ac:dyDescent="0.25">
      <c r="A3418" s="461">
        <v>4340</v>
      </c>
      <c r="B3418" s="460" t="s">
        <v>11494</v>
      </c>
      <c r="C3418" s="461" t="s">
        <v>1104</v>
      </c>
      <c r="D3418" s="461">
        <v>1.3</v>
      </c>
      <c r="E3418" s="461" t="s">
        <v>161</v>
      </c>
      <c r="F3418" s="461" t="s">
        <v>8328</v>
      </c>
    </row>
    <row r="3419" spans="1:6" ht="15" x14ac:dyDescent="0.25">
      <c r="A3419" s="461">
        <v>5088</v>
      </c>
      <c r="B3419" s="460" t="s">
        <v>13310</v>
      </c>
      <c r="C3419" s="461" t="s">
        <v>1104</v>
      </c>
      <c r="D3419" s="461">
        <v>6.19</v>
      </c>
      <c r="E3419" s="461" t="s">
        <v>161</v>
      </c>
      <c r="F3419" s="461" t="s">
        <v>8326</v>
      </c>
    </row>
    <row r="3420" spans="1:6" ht="45" x14ac:dyDescent="0.25">
      <c r="A3420" s="461">
        <v>11154</v>
      </c>
      <c r="B3420" s="460" t="s">
        <v>11495</v>
      </c>
      <c r="C3420" s="461" t="s">
        <v>1104</v>
      </c>
      <c r="D3420" s="461">
        <v>1250.58</v>
      </c>
      <c r="E3420" s="461" t="s">
        <v>161</v>
      </c>
      <c r="F3420" s="461" t="s">
        <v>8326</v>
      </c>
    </row>
    <row r="3421" spans="1:6" ht="45" x14ac:dyDescent="0.25">
      <c r="A3421" s="461">
        <v>4989</v>
      </c>
      <c r="B3421" s="460" t="s">
        <v>11496</v>
      </c>
      <c r="C3421" s="461" t="s">
        <v>1104</v>
      </c>
      <c r="D3421" s="461">
        <v>372.05</v>
      </c>
      <c r="E3421" s="461" t="s">
        <v>161</v>
      </c>
      <c r="F3421" s="461" t="s">
        <v>8326</v>
      </c>
    </row>
    <row r="3422" spans="1:6" ht="45" x14ac:dyDescent="0.25">
      <c r="A3422" s="461">
        <v>4982</v>
      </c>
      <c r="B3422" s="460" t="s">
        <v>11497</v>
      </c>
      <c r="C3422" s="461" t="s">
        <v>1104</v>
      </c>
      <c r="D3422" s="461">
        <v>348.96</v>
      </c>
      <c r="E3422" s="461" t="s">
        <v>161</v>
      </c>
      <c r="F3422" s="461" t="s">
        <v>8326</v>
      </c>
    </row>
    <row r="3423" spans="1:6" ht="45" x14ac:dyDescent="0.25">
      <c r="A3423" s="461">
        <v>4962</v>
      </c>
      <c r="B3423" s="460" t="s">
        <v>11498</v>
      </c>
      <c r="C3423" s="461" t="s">
        <v>1104</v>
      </c>
      <c r="D3423" s="461">
        <v>275.2</v>
      </c>
      <c r="E3423" s="461" t="s">
        <v>161</v>
      </c>
      <c r="F3423" s="461" t="s">
        <v>8326</v>
      </c>
    </row>
    <row r="3424" spans="1:6" ht="45" x14ac:dyDescent="0.25">
      <c r="A3424" s="461">
        <v>4981</v>
      </c>
      <c r="B3424" s="460" t="s">
        <v>11499</v>
      </c>
      <c r="C3424" s="461" t="s">
        <v>1104</v>
      </c>
      <c r="D3424" s="461">
        <v>245</v>
      </c>
      <c r="E3424" s="461" t="s">
        <v>161</v>
      </c>
      <c r="F3424" s="461" t="s">
        <v>8333</v>
      </c>
    </row>
    <row r="3425" spans="1:6" ht="45" x14ac:dyDescent="0.25">
      <c r="A3425" s="461">
        <v>4964</v>
      </c>
      <c r="B3425" s="460" t="s">
        <v>11500</v>
      </c>
      <c r="C3425" s="461" t="s">
        <v>1104</v>
      </c>
      <c r="D3425" s="461">
        <v>310.81</v>
      </c>
      <c r="E3425" s="461" t="s">
        <v>161</v>
      </c>
      <c r="F3425" s="461" t="s">
        <v>8326</v>
      </c>
    </row>
    <row r="3426" spans="1:6" ht="45" x14ac:dyDescent="0.25">
      <c r="A3426" s="461">
        <v>4992</v>
      </c>
      <c r="B3426" s="460" t="s">
        <v>11501</v>
      </c>
      <c r="C3426" s="461" t="s">
        <v>1104</v>
      </c>
      <c r="D3426" s="461">
        <v>303.61</v>
      </c>
      <c r="E3426" s="461" t="s">
        <v>161</v>
      </c>
      <c r="F3426" s="461" t="s">
        <v>8326</v>
      </c>
    </row>
    <row r="3427" spans="1:6" ht="45" x14ac:dyDescent="0.25">
      <c r="A3427" s="461">
        <v>4987</v>
      </c>
      <c r="B3427" s="460" t="s">
        <v>11502</v>
      </c>
      <c r="C3427" s="461" t="s">
        <v>1104</v>
      </c>
      <c r="D3427" s="461">
        <v>347.35</v>
      </c>
      <c r="E3427" s="461" t="s">
        <v>161</v>
      </c>
      <c r="F3427" s="461" t="s">
        <v>8326</v>
      </c>
    </row>
    <row r="3428" spans="1:6" ht="30" x14ac:dyDescent="0.25">
      <c r="A3428" s="461">
        <v>4930</v>
      </c>
      <c r="B3428" s="460" t="s">
        <v>11503</v>
      </c>
      <c r="C3428" s="461" t="s">
        <v>1106</v>
      </c>
      <c r="D3428" s="461">
        <v>529.70000000000005</v>
      </c>
      <c r="E3428" s="461" t="s">
        <v>161</v>
      </c>
      <c r="F3428" s="461" t="s">
        <v>8326</v>
      </c>
    </row>
    <row r="3429" spans="1:6" ht="45" x14ac:dyDescent="0.25">
      <c r="A3429" s="461">
        <v>4998</v>
      </c>
      <c r="B3429" s="460" t="s">
        <v>13311</v>
      </c>
      <c r="C3429" s="461" t="s">
        <v>1106</v>
      </c>
      <c r="D3429" s="461">
        <v>654.91999999999996</v>
      </c>
      <c r="E3429" s="461" t="s">
        <v>161</v>
      </c>
      <c r="F3429" s="461" t="s">
        <v>8328</v>
      </c>
    </row>
    <row r="3430" spans="1:6" ht="45" x14ac:dyDescent="0.25">
      <c r="A3430" s="461">
        <v>39021</v>
      </c>
      <c r="B3430" s="460" t="s">
        <v>11504</v>
      </c>
      <c r="C3430" s="461" t="s">
        <v>1104</v>
      </c>
      <c r="D3430" s="461">
        <v>563.20000000000005</v>
      </c>
      <c r="E3430" s="461" t="s">
        <v>161</v>
      </c>
      <c r="F3430" s="461" t="s">
        <v>8326</v>
      </c>
    </row>
    <row r="3431" spans="1:6" ht="45" x14ac:dyDescent="0.25">
      <c r="A3431" s="461">
        <v>39022</v>
      </c>
      <c r="B3431" s="460" t="s">
        <v>11505</v>
      </c>
      <c r="C3431" s="461" t="s">
        <v>1104</v>
      </c>
      <c r="D3431" s="461">
        <v>504.48</v>
      </c>
      <c r="E3431" s="461" t="s">
        <v>161</v>
      </c>
      <c r="F3431" s="461" t="s">
        <v>8333</v>
      </c>
    </row>
    <row r="3432" spans="1:6" ht="45" x14ac:dyDescent="0.25">
      <c r="A3432" s="461">
        <v>39024</v>
      </c>
      <c r="B3432" s="460" t="s">
        <v>13312</v>
      </c>
      <c r="C3432" s="461" t="s">
        <v>1104</v>
      </c>
      <c r="D3432" s="461">
        <v>547.64</v>
      </c>
      <c r="E3432" s="461" t="s">
        <v>161</v>
      </c>
      <c r="F3432" s="461" t="s">
        <v>8326</v>
      </c>
    </row>
    <row r="3433" spans="1:6" ht="30" x14ac:dyDescent="0.25">
      <c r="A3433" s="461">
        <v>4914</v>
      </c>
      <c r="B3433" s="460" t="s">
        <v>11506</v>
      </c>
      <c r="C3433" s="461" t="s">
        <v>1106</v>
      </c>
      <c r="D3433" s="461">
        <v>444.04</v>
      </c>
      <c r="E3433" s="461" t="s">
        <v>161</v>
      </c>
      <c r="F3433" s="461" t="s">
        <v>8326</v>
      </c>
    </row>
    <row r="3434" spans="1:6" ht="30" x14ac:dyDescent="0.25">
      <c r="A3434" s="461">
        <v>4917</v>
      </c>
      <c r="B3434" s="460" t="s">
        <v>11507</v>
      </c>
      <c r="C3434" s="461" t="s">
        <v>1106</v>
      </c>
      <c r="D3434" s="461">
        <v>306.66000000000003</v>
      </c>
      <c r="E3434" s="461" t="s">
        <v>161</v>
      </c>
      <c r="F3434" s="461" t="s">
        <v>8333</v>
      </c>
    </row>
    <row r="3435" spans="1:6" ht="30" x14ac:dyDescent="0.25">
      <c r="A3435" s="461">
        <v>39025</v>
      </c>
      <c r="B3435" s="460" t="s">
        <v>11508</v>
      </c>
      <c r="C3435" s="461" t="s">
        <v>1104</v>
      </c>
      <c r="D3435" s="461">
        <v>561.54999999999995</v>
      </c>
      <c r="E3435" s="461" t="s">
        <v>161</v>
      </c>
      <c r="F3435" s="461" t="s">
        <v>8326</v>
      </c>
    </row>
    <row r="3436" spans="1:6" ht="45" x14ac:dyDescent="0.25">
      <c r="A3436" s="461">
        <v>4922</v>
      </c>
      <c r="B3436" s="460" t="s">
        <v>11509</v>
      </c>
      <c r="C3436" s="461" t="s">
        <v>1106</v>
      </c>
      <c r="D3436" s="461">
        <v>284.45</v>
      </c>
      <c r="E3436" s="461" t="s">
        <v>161</v>
      </c>
      <c r="F3436" s="461" t="s">
        <v>8326</v>
      </c>
    </row>
    <row r="3437" spans="1:6" ht="30" x14ac:dyDescent="0.25">
      <c r="A3437" s="461">
        <v>4911</v>
      </c>
      <c r="B3437" s="460" t="s">
        <v>11510</v>
      </c>
      <c r="C3437" s="461" t="s">
        <v>1106</v>
      </c>
      <c r="D3437" s="511">
        <v>276.08</v>
      </c>
      <c r="E3437" s="461" t="s">
        <v>161</v>
      </c>
      <c r="F3437" s="461" t="s">
        <v>8326</v>
      </c>
    </row>
    <row r="3438" spans="1:6" ht="45" x14ac:dyDescent="0.25">
      <c r="A3438" s="461">
        <v>37518</v>
      </c>
      <c r="B3438" s="460" t="s">
        <v>13313</v>
      </c>
      <c r="C3438" s="461" t="s">
        <v>1106</v>
      </c>
      <c r="D3438" s="461">
        <v>448.63</v>
      </c>
      <c r="E3438" s="461" t="s">
        <v>161</v>
      </c>
      <c r="F3438" s="461" t="s">
        <v>8326</v>
      </c>
    </row>
    <row r="3439" spans="1:6" ht="30" x14ac:dyDescent="0.25">
      <c r="A3439" s="461">
        <v>4910</v>
      </c>
      <c r="B3439" s="460" t="s">
        <v>11511</v>
      </c>
      <c r="C3439" s="461" t="s">
        <v>1106</v>
      </c>
      <c r="D3439" s="461">
        <v>378.2</v>
      </c>
      <c r="E3439" s="461" t="s">
        <v>161</v>
      </c>
      <c r="F3439" s="461" t="s">
        <v>8326</v>
      </c>
    </row>
    <row r="3440" spans="1:6" ht="30" x14ac:dyDescent="0.25">
      <c r="A3440" s="461">
        <v>4943</v>
      </c>
      <c r="B3440" s="460" t="s">
        <v>11512</v>
      </c>
      <c r="C3440" s="461" t="s">
        <v>1106</v>
      </c>
      <c r="D3440" s="461">
        <v>563.41999999999996</v>
      </c>
      <c r="E3440" s="461" t="s">
        <v>161</v>
      </c>
      <c r="F3440" s="461" t="s">
        <v>8326</v>
      </c>
    </row>
    <row r="3441" spans="1:6" ht="30" x14ac:dyDescent="0.25">
      <c r="A3441" s="461">
        <v>5002</v>
      </c>
      <c r="B3441" s="460" t="s">
        <v>11513</v>
      </c>
      <c r="C3441" s="461" t="s">
        <v>1106</v>
      </c>
      <c r="D3441" s="461">
        <v>477.42</v>
      </c>
      <c r="E3441" s="461" t="s">
        <v>161</v>
      </c>
      <c r="F3441" s="461" t="s">
        <v>8328</v>
      </c>
    </row>
    <row r="3442" spans="1:6" ht="30" x14ac:dyDescent="0.25">
      <c r="A3442" s="461">
        <v>4977</v>
      </c>
      <c r="B3442" s="460" t="s">
        <v>11514</v>
      </c>
      <c r="C3442" s="461" t="s">
        <v>1106</v>
      </c>
      <c r="D3442" s="461">
        <v>322.27999999999997</v>
      </c>
      <c r="E3442" s="461" t="s">
        <v>161</v>
      </c>
      <c r="F3442" s="461" t="s">
        <v>8328</v>
      </c>
    </row>
    <row r="3443" spans="1:6" ht="30" x14ac:dyDescent="0.25">
      <c r="A3443" s="461">
        <v>5028</v>
      </c>
      <c r="B3443" s="460" t="s">
        <v>11515</v>
      </c>
      <c r="C3443" s="461" t="s">
        <v>1106</v>
      </c>
      <c r="D3443" s="461">
        <v>788.56</v>
      </c>
      <c r="E3443" s="461" t="s">
        <v>161</v>
      </c>
      <c r="F3443" s="461" t="s">
        <v>8328</v>
      </c>
    </row>
    <row r="3444" spans="1:6" ht="30" x14ac:dyDescent="0.25">
      <c r="A3444" s="461">
        <v>4969</v>
      </c>
      <c r="B3444" s="460" t="s">
        <v>11516</v>
      </c>
      <c r="C3444" s="461" t="s">
        <v>1106</v>
      </c>
      <c r="D3444" s="461">
        <v>455.8</v>
      </c>
      <c r="E3444" s="461" t="s">
        <v>161</v>
      </c>
      <c r="F3444" s="461" t="s">
        <v>8328</v>
      </c>
    </row>
    <row r="3445" spans="1:6" ht="45" x14ac:dyDescent="0.25">
      <c r="A3445" s="461">
        <v>11364</v>
      </c>
      <c r="B3445" s="460" t="s">
        <v>11517</v>
      </c>
      <c r="C3445" s="461" t="s">
        <v>1104</v>
      </c>
      <c r="D3445" s="461">
        <v>210.48</v>
      </c>
      <c r="E3445" s="461" t="s">
        <v>161</v>
      </c>
      <c r="F3445" s="461" t="s">
        <v>8326</v>
      </c>
    </row>
    <row r="3446" spans="1:6" ht="45" x14ac:dyDescent="0.25">
      <c r="A3446" s="461">
        <v>11365</v>
      </c>
      <c r="B3446" s="460" t="s">
        <v>11518</v>
      </c>
      <c r="C3446" s="461" t="s">
        <v>1104</v>
      </c>
      <c r="D3446" s="461">
        <v>218.42</v>
      </c>
      <c r="E3446" s="461" t="s">
        <v>161</v>
      </c>
      <c r="F3446" s="461" t="s">
        <v>8326</v>
      </c>
    </row>
    <row r="3447" spans="1:6" ht="45" x14ac:dyDescent="0.25">
      <c r="A3447" s="461">
        <v>11366</v>
      </c>
      <c r="B3447" s="460" t="s">
        <v>11519</v>
      </c>
      <c r="C3447" s="461" t="s">
        <v>1104</v>
      </c>
      <c r="D3447" s="461">
        <v>232.18</v>
      </c>
      <c r="E3447" s="461" t="s">
        <v>161</v>
      </c>
      <c r="F3447" s="461" t="s">
        <v>8326</v>
      </c>
    </row>
    <row r="3448" spans="1:6" ht="30" x14ac:dyDescent="0.25">
      <c r="A3448" s="461">
        <v>43777</v>
      </c>
      <c r="B3448" s="460" t="s">
        <v>11520</v>
      </c>
      <c r="C3448" s="461" t="s">
        <v>1104</v>
      </c>
      <c r="D3448" s="461">
        <v>272.73</v>
      </c>
      <c r="E3448" s="461" t="s">
        <v>161</v>
      </c>
      <c r="F3448" s="461" t="s">
        <v>8326</v>
      </c>
    </row>
    <row r="3449" spans="1:6" ht="45" x14ac:dyDescent="0.25">
      <c r="A3449" s="461">
        <v>20322</v>
      </c>
      <c r="B3449" s="460" t="s">
        <v>11521</v>
      </c>
      <c r="C3449" s="461" t="s">
        <v>1104</v>
      </c>
      <c r="D3449" s="461">
        <v>253.18</v>
      </c>
      <c r="E3449" s="461" t="s">
        <v>161</v>
      </c>
      <c r="F3449" s="461" t="s">
        <v>8326</v>
      </c>
    </row>
    <row r="3450" spans="1:6" ht="45" x14ac:dyDescent="0.25">
      <c r="A3450" s="461">
        <v>10553</v>
      </c>
      <c r="B3450" s="460" t="s">
        <v>11522</v>
      </c>
      <c r="C3450" s="461" t="s">
        <v>1104</v>
      </c>
      <c r="D3450" s="461">
        <v>229.89</v>
      </c>
      <c r="E3450" s="461" t="s">
        <v>161</v>
      </c>
      <c r="F3450" s="461" t="s">
        <v>8326</v>
      </c>
    </row>
    <row r="3451" spans="1:6" ht="45" x14ac:dyDescent="0.25">
      <c r="A3451" s="461">
        <v>5020</v>
      </c>
      <c r="B3451" s="460" t="s">
        <v>11523</v>
      </c>
      <c r="C3451" s="461" t="s">
        <v>1104</v>
      </c>
      <c r="D3451" s="461">
        <v>242.37</v>
      </c>
      <c r="E3451" s="461" t="s">
        <v>161</v>
      </c>
      <c r="F3451" s="461" t="s">
        <v>8326</v>
      </c>
    </row>
    <row r="3452" spans="1:6" ht="45" x14ac:dyDescent="0.25">
      <c r="A3452" s="461">
        <v>10554</v>
      </c>
      <c r="B3452" s="460" t="s">
        <v>11524</v>
      </c>
      <c r="C3452" s="461" t="s">
        <v>1104</v>
      </c>
      <c r="D3452" s="461">
        <v>231.92</v>
      </c>
      <c r="E3452" s="461" t="s">
        <v>161</v>
      </c>
      <c r="F3452" s="461" t="s">
        <v>8326</v>
      </c>
    </row>
    <row r="3453" spans="1:6" ht="45" x14ac:dyDescent="0.25">
      <c r="A3453" s="461">
        <v>10555</v>
      </c>
      <c r="B3453" s="460" t="s">
        <v>11525</v>
      </c>
      <c r="C3453" s="461" t="s">
        <v>1104</v>
      </c>
      <c r="D3453" s="461">
        <v>252.92</v>
      </c>
      <c r="E3453" s="461" t="s">
        <v>161</v>
      </c>
      <c r="F3453" s="461" t="s">
        <v>8326</v>
      </c>
    </row>
    <row r="3454" spans="1:6" ht="45" x14ac:dyDescent="0.25">
      <c r="A3454" s="461">
        <v>10556</v>
      </c>
      <c r="B3454" s="460" t="s">
        <v>11526</v>
      </c>
      <c r="C3454" s="461" t="s">
        <v>1104</v>
      </c>
      <c r="D3454" s="461">
        <v>336.28</v>
      </c>
      <c r="E3454" s="461" t="s">
        <v>161</v>
      </c>
      <c r="F3454" s="461" t="s">
        <v>8326</v>
      </c>
    </row>
    <row r="3455" spans="1:6" ht="45" x14ac:dyDescent="0.25">
      <c r="A3455" s="461">
        <v>39502</v>
      </c>
      <c r="B3455" s="460" t="s">
        <v>11527</v>
      </c>
      <c r="C3455" s="461" t="s">
        <v>1104</v>
      </c>
      <c r="D3455" s="461">
        <v>472.22</v>
      </c>
      <c r="E3455" s="461" t="s">
        <v>161</v>
      </c>
      <c r="F3455" s="461" t="s">
        <v>8326</v>
      </c>
    </row>
    <row r="3456" spans="1:6" ht="45" x14ac:dyDescent="0.25">
      <c r="A3456" s="461">
        <v>39504</v>
      </c>
      <c r="B3456" s="460" t="s">
        <v>11528</v>
      </c>
      <c r="C3456" s="461" t="s">
        <v>1104</v>
      </c>
      <c r="D3456" s="461">
        <v>522.19000000000005</v>
      </c>
      <c r="E3456" s="461" t="s">
        <v>161</v>
      </c>
      <c r="F3456" s="461" t="s">
        <v>8326</v>
      </c>
    </row>
    <row r="3457" spans="1:6" ht="45" x14ac:dyDescent="0.25">
      <c r="A3457" s="461">
        <v>39503</v>
      </c>
      <c r="B3457" s="460" t="s">
        <v>11529</v>
      </c>
      <c r="C3457" s="461" t="s">
        <v>1104</v>
      </c>
      <c r="D3457" s="461">
        <v>549.59</v>
      </c>
      <c r="E3457" s="461" t="s">
        <v>161</v>
      </c>
      <c r="F3457" s="461" t="s">
        <v>8326</v>
      </c>
    </row>
    <row r="3458" spans="1:6" ht="45" x14ac:dyDescent="0.25">
      <c r="A3458" s="461">
        <v>39505</v>
      </c>
      <c r="B3458" s="460" t="s">
        <v>11530</v>
      </c>
      <c r="C3458" s="461" t="s">
        <v>1104</v>
      </c>
      <c r="D3458" s="461">
        <v>592.26</v>
      </c>
      <c r="E3458" s="461" t="s">
        <v>161</v>
      </c>
      <c r="F3458" s="461" t="s">
        <v>8326</v>
      </c>
    </row>
    <row r="3459" spans="1:6" ht="15" x14ac:dyDescent="0.25">
      <c r="A3459" s="461">
        <v>44471</v>
      </c>
      <c r="B3459" s="460" t="s">
        <v>11531</v>
      </c>
      <c r="C3459" s="461" t="s">
        <v>1104</v>
      </c>
      <c r="D3459" s="461">
        <v>474.74</v>
      </c>
      <c r="E3459" s="461" t="s">
        <v>161</v>
      </c>
      <c r="F3459" s="461" t="s">
        <v>8328</v>
      </c>
    </row>
    <row r="3460" spans="1:6" ht="30" x14ac:dyDescent="0.25">
      <c r="A3460" s="461">
        <v>4944</v>
      </c>
      <c r="B3460" s="460" t="s">
        <v>11532</v>
      </c>
      <c r="C3460" s="461" t="s">
        <v>1106</v>
      </c>
      <c r="D3460" s="461">
        <v>842.32</v>
      </c>
      <c r="E3460" s="461" t="s">
        <v>161</v>
      </c>
      <c r="F3460" s="461" t="s">
        <v>8326</v>
      </c>
    </row>
    <row r="3461" spans="1:6" ht="15" x14ac:dyDescent="0.25">
      <c r="A3461" s="461">
        <v>21102</v>
      </c>
      <c r="B3461" s="460" t="s">
        <v>11533</v>
      </c>
      <c r="C3461" s="461" t="s">
        <v>1104</v>
      </c>
      <c r="D3461" s="461">
        <v>45.03</v>
      </c>
      <c r="E3461" s="461" t="s">
        <v>161</v>
      </c>
      <c r="F3461" s="461" t="s">
        <v>8326</v>
      </c>
    </row>
    <row r="3462" spans="1:6" ht="15" x14ac:dyDescent="0.25">
      <c r="A3462" s="461">
        <v>21101</v>
      </c>
      <c r="B3462" s="460" t="s">
        <v>11534</v>
      </c>
      <c r="C3462" s="461" t="s">
        <v>1104</v>
      </c>
      <c r="D3462" s="461">
        <v>28.91</v>
      </c>
      <c r="E3462" s="461" t="s">
        <v>161</v>
      </c>
      <c r="F3462" s="461" t="s">
        <v>8326</v>
      </c>
    </row>
    <row r="3463" spans="1:6" ht="30" x14ac:dyDescent="0.25">
      <c r="A3463" s="461">
        <v>34713</v>
      </c>
      <c r="B3463" s="460" t="s">
        <v>11535</v>
      </c>
      <c r="C3463" s="461" t="s">
        <v>1106</v>
      </c>
      <c r="D3463" s="461">
        <v>306.14</v>
      </c>
      <c r="E3463" s="461" t="s">
        <v>161</v>
      </c>
      <c r="F3463" s="461" t="s">
        <v>8326</v>
      </c>
    </row>
    <row r="3464" spans="1:6" ht="30" x14ac:dyDescent="0.25">
      <c r="A3464" s="461">
        <v>37563</v>
      </c>
      <c r="B3464" s="460" t="s">
        <v>11536</v>
      </c>
      <c r="C3464" s="461" t="s">
        <v>1106</v>
      </c>
      <c r="D3464" s="461">
        <v>582.86</v>
      </c>
      <c r="E3464" s="461" t="s">
        <v>161</v>
      </c>
      <c r="F3464" s="461" t="s">
        <v>8326</v>
      </c>
    </row>
    <row r="3465" spans="1:6" ht="30" x14ac:dyDescent="0.25">
      <c r="A3465" s="461">
        <v>4948</v>
      </c>
      <c r="B3465" s="460" t="s">
        <v>13314</v>
      </c>
      <c r="C3465" s="461" t="s">
        <v>1106</v>
      </c>
      <c r="D3465" s="461">
        <v>507.1</v>
      </c>
      <c r="E3465" s="461" t="s">
        <v>161</v>
      </c>
      <c r="F3465" s="461" t="s">
        <v>8326</v>
      </c>
    </row>
    <row r="3466" spans="1:6" ht="45" x14ac:dyDescent="0.25">
      <c r="A3466" s="461">
        <v>37561</v>
      </c>
      <c r="B3466" s="460" t="s">
        <v>11537</v>
      </c>
      <c r="C3466" s="461" t="s">
        <v>1106</v>
      </c>
      <c r="D3466" s="461">
        <v>472.95</v>
      </c>
      <c r="E3466" s="461" t="s">
        <v>161</v>
      </c>
      <c r="F3466" s="461" t="s">
        <v>8326</v>
      </c>
    </row>
    <row r="3467" spans="1:6" ht="30" x14ac:dyDescent="0.25">
      <c r="A3467" s="461">
        <v>37562</v>
      </c>
      <c r="B3467" s="460" t="s">
        <v>11538</v>
      </c>
      <c r="C3467" s="461" t="s">
        <v>1106</v>
      </c>
      <c r="D3467" s="461">
        <v>620.09</v>
      </c>
      <c r="E3467" s="461" t="s">
        <v>161</v>
      </c>
      <c r="F3467" s="461" t="s">
        <v>8326</v>
      </c>
    </row>
    <row r="3468" spans="1:6" ht="30" x14ac:dyDescent="0.25">
      <c r="A3468" s="461">
        <v>14164</v>
      </c>
      <c r="B3468" s="460" t="s">
        <v>13315</v>
      </c>
      <c r="C3468" s="461" t="s">
        <v>1104</v>
      </c>
      <c r="D3468" s="461">
        <v>1666.21</v>
      </c>
      <c r="E3468" s="461" t="s">
        <v>161</v>
      </c>
      <c r="F3468" s="461" t="s">
        <v>8328</v>
      </c>
    </row>
    <row r="3469" spans="1:6" ht="30" x14ac:dyDescent="0.25">
      <c r="A3469" s="461">
        <v>14163</v>
      </c>
      <c r="B3469" s="460" t="s">
        <v>13316</v>
      </c>
      <c r="C3469" s="461" t="s">
        <v>1104</v>
      </c>
      <c r="D3469" s="461">
        <v>1893.75</v>
      </c>
      <c r="E3469" s="461" t="s">
        <v>161</v>
      </c>
      <c r="F3469" s="461" t="s">
        <v>8328</v>
      </c>
    </row>
    <row r="3470" spans="1:6" ht="30" x14ac:dyDescent="0.25">
      <c r="A3470" s="461">
        <v>5051</v>
      </c>
      <c r="B3470" s="460" t="s">
        <v>13317</v>
      </c>
      <c r="C3470" s="461" t="s">
        <v>1104</v>
      </c>
      <c r="D3470" s="461">
        <v>1610.61</v>
      </c>
      <c r="E3470" s="461" t="s">
        <v>161</v>
      </c>
      <c r="F3470" s="461" t="s">
        <v>8328</v>
      </c>
    </row>
    <row r="3471" spans="1:6" ht="30" x14ac:dyDescent="0.25">
      <c r="A3471" s="461">
        <v>5052</v>
      </c>
      <c r="B3471" s="460" t="s">
        <v>11539</v>
      </c>
      <c r="C3471" s="461" t="s">
        <v>1104</v>
      </c>
      <c r="D3471" s="461">
        <v>1200</v>
      </c>
      <c r="E3471" s="461" t="s">
        <v>161</v>
      </c>
      <c r="F3471" s="461" t="s">
        <v>8328</v>
      </c>
    </row>
    <row r="3472" spans="1:6" ht="30" x14ac:dyDescent="0.25">
      <c r="A3472" s="461">
        <v>14162</v>
      </c>
      <c r="B3472" s="460" t="s">
        <v>13318</v>
      </c>
      <c r="C3472" s="461" t="s">
        <v>1104</v>
      </c>
      <c r="D3472" s="461">
        <v>1608.27</v>
      </c>
      <c r="E3472" s="461" t="s">
        <v>161</v>
      </c>
      <c r="F3472" s="461" t="s">
        <v>8328</v>
      </c>
    </row>
    <row r="3473" spans="1:6" ht="30" x14ac:dyDescent="0.25">
      <c r="A3473" s="461">
        <v>14166</v>
      </c>
      <c r="B3473" s="460" t="s">
        <v>13319</v>
      </c>
      <c r="C3473" s="461" t="s">
        <v>1104</v>
      </c>
      <c r="D3473" s="461">
        <v>1215.23</v>
      </c>
      <c r="E3473" s="461" t="s">
        <v>161</v>
      </c>
      <c r="F3473" s="461" t="s">
        <v>8328</v>
      </c>
    </row>
    <row r="3474" spans="1:6" ht="30" x14ac:dyDescent="0.25">
      <c r="A3474" s="461">
        <v>14165</v>
      </c>
      <c r="B3474" s="460" t="s">
        <v>13320</v>
      </c>
      <c r="C3474" s="461" t="s">
        <v>1104</v>
      </c>
      <c r="D3474" s="461">
        <v>1683.54</v>
      </c>
      <c r="E3474" s="461" t="s">
        <v>161</v>
      </c>
      <c r="F3474" s="461" t="s">
        <v>8328</v>
      </c>
    </row>
    <row r="3475" spans="1:6" ht="30" x14ac:dyDescent="0.25">
      <c r="A3475" s="461">
        <v>5050</v>
      </c>
      <c r="B3475" s="460" t="s">
        <v>13321</v>
      </c>
      <c r="C3475" s="461" t="s">
        <v>1104</v>
      </c>
      <c r="D3475" s="461">
        <v>414.36</v>
      </c>
      <c r="E3475" s="461" t="s">
        <v>161</v>
      </c>
      <c r="F3475" s="461" t="s">
        <v>8328</v>
      </c>
    </row>
    <row r="3476" spans="1:6" ht="30" x14ac:dyDescent="0.25">
      <c r="A3476" s="461">
        <v>12366</v>
      </c>
      <c r="B3476" s="460" t="s">
        <v>11540</v>
      </c>
      <c r="C3476" s="461" t="s">
        <v>1104</v>
      </c>
      <c r="D3476" s="461">
        <v>1036.1500000000001</v>
      </c>
      <c r="E3476" s="461" t="s">
        <v>161</v>
      </c>
      <c r="F3476" s="461" t="s">
        <v>8328</v>
      </c>
    </row>
    <row r="3477" spans="1:6" ht="30" x14ac:dyDescent="0.25">
      <c r="A3477" s="461">
        <v>5045</v>
      </c>
      <c r="B3477" s="460" t="s">
        <v>11541</v>
      </c>
      <c r="C3477" s="461" t="s">
        <v>1104</v>
      </c>
      <c r="D3477" s="461">
        <v>1431.39</v>
      </c>
      <c r="E3477" s="461" t="s">
        <v>161</v>
      </c>
      <c r="F3477" s="461" t="s">
        <v>8328</v>
      </c>
    </row>
    <row r="3478" spans="1:6" ht="30" x14ac:dyDescent="0.25">
      <c r="A3478" s="461">
        <v>5035</v>
      </c>
      <c r="B3478" s="460" t="s">
        <v>11542</v>
      </c>
      <c r="C3478" s="461" t="s">
        <v>1104</v>
      </c>
      <c r="D3478" s="461">
        <v>1645.75</v>
      </c>
      <c r="E3478" s="461" t="s">
        <v>161</v>
      </c>
      <c r="F3478" s="461" t="s">
        <v>8328</v>
      </c>
    </row>
    <row r="3479" spans="1:6" ht="30" x14ac:dyDescent="0.25">
      <c r="A3479" s="461">
        <v>41180</v>
      </c>
      <c r="B3479" s="460" t="s">
        <v>11543</v>
      </c>
      <c r="C3479" s="461" t="s">
        <v>1104</v>
      </c>
      <c r="D3479" s="461">
        <v>3699.63</v>
      </c>
      <c r="E3479" s="461" t="s">
        <v>161</v>
      </c>
      <c r="F3479" s="461" t="s">
        <v>8328</v>
      </c>
    </row>
    <row r="3480" spans="1:6" ht="30" x14ac:dyDescent="0.25">
      <c r="A3480" s="461">
        <v>41181</v>
      </c>
      <c r="B3480" s="460" t="s">
        <v>11544</v>
      </c>
      <c r="C3480" s="461" t="s">
        <v>1104</v>
      </c>
      <c r="D3480" s="461">
        <v>4898.1899999999996</v>
      </c>
      <c r="E3480" s="461" t="s">
        <v>161</v>
      </c>
      <c r="F3480" s="461" t="s">
        <v>8328</v>
      </c>
    </row>
    <row r="3481" spans="1:6" ht="30" x14ac:dyDescent="0.25">
      <c r="A3481" s="461">
        <v>41182</v>
      </c>
      <c r="B3481" s="460" t="s">
        <v>11545</v>
      </c>
      <c r="C3481" s="461" t="s">
        <v>1104</v>
      </c>
      <c r="D3481" s="461">
        <v>7026.87</v>
      </c>
      <c r="E3481" s="461" t="s">
        <v>161</v>
      </c>
      <c r="F3481" s="461" t="s">
        <v>8328</v>
      </c>
    </row>
    <row r="3482" spans="1:6" ht="30" x14ac:dyDescent="0.25">
      <c r="A3482" s="461">
        <v>41183</v>
      </c>
      <c r="B3482" s="460" t="s">
        <v>11546</v>
      </c>
      <c r="C3482" s="461" t="s">
        <v>1104</v>
      </c>
      <c r="D3482" s="461">
        <v>8773.19</v>
      </c>
      <c r="E3482" s="461" t="s">
        <v>161</v>
      </c>
      <c r="F3482" s="461" t="s">
        <v>8328</v>
      </c>
    </row>
    <row r="3483" spans="1:6" ht="30" x14ac:dyDescent="0.25">
      <c r="A3483" s="461">
        <v>41184</v>
      </c>
      <c r="B3483" s="460" t="s">
        <v>11547</v>
      </c>
      <c r="C3483" s="461" t="s">
        <v>1104</v>
      </c>
      <c r="D3483" s="461">
        <v>13357.71</v>
      </c>
      <c r="E3483" s="461" t="s">
        <v>161</v>
      </c>
      <c r="F3483" s="461" t="s">
        <v>8328</v>
      </c>
    </row>
    <row r="3484" spans="1:6" ht="30" x14ac:dyDescent="0.25">
      <c r="A3484" s="461">
        <v>41185</v>
      </c>
      <c r="B3484" s="460" t="s">
        <v>11548</v>
      </c>
      <c r="C3484" s="461" t="s">
        <v>1104</v>
      </c>
      <c r="D3484" s="461">
        <v>4953.6400000000003</v>
      </c>
      <c r="E3484" s="461" t="s">
        <v>161</v>
      </c>
      <c r="F3484" s="461" t="s">
        <v>8328</v>
      </c>
    </row>
    <row r="3485" spans="1:6" ht="30" x14ac:dyDescent="0.25">
      <c r="A3485" s="461">
        <v>41186</v>
      </c>
      <c r="B3485" s="460" t="s">
        <v>11549</v>
      </c>
      <c r="C3485" s="461" t="s">
        <v>1104</v>
      </c>
      <c r="D3485" s="511">
        <v>6941.95</v>
      </c>
      <c r="E3485" s="461" t="s">
        <v>161</v>
      </c>
      <c r="F3485" s="461" t="s">
        <v>8328</v>
      </c>
    </row>
    <row r="3486" spans="1:6" ht="30" x14ac:dyDescent="0.25">
      <c r="A3486" s="461">
        <v>41187</v>
      </c>
      <c r="B3486" s="460" t="s">
        <v>11550</v>
      </c>
      <c r="C3486" s="461" t="s">
        <v>1104</v>
      </c>
      <c r="D3486" s="511">
        <v>9309.74</v>
      </c>
      <c r="E3486" s="461" t="s">
        <v>161</v>
      </c>
      <c r="F3486" s="461" t="s">
        <v>8328</v>
      </c>
    </row>
    <row r="3487" spans="1:6" ht="30" x14ac:dyDescent="0.25">
      <c r="A3487" s="461">
        <v>41188</v>
      </c>
      <c r="B3487" s="460" t="s">
        <v>11551</v>
      </c>
      <c r="C3487" s="461" t="s">
        <v>1104</v>
      </c>
      <c r="D3487" s="511">
        <v>11905.08</v>
      </c>
      <c r="E3487" s="461" t="s">
        <v>161</v>
      </c>
      <c r="F3487" s="461" t="s">
        <v>8328</v>
      </c>
    </row>
    <row r="3488" spans="1:6" ht="30" x14ac:dyDescent="0.25">
      <c r="A3488" s="461">
        <v>5036</v>
      </c>
      <c r="B3488" s="460" t="s">
        <v>11552</v>
      </c>
      <c r="C3488" s="461" t="s">
        <v>1104</v>
      </c>
      <c r="D3488" s="511">
        <v>2524.88</v>
      </c>
      <c r="E3488" s="461" t="s">
        <v>161</v>
      </c>
      <c r="F3488" s="461" t="s">
        <v>8328</v>
      </c>
    </row>
    <row r="3489" spans="1:6" ht="30" x14ac:dyDescent="0.25">
      <c r="A3489" s="461">
        <v>41189</v>
      </c>
      <c r="B3489" s="460" t="s">
        <v>11553</v>
      </c>
      <c r="C3489" s="461" t="s">
        <v>1104</v>
      </c>
      <c r="D3489" s="511">
        <v>15305.22</v>
      </c>
      <c r="E3489" s="461" t="s">
        <v>161</v>
      </c>
      <c r="F3489" s="461" t="s">
        <v>8328</v>
      </c>
    </row>
    <row r="3490" spans="1:6" ht="30" x14ac:dyDescent="0.25">
      <c r="A3490" s="461">
        <v>41190</v>
      </c>
      <c r="B3490" s="460" t="s">
        <v>11554</v>
      </c>
      <c r="C3490" s="461" t="s">
        <v>1104</v>
      </c>
      <c r="D3490" s="511">
        <v>5322.62</v>
      </c>
      <c r="E3490" s="461" t="s">
        <v>161</v>
      </c>
      <c r="F3490" s="461" t="s">
        <v>8328</v>
      </c>
    </row>
    <row r="3491" spans="1:6" ht="30" x14ac:dyDescent="0.25">
      <c r="A3491" s="461">
        <v>41191</v>
      </c>
      <c r="B3491" s="460" t="s">
        <v>11555</v>
      </c>
      <c r="C3491" s="461" t="s">
        <v>1104</v>
      </c>
      <c r="D3491" s="511">
        <v>8162.04</v>
      </c>
      <c r="E3491" s="461" t="s">
        <v>161</v>
      </c>
      <c r="F3491" s="461" t="s">
        <v>8328</v>
      </c>
    </row>
    <row r="3492" spans="1:6" ht="30" x14ac:dyDescent="0.25">
      <c r="A3492" s="461">
        <v>41192</v>
      </c>
      <c r="B3492" s="460" t="s">
        <v>11556</v>
      </c>
      <c r="C3492" s="461" t="s">
        <v>1104</v>
      </c>
      <c r="D3492" s="461">
        <v>8508.86</v>
      </c>
      <c r="E3492" s="461" t="s">
        <v>161</v>
      </c>
      <c r="F3492" s="461" t="s">
        <v>8328</v>
      </c>
    </row>
    <row r="3493" spans="1:6" ht="30" x14ac:dyDescent="0.25">
      <c r="A3493" s="461">
        <v>41193</v>
      </c>
      <c r="B3493" s="460" t="s">
        <v>11557</v>
      </c>
      <c r="C3493" s="461" t="s">
        <v>1104</v>
      </c>
      <c r="D3493" s="511">
        <v>13903.2</v>
      </c>
      <c r="E3493" s="461" t="s">
        <v>161</v>
      </c>
      <c r="F3493" s="461" t="s">
        <v>8328</v>
      </c>
    </row>
    <row r="3494" spans="1:6" ht="30" x14ac:dyDescent="0.25">
      <c r="A3494" s="461">
        <v>41194</v>
      </c>
      <c r="B3494" s="460" t="s">
        <v>11558</v>
      </c>
      <c r="C3494" s="461" t="s">
        <v>1104</v>
      </c>
      <c r="D3494" s="511">
        <v>16589.669999999998</v>
      </c>
      <c r="E3494" s="461" t="s">
        <v>161</v>
      </c>
      <c r="F3494" s="461" t="s">
        <v>8328</v>
      </c>
    </row>
    <row r="3495" spans="1:6" ht="30" x14ac:dyDescent="0.25">
      <c r="A3495" s="461">
        <v>5044</v>
      </c>
      <c r="B3495" s="460" t="s">
        <v>11559</v>
      </c>
      <c r="C3495" s="461" t="s">
        <v>1104</v>
      </c>
      <c r="D3495" s="511">
        <v>892.69</v>
      </c>
      <c r="E3495" s="461" t="s">
        <v>161</v>
      </c>
      <c r="F3495" s="461" t="s">
        <v>8328</v>
      </c>
    </row>
    <row r="3496" spans="1:6" ht="30" x14ac:dyDescent="0.25">
      <c r="A3496" s="461">
        <v>5059</v>
      </c>
      <c r="B3496" s="460" t="s">
        <v>11560</v>
      </c>
      <c r="C3496" s="461" t="s">
        <v>1104</v>
      </c>
      <c r="D3496" s="511">
        <v>1067.55</v>
      </c>
      <c r="E3496" s="461" t="s">
        <v>161</v>
      </c>
      <c r="F3496" s="461" t="s">
        <v>8328</v>
      </c>
    </row>
    <row r="3497" spans="1:6" ht="30" x14ac:dyDescent="0.25">
      <c r="A3497" s="461">
        <v>41201</v>
      </c>
      <c r="B3497" s="460" t="s">
        <v>11561</v>
      </c>
      <c r="C3497" s="461" t="s">
        <v>1104</v>
      </c>
      <c r="D3497" s="511">
        <v>2166.5100000000002</v>
      </c>
      <c r="E3497" s="461" t="s">
        <v>161</v>
      </c>
      <c r="F3497" s="461" t="s">
        <v>8328</v>
      </c>
    </row>
    <row r="3498" spans="1:6" ht="30" x14ac:dyDescent="0.25">
      <c r="A3498" s="461">
        <v>41199</v>
      </c>
      <c r="B3498" s="460" t="s">
        <v>11562</v>
      </c>
      <c r="C3498" s="461" t="s">
        <v>1104</v>
      </c>
      <c r="D3498" s="511">
        <v>696.18</v>
      </c>
      <c r="E3498" s="461" t="s">
        <v>161</v>
      </c>
      <c r="F3498" s="461" t="s">
        <v>8328</v>
      </c>
    </row>
    <row r="3499" spans="1:6" ht="30" x14ac:dyDescent="0.25">
      <c r="A3499" s="461">
        <v>5057</v>
      </c>
      <c r="B3499" s="460" t="s">
        <v>11563</v>
      </c>
      <c r="C3499" s="461" t="s">
        <v>1104</v>
      </c>
      <c r="D3499" s="511">
        <v>942.5</v>
      </c>
      <c r="E3499" s="461" t="s">
        <v>161</v>
      </c>
      <c r="F3499" s="461" t="s">
        <v>8328</v>
      </c>
    </row>
    <row r="3500" spans="1:6" ht="30" x14ac:dyDescent="0.25">
      <c r="A3500" s="461">
        <v>41200</v>
      </c>
      <c r="B3500" s="460" t="s">
        <v>11564</v>
      </c>
      <c r="C3500" s="461" t="s">
        <v>1104</v>
      </c>
      <c r="D3500" s="511">
        <v>1355.01</v>
      </c>
      <c r="E3500" s="461" t="s">
        <v>161</v>
      </c>
      <c r="F3500" s="461" t="s">
        <v>8328</v>
      </c>
    </row>
    <row r="3501" spans="1:6" ht="30" x14ac:dyDescent="0.25">
      <c r="A3501" s="461">
        <v>41205</v>
      </c>
      <c r="B3501" s="460" t="s">
        <v>11565</v>
      </c>
      <c r="C3501" s="461" t="s">
        <v>1104</v>
      </c>
      <c r="D3501" s="511">
        <v>2510.81</v>
      </c>
      <c r="E3501" s="461" t="s">
        <v>161</v>
      </c>
      <c r="F3501" s="461" t="s">
        <v>8328</v>
      </c>
    </row>
    <row r="3502" spans="1:6" ht="30" x14ac:dyDescent="0.25">
      <c r="A3502" s="461">
        <v>41202</v>
      </c>
      <c r="B3502" s="460" t="s">
        <v>11566</v>
      </c>
      <c r="C3502" s="461" t="s">
        <v>1104</v>
      </c>
      <c r="D3502" s="511">
        <v>732.67</v>
      </c>
      <c r="E3502" s="461" t="s">
        <v>161</v>
      </c>
      <c r="F3502" s="461" t="s">
        <v>8328</v>
      </c>
    </row>
    <row r="3503" spans="1:6" ht="30" x14ac:dyDescent="0.25">
      <c r="A3503" s="461">
        <v>41206</v>
      </c>
      <c r="B3503" s="460" t="s">
        <v>11567</v>
      </c>
      <c r="C3503" s="461" t="s">
        <v>1104</v>
      </c>
      <c r="D3503" s="511">
        <v>3310.39</v>
      </c>
      <c r="E3503" s="461" t="s">
        <v>161</v>
      </c>
      <c r="F3503" s="461" t="s">
        <v>8328</v>
      </c>
    </row>
    <row r="3504" spans="1:6" ht="30" x14ac:dyDescent="0.25">
      <c r="A3504" s="461">
        <v>12372</v>
      </c>
      <c r="B3504" s="460" t="s">
        <v>11568</v>
      </c>
      <c r="C3504" s="461" t="s">
        <v>1104</v>
      </c>
      <c r="D3504" s="511">
        <v>769.31</v>
      </c>
      <c r="E3504" s="461" t="s">
        <v>161</v>
      </c>
      <c r="F3504" s="461" t="s">
        <v>8328</v>
      </c>
    </row>
    <row r="3505" spans="1:6" ht="30" x14ac:dyDescent="0.25">
      <c r="A3505" s="461">
        <v>41207</v>
      </c>
      <c r="B3505" s="460" t="s">
        <v>11569</v>
      </c>
      <c r="C3505" s="461" t="s">
        <v>1104</v>
      </c>
      <c r="D3505" s="511">
        <v>4456.45</v>
      </c>
      <c r="E3505" s="461" t="s">
        <v>161</v>
      </c>
      <c r="F3505" s="461" t="s">
        <v>8328</v>
      </c>
    </row>
    <row r="3506" spans="1:6" ht="30" x14ac:dyDescent="0.25">
      <c r="A3506" s="461">
        <v>41203</v>
      </c>
      <c r="B3506" s="460" t="s">
        <v>11570</v>
      </c>
      <c r="C3506" s="461" t="s">
        <v>1104</v>
      </c>
      <c r="D3506" s="511">
        <v>1173.6600000000001</v>
      </c>
      <c r="E3506" s="461" t="s">
        <v>161</v>
      </c>
      <c r="F3506" s="461" t="s">
        <v>8328</v>
      </c>
    </row>
    <row r="3507" spans="1:6" ht="30" x14ac:dyDescent="0.25">
      <c r="A3507" s="461">
        <v>41204</v>
      </c>
      <c r="B3507" s="460" t="s">
        <v>11571</v>
      </c>
      <c r="C3507" s="461" t="s">
        <v>1104</v>
      </c>
      <c r="D3507" s="511">
        <v>1659.25</v>
      </c>
      <c r="E3507" s="461" t="s">
        <v>161</v>
      </c>
      <c r="F3507" s="461" t="s">
        <v>8328</v>
      </c>
    </row>
    <row r="3508" spans="1:6" ht="30" x14ac:dyDescent="0.25">
      <c r="A3508" s="461">
        <v>41210</v>
      </c>
      <c r="B3508" s="460" t="s">
        <v>11572</v>
      </c>
      <c r="C3508" s="461" t="s">
        <v>1104</v>
      </c>
      <c r="D3508" s="511">
        <v>2771.74</v>
      </c>
      <c r="E3508" s="461" t="s">
        <v>161</v>
      </c>
      <c r="F3508" s="461" t="s">
        <v>8328</v>
      </c>
    </row>
    <row r="3509" spans="1:6" ht="30" x14ac:dyDescent="0.25">
      <c r="A3509" s="461">
        <v>41208</v>
      </c>
      <c r="B3509" s="460" t="s">
        <v>11573</v>
      </c>
      <c r="C3509" s="461" t="s">
        <v>1104</v>
      </c>
      <c r="D3509" s="511">
        <v>970.27</v>
      </c>
      <c r="E3509" s="461" t="s">
        <v>161</v>
      </c>
      <c r="F3509" s="461" t="s">
        <v>8328</v>
      </c>
    </row>
    <row r="3510" spans="1:6" ht="30" x14ac:dyDescent="0.25">
      <c r="A3510" s="461">
        <v>41211</v>
      </c>
      <c r="B3510" s="460" t="s">
        <v>11574</v>
      </c>
      <c r="C3510" s="461" t="s">
        <v>1104</v>
      </c>
      <c r="D3510" s="511">
        <v>3905.35</v>
      </c>
      <c r="E3510" s="461" t="s">
        <v>161</v>
      </c>
      <c r="F3510" s="461" t="s">
        <v>8328</v>
      </c>
    </row>
    <row r="3511" spans="1:6" ht="30" x14ac:dyDescent="0.25">
      <c r="A3511" s="461">
        <v>13339</v>
      </c>
      <c r="B3511" s="460" t="s">
        <v>11575</v>
      </c>
      <c r="C3511" s="461" t="s">
        <v>1104</v>
      </c>
      <c r="D3511" s="511">
        <v>1314.95</v>
      </c>
      <c r="E3511" s="461" t="s">
        <v>161</v>
      </c>
      <c r="F3511" s="461" t="s">
        <v>8328</v>
      </c>
    </row>
    <row r="3512" spans="1:6" ht="30" x14ac:dyDescent="0.25">
      <c r="A3512" s="461">
        <v>41213</v>
      </c>
      <c r="B3512" s="460" t="s">
        <v>11576</v>
      </c>
      <c r="C3512" s="461" t="s">
        <v>1104</v>
      </c>
      <c r="D3512" s="461">
        <v>8094.83</v>
      </c>
      <c r="E3512" s="461" t="s">
        <v>161</v>
      </c>
      <c r="F3512" s="461" t="s">
        <v>8328</v>
      </c>
    </row>
    <row r="3513" spans="1:6" ht="30" x14ac:dyDescent="0.25">
      <c r="A3513" s="461">
        <v>41209</v>
      </c>
      <c r="B3513" s="460" t="s">
        <v>11577</v>
      </c>
      <c r="C3513" s="461" t="s">
        <v>1104</v>
      </c>
      <c r="D3513" s="511">
        <v>1809.21</v>
      </c>
      <c r="E3513" s="461" t="s">
        <v>161</v>
      </c>
      <c r="F3513" s="461" t="s">
        <v>8328</v>
      </c>
    </row>
    <row r="3514" spans="1:6" ht="30" x14ac:dyDescent="0.25">
      <c r="A3514" s="461">
        <v>41216</v>
      </c>
      <c r="B3514" s="460" t="s">
        <v>11578</v>
      </c>
      <c r="C3514" s="461" t="s">
        <v>1104</v>
      </c>
      <c r="D3514" s="511">
        <v>3388.89</v>
      </c>
      <c r="E3514" s="461" t="s">
        <v>161</v>
      </c>
      <c r="F3514" s="461" t="s">
        <v>8328</v>
      </c>
    </row>
    <row r="3515" spans="1:6" ht="30" x14ac:dyDescent="0.25">
      <c r="A3515" s="461">
        <v>41217</v>
      </c>
      <c r="B3515" s="460" t="s">
        <v>11579</v>
      </c>
      <c r="C3515" s="461" t="s">
        <v>1104</v>
      </c>
      <c r="D3515" s="461">
        <v>5433.6</v>
      </c>
      <c r="E3515" s="461" t="s">
        <v>161</v>
      </c>
      <c r="F3515" s="461" t="s">
        <v>8328</v>
      </c>
    </row>
    <row r="3516" spans="1:6" ht="30" x14ac:dyDescent="0.25">
      <c r="A3516" s="461">
        <v>41218</v>
      </c>
      <c r="B3516" s="460" t="s">
        <v>11580</v>
      </c>
      <c r="C3516" s="461" t="s">
        <v>1104</v>
      </c>
      <c r="D3516" s="461">
        <v>7286.62</v>
      </c>
      <c r="E3516" s="461" t="s">
        <v>161</v>
      </c>
      <c r="F3516" s="461" t="s">
        <v>8328</v>
      </c>
    </row>
    <row r="3517" spans="1:6" ht="30" x14ac:dyDescent="0.25">
      <c r="A3517" s="461">
        <v>41214</v>
      </c>
      <c r="B3517" s="460" t="s">
        <v>11581</v>
      </c>
      <c r="C3517" s="461" t="s">
        <v>1104</v>
      </c>
      <c r="D3517" s="511">
        <v>1536.37</v>
      </c>
      <c r="E3517" s="461" t="s">
        <v>161</v>
      </c>
      <c r="F3517" s="461" t="s">
        <v>8328</v>
      </c>
    </row>
    <row r="3518" spans="1:6" ht="30" x14ac:dyDescent="0.25">
      <c r="A3518" s="461">
        <v>41215</v>
      </c>
      <c r="B3518" s="460" t="s">
        <v>11582</v>
      </c>
      <c r="C3518" s="461" t="s">
        <v>1104</v>
      </c>
      <c r="D3518" s="511">
        <v>2313.21</v>
      </c>
      <c r="E3518" s="461" t="s">
        <v>161</v>
      </c>
      <c r="F3518" s="461" t="s">
        <v>8328</v>
      </c>
    </row>
    <row r="3519" spans="1:6" ht="30" x14ac:dyDescent="0.25">
      <c r="A3519" s="461">
        <v>41221</v>
      </c>
      <c r="B3519" s="460" t="s">
        <v>11583</v>
      </c>
      <c r="C3519" s="461" t="s">
        <v>1104</v>
      </c>
      <c r="D3519" s="461">
        <v>6697.95</v>
      </c>
      <c r="E3519" s="461" t="s">
        <v>161</v>
      </c>
      <c r="F3519" s="461" t="s">
        <v>8328</v>
      </c>
    </row>
    <row r="3520" spans="1:6" ht="30" x14ac:dyDescent="0.25">
      <c r="A3520" s="461">
        <v>41222</v>
      </c>
      <c r="B3520" s="460" t="s">
        <v>11584</v>
      </c>
      <c r="C3520" s="461" t="s">
        <v>1104</v>
      </c>
      <c r="D3520" s="511">
        <v>9584.84</v>
      </c>
      <c r="E3520" s="461" t="s">
        <v>161</v>
      </c>
      <c r="F3520" s="461" t="s">
        <v>8328</v>
      </c>
    </row>
    <row r="3521" spans="1:6" ht="30" x14ac:dyDescent="0.25">
      <c r="A3521" s="461">
        <v>41195</v>
      </c>
      <c r="B3521" s="460" t="s">
        <v>11585</v>
      </c>
      <c r="C3521" s="461" t="s">
        <v>1104</v>
      </c>
      <c r="D3521" s="461">
        <v>492.63</v>
      </c>
      <c r="E3521" s="461" t="s">
        <v>161</v>
      </c>
      <c r="F3521" s="461" t="s">
        <v>8328</v>
      </c>
    </row>
    <row r="3522" spans="1:6" ht="30" x14ac:dyDescent="0.25">
      <c r="A3522" s="461">
        <v>41198</v>
      </c>
      <c r="B3522" s="460" t="s">
        <v>11586</v>
      </c>
      <c r="C3522" s="461" t="s">
        <v>1104</v>
      </c>
      <c r="D3522" s="511">
        <v>1925.09</v>
      </c>
      <c r="E3522" s="461" t="s">
        <v>161</v>
      </c>
      <c r="F3522" s="461" t="s">
        <v>8328</v>
      </c>
    </row>
    <row r="3523" spans="1:6" ht="30" x14ac:dyDescent="0.25">
      <c r="A3523" s="461">
        <v>41196</v>
      </c>
      <c r="B3523" s="460" t="s">
        <v>11587</v>
      </c>
      <c r="C3523" s="461" t="s">
        <v>1104</v>
      </c>
      <c r="D3523" s="511">
        <v>610.65</v>
      </c>
      <c r="E3523" s="461" t="s">
        <v>161</v>
      </c>
      <c r="F3523" s="461" t="s">
        <v>8328</v>
      </c>
    </row>
    <row r="3524" spans="1:6" ht="30" x14ac:dyDescent="0.25">
      <c r="A3524" s="461">
        <v>5033</v>
      </c>
      <c r="B3524" s="460" t="s">
        <v>11588</v>
      </c>
      <c r="C3524" s="461" t="s">
        <v>1104</v>
      </c>
      <c r="D3524" s="511">
        <v>801.75</v>
      </c>
      <c r="E3524" s="461" t="s">
        <v>161</v>
      </c>
      <c r="F3524" s="461" t="s">
        <v>8328</v>
      </c>
    </row>
    <row r="3525" spans="1:6" ht="30" x14ac:dyDescent="0.25">
      <c r="A3525" s="461">
        <v>41197</v>
      </c>
      <c r="B3525" s="460" t="s">
        <v>11589</v>
      </c>
      <c r="C3525" s="461" t="s">
        <v>1104</v>
      </c>
      <c r="D3525" s="511">
        <v>1190.8900000000001</v>
      </c>
      <c r="E3525" s="461" t="s">
        <v>161</v>
      </c>
      <c r="F3525" s="461" t="s">
        <v>8328</v>
      </c>
    </row>
    <row r="3526" spans="1:6" ht="15" x14ac:dyDescent="0.25">
      <c r="A3526" s="461">
        <v>12388</v>
      </c>
      <c r="B3526" s="460" t="s">
        <v>11590</v>
      </c>
      <c r="C3526" s="461" t="s">
        <v>1104</v>
      </c>
      <c r="D3526" s="461">
        <v>245.27</v>
      </c>
      <c r="E3526" s="461" t="s">
        <v>161</v>
      </c>
      <c r="F3526" s="461" t="s">
        <v>8328</v>
      </c>
    </row>
    <row r="3527" spans="1:6" ht="30" x14ac:dyDescent="0.25">
      <c r="A3527" s="461">
        <v>2731</v>
      </c>
      <c r="B3527" s="460" t="s">
        <v>11591</v>
      </c>
      <c r="C3527" s="461" t="s">
        <v>1107</v>
      </c>
      <c r="D3527" s="511">
        <v>107.5</v>
      </c>
      <c r="E3527" s="461" t="s">
        <v>161</v>
      </c>
      <c r="F3527" s="461" t="s">
        <v>8326</v>
      </c>
    </row>
    <row r="3528" spans="1:6" ht="30" x14ac:dyDescent="0.25">
      <c r="A3528" s="461">
        <v>41457</v>
      </c>
      <c r="B3528" s="460" t="s">
        <v>11592</v>
      </c>
      <c r="C3528" s="461" t="s">
        <v>1104</v>
      </c>
      <c r="D3528" s="511">
        <v>1249.97</v>
      </c>
      <c r="E3528" s="461" t="s">
        <v>161</v>
      </c>
      <c r="F3528" s="461" t="s">
        <v>8326</v>
      </c>
    </row>
    <row r="3529" spans="1:6" ht="30" x14ac:dyDescent="0.25">
      <c r="A3529" s="461">
        <v>41458</v>
      </c>
      <c r="B3529" s="460" t="s">
        <v>11593</v>
      </c>
      <c r="C3529" s="461" t="s">
        <v>1104</v>
      </c>
      <c r="D3529" s="511">
        <v>1745.03</v>
      </c>
      <c r="E3529" s="461" t="s">
        <v>161</v>
      </c>
      <c r="F3529" s="461" t="s">
        <v>8326</v>
      </c>
    </row>
    <row r="3530" spans="1:6" ht="30" x14ac:dyDescent="0.25">
      <c r="A3530" s="461">
        <v>41459</v>
      </c>
      <c r="B3530" s="460" t="s">
        <v>11594</v>
      </c>
      <c r="C3530" s="461" t="s">
        <v>1104</v>
      </c>
      <c r="D3530" s="511">
        <v>2434.1799999999998</v>
      </c>
      <c r="E3530" s="461" t="s">
        <v>161</v>
      </c>
      <c r="F3530" s="461" t="s">
        <v>8326</v>
      </c>
    </row>
    <row r="3531" spans="1:6" ht="30" x14ac:dyDescent="0.25">
      <c r="A3531" s="461">
        <v>41461</v>
      </c>
      <c r="B3531" s="460" t="s">
        <v>11595</v>
      </c>
      <c r="C3531" s="461" t="s">
        <v>1104</v>
      </c>
      <c r="D3531" s="511">
        <v>3318.88</v>
      </c>
      <c r="E3531" s="461" t="s">
        <v>161</v>
      </c>
      <c r="F3531" s="461" t="s">
        <v>8326</v>
      </c>
    </row>
    <row r="3532" spans="1:6" ht="15" x14ac:dyDescent="0.25">
      <c r="A3532" s="461">
        <v>44537</v>
      </c>
      <c r="B3532" s="460" t="s">
        <v>11596</v>
      </c>
      <c r="C3532" s="461" t="s">
        <v>1114</v>
      </c>
      <c r="D3532" s="511">
        <v>390.1</v>
      </c>
      <c r="E3532" s="461" t="s">
        <v>161</v>
      </c>
      <c r="F3532" s="461" t="s">
        <v>8326</v>
      </c>
    </row>
    <row r="3533" spans="1:6" ht="30" x14ac:dyDescent="0.25">
      <c r="A3533" s="461">
        <v>11844</v>
      </c>
      <c r="B3533" s="460" t="s">
        <v>11597</v>
      </c>
      <c r="C3533" s="461" t="s">
        <v>1107</v>
      </c>
      <c r="D3533" s="511">
        <v>57.55</v>
      </c>
      <c r="E3533" s="461" t="s">
        <v>161</v>
      </c>
      <c r="F3533" s="461" t="s">
        <v>8326</v>
      </c>
    </row>
    <row r="3534" spans="1:6" ht="30" x14ac:dyDescent="0.25">
      <c r="A3534" s="461">
        <v>4465</v>
      </c>
      <c r="B3534" s="460" t="s">
        <v>11598</v>
      </c>
      <c r="C3534" s="461" t="s">
        <v>1107</v>
      </c>
      <c r="D3534" s="511">
        <v>47.83</v>
      </c>
      <c r="E3534" s="461" t="s">
        <v>161</v>
      </c>
      <c r="F3534" s="461" t="s">
        <v>8326</v>
      </c>
    </row>
    <row r="3535" spans="1:6" ht="30" x14ac:dyDescent="0.25">
      <c r="A3535" s="461">
        <v>35273</v>
      </c>
      <c r="B3535" s="460" t="s">
        <v>11599</v>
      </c>
      <c r="C3535" s="461" t="s">
        <v>1107</v>
      </c>
      <c r="D3535" s="511">
        <v>57.36</v>
      </c>
      <c r="E3535" s="461" t="s">
        <v>161</v>
      </c>
      <c r="F3535" s="461" t="s">
        <v>8326</v>
      </c>
    </row>
    <row r="3536" spans="1:6" ht="30" x14ac:dyDescent="0.25">
      <c r="A3536" s="461">
        <v>4470</v>
      </c>
      <c r="B3536" s="460" t="s">
        <v>11600</v>
      </c>
      <c r="C3536" s="461" t="s">
        <v>1107</v>
      </c>
      <c r="D3536" s="511">
        <v>132.37</v>
      </c>
      <c r="E3536" s="461" t="s">
        <v>161</v>
      </c>
      <c r="F3536" s="461" t="s">
        <v>8326</v>
      </c>
    </row>
    <row r="3537" spans="1:6" ht="30" x14ac:dyDescent="0.25">
      <c r="A3537" s="461">
        <v>20204</v>
      </c>
      <c r="B3537" s="460" t="s">
        <v>11601</v>
      </c>
      <c r="C3537" s="461" t="s">
        <v>1107</v>
      </c>
      <c r="D3537" s="511">
        <v>88.25</v>
      </c>
      <c r="E3537" s="461" t="s">
        <v>161</v>
      </c>
      <c r="F3537" s="461" t="s">
        <v>8326</v>
      </c>
    </row>
    <row r="3538" spans="1:6" ht="30" x14ac:dyDescent="0.25">
      <c r="A3538" s="461">
        <v>20208</v>
      </c>
      <c r="B3538" s="460" t="s">
        <v>11602</v>
      </c>
      <c r="C3538" s="461" t="s">
        <v>1107</v>
      </c>
      <c r="D3538" s="461">
        <v>119.13</v>
      </c>
      <c r="E3538" s="461" t="s">
        <v>161</v>
      </c>
      <c r="F3538" s="461" t="s">
        <v>8326</v>
      </c>
    </row>
    <row r="3539" spans="1:6" ht="30" x14ac:dyDescent="0.25">
      <c r="A3539" s="461">
        <v>4437</v>
      </c>
      <c r="B3539" s="460" t="s">
        <v>11603</v>
      </c>
      <c r="C3539" s="461" t="s">
        <v>1107</v>
      </c>
      <c r="D3539" s="511">
        <v>99.28</v>
      </c>
      <c r="E3539" s="461" t="s">
        <v>161</v>
      </c>
      <c r="F3539" s="461" t="s">
        <v>8326</v>
      </c>
    </row>
    <row r="3540" spans="1:6" ht="30" x14ac:dyDescent="0.25">
      <c r="A3540" s="461">
        <v>14580</v>
      </c>
      <c r="B3540" s="460" t="s">
        <v>11604</v>
      </c>
      <c r="C3540" s="461" t="s">
        <v>1107</v>
      </c>
      <c r="D3540" s="461">
        <v>99.28</v>
      </c>
      <c r="E3540" s="461" t="s">
        <v>161</v>
      </c>
      <c r="F3540" s="461" t="s">
        <v>8326</v>
      </c>
    </row>
    <row r="3541" spans="1:6" ht="15" x14ac:dyDescent="0.25">
      <c r="A3541" s="461">
        <v>40304</v>
      </c>
      <c r="B3541" s="460" t="s">
        <v>11605</v>
      </c>
      <c r="C3541" s="461" t="s">
        <v>1108</v>
      </c>
      <c r="D3541" s="461">
        <v>23.35</v>
      </c>
      <c r="E3541" s="461" t="s">
        <v>161</v>
      </c>
      <c r="F3541" s="461" t="s">
        <v>8326</v>
      </c>
    </row>
    <row r="3542" spans="1:6" ht="15" x14ac:dyDescent="0.25">
      <c r="A3542" s="461">
        <v>5065</v>
      </c>
      <c r="B3542" s="460" t="s">
        <v>11606</v>
      </c>
      <c r="C3542" s="461" t="s">
        <v>1108</v>
      </c>
      <c r="D3542" s="511">
        <v>35.99</v>
      </c>
      <c r="E3542" s="461" t="s">
        <v>161</v>
      </c>
      <c r="F3542" s="461" t="s">
        <v>8326</v>
      </c>
    </row>
    <row r="3543" spans="1:6" ht="15" x14ac:dyDescent="0.25">
      <c r="A3543" s="461">
        <v>5072</v>
      </c>
      <c r="B3543" s="460" t="s">
        <v>11607</v>
      </c>
      <c r="C3543" s="461" t="s">
        <v>1108</v>
      </c>
      <c r="D3543" s="461">
        <v>33.29</v>
      </c>
      <c r="E3543" s="461" t="s">
        <v>161</v>
      </c>
      <c r="F3543" s="461" t="s">
        <v>8326</v>
      </c>
    </row>
    <row r="3544" spans="1:6" ht="15" x14ac:dyDescent="0.25">
      <c r="A3544" s="461">
        <v>5066</v>
      </c>
      <c r="B3544" s="460" t="s">
        <v>11608</v>
      </c>
      <c r="C3544" s="461" t="s">
        <v>1108</v>
      </c>
      <c r="D3544" s="461">
        <v>24.93</v>
      </c>
      <c r="E3544" s="461" t="s">
        <v>161</v>
      </c>
      <c r="F3544" s="461" t="s">
        <v>8326</v>
      </c>
    </row>
    <row r="3545" spans="1:6" ht="15" x14ac:dyDescent="0.25">
      <c r="A3545" s="461">
        <v>5063</v>
      </c>
      <c r="B3545" s="460" t="s">
        <v>11609</v>
      </c>
      <c r="C3545" s="461" t="s">
        <v>1108</v>
      </c>
      <c r="D3545" s="511">
        <v>22.58</v>
      </c>
      <c r="E3545" s="461" t="s">
        <v>161</v>
      </c>
      <c r="F3545" s="461" t="s">
        <v>8326</v>
      </c>
    </row>
    <row r="3546" spans="1:6" ht="15" x14ac:dyDescent="0.25">
      <c r="A3546" s="461">
        <v>20247</v>
      </c>
      <c r="B3546" s="460" t="s">
        <v>11610</v>
      </c>
      <c r="C3546" s="461" t="s">
        <v>1108</v>
      </c>
      <c r="D3546" s="511">
        <v>20.95</v>
      </c>
      <c r="E3546" s="461" t="s">
        <v>161</v>
      </c>
      <c r="F3546" s="461" t="s">
        <v>8326</v>
      </c>
    </row>
    <row r="3547" spans="1:6" ht="15" x14ac:dyDescent="0.25">
      <c r="A3547" s="461">
        <v>5074</v>
      </c>
      <c r="B3547" s="460" t="s">
        <v>11611</v>
      </c>
      <c r="C3547" s="461" t="s">
        <v>1108</v>
      </c>
      <c r="D3547" s="511">
        <v>21.2</v>
      </c>
      <c r="E3547" s="461" t="s">
        <v>161</v>
      </c>
      <c r="F3547" s="461" t="s">
        <v>8326</v>
      </c>
    </row>
    <row r="3548" spans="1:6" ht="15" x14ac:dyDescent="0.25">
      <c r="A3548" s="461">
        <v>5067</v>
      </c>
      <c r="B3548" s="460" t="s">
        <v>11612</v>
      </c>
      <c r="C3548" s="461" t="s">
        <v>1108</v>
      </c>
      <c r="D3548" s="511">
        <v>20.16</v>
      </c>
      <c r="E3548" s="461" t="s">
        <v>161</v>
      </c>
      <c r="F3548" s="461" t="s">
        <v>8326</v>
      </c>
    </row>
    <row r="3549" spans="1:6" ht="15" x14ac:dyDescent="0.25">
      <c r="A3549" s="461">
        <v>5078</v>
      </c>
      <c r="B3549" s="460" t="s">
        <v>11613</v>
      </c>
      <c r="C3549" s="461" t="s">
        <v>1108</v>
      </c>
      <c r="D3549" s="461">
        <v>19.93</v>
      </c>
      <c r="E3549" s="461" t="s">
        <v>161</v>
      </c>
      <c r="F3549" s="461" t="s">
        <v>8326</v>
      </c>
    </row>
    <row r="3550" spans="1:6" ht="15" x14ac:dyDescent="0.25">
      <c r="A3550" s="461">
        <v>5068</v>
      </c>
      <c r="B3550" s="460" t="s">
        <v>11614</v>
      </c>
      <c r="C3550" s="461" t="s">
        <v>1108</v>
      </c>
      <c r="D3550" s="461">
        <v>18.920000000000002</v>
      </c>
      <c r="E3550" s="461" t="s">
        <v>161</v>
      </c>
      <c r="F3550" s="461" t="s">
        <v>8326</v>
      </c>
    </row>
    <row r="3551" spans="1:6" ht="15" x14ac:dyDescent="0.25">
      <c r="A3551" s="461">
        <v>5073</v>
      </c>
      <c r="B3551" s="460" t="s">
        <v>11615</v>
      </c>
      <c r="C3551" s="461" t="s">
        <v>1108</v>
      </c>
      <c r="D3551" s="461">
        <v>19.28</v>
      </c>
      <c r="E3551" s="461" t="s">
        <v>161</v>
      </c>
      <c r="F3551" s="461" t="s">
        <v>8326</v>
      </c>
    </row>
    <row r="3552" spans="1:6" ht="15" x14ac:dyDescent="0.25">
      <c r="A3552" s="461">
        <v>5069</v>
      </c>
      <c r="B3552" s="460" t="s">
        <v>11616</v>
      </c>
      <c r="C3552" s="461" t="s">
        <v>1108</v>
      </c>
      <c r="D3552" s="461">
        <v>19.28</v>
      </c>
      <c r="E3552" s="461" t="s">
        <v>161</v>
      </c>
      <c r="F3552" s="461" t="s">
        <v>8326</v>
      </c>
    </row>
    <row r="3553" spans="1:6" ht="15" x14ac:dyDescent="0.25">
      <c r="A3553" s="461">
        <v>5070</v>
      </c>
      <c r="B3553" s="460" t="s">
        <v>11617</v>
      </c>
      <c r="C3553" s="461" t="s">
        <v>1108</v>
      </c>
      <c r="D3553" s="461">
        <v>19.489999999999998</v>
      </c>
      <c r="E3553" s="461" t="s">
        <v>161</v>
      </c>
      <c r="F3553" s="461" t="s">
        <v>8326</v>
      </c>
    </row>
    <row r="3554" spans="1:6" ht="15" x14ac:dyDescent="0.25">
      <c r="A3554" s="461">
        <v>5071</v>
      </c>
      <c r="B3554" s="460" t="s">
        <v>11618</v>
      </c>
      <c r="C3554" s="461" t="s">
        <v>1108</v>
      </c>
      <c r="D3554" s="461">
        <v>18.920000000000002</v>
      </c>
      <c r="E3554" s="461" t="s">
        <v>161</v>
      </c>
      <c r="F3554" s="461" t="s">
        <v>8326</v>
      </c>
    </row>
    <row r="3555" spans="1:6" ht="15" x14ac:dyDescent="0.25">
      <c r="A3555" s="461">
        <v>5061</v>
      </c>
      <c r="B3555" s="460" t="s">
        <v>11619</v>
      </c>
      <c r="C3555" s="461" t="s">
        <v>1108</v>
      </c>
      <c r="D3555" s="461">
        <v>18.600000000000001</v>
      </c>
      <c r="E3555" s="461" t="s">
        <v>161</v>
      </c>
      <c r="F3555" s="461" t="s">
        <v>8333</v>
      </c>
    </row>
    <row r="3556" spans="1:6" ht="15" x14ac:dyDescent="0.25">
      <c r="A3556" s="461">
        <v>5075</v>
      </c>
      <c r="B3556" s="460" t="s">
        <v>11620</v>
      </c>
      <c r="C3556" s="461" t="s">
        <v>1108</v>
      </c>
      <c r="D3556" s="461">
        <v>18.920000000000002</v>
      </c>
      <c r="E3556" s="461" t="s">
        <v>161</v>
      </c>
      <c r="F3556" s="461" t="s">
        <v>8326</v>
      </c>
    </row>
    <row r="3557" spans="1:6" ht="15" x14ac:dyDescent="0.25">
      <c r="A3557" s="461">
        <v>39027</v>
      </c>
      <c r="B3557" s="460" t="s">
        <v>11621</v>
      </c>
      <c r="C3557" s="461" t="s">
        <v>1108</v>
      </c>
      <c r="D3557" s="461">
        <v>18.899999999999999</v>
      </c>
      <c r="E3557" s="461" t="s">
        <v>161</v>
      </c>
      <c r="F3557" s="461" t="s">
        <v>8326</v>
      </c>
    </row>
    <row r="3558" spans="1:6" ht="15" x14ac:dyDescent="0.25">
      <c r="A3558" s="461">
        <v>5062</v>
      </c>
      <c r="B3558" s="460" t="s">
        <v>11622</v>
      </c>
      <c r="C3558" s="461" t="s">
        <v>1108</v>
      </c>
      <c r="D3558" s="461">
        <v>19.170000000000002</v>
      </c>
      <c r="E3558" s="461" t="s">
        <v>161</v>
      </c>
      <c r="F3558" s="461" t="s">
        <v>8326</v>
      </c>
    </row>
    <row r="3559" spans="1:6" ht="15" x14ac:dyDescent="0.25">
      <c r="A3559" s="461">
        <v>40568</v>
      </c>
      <c r="B3559" s="460" t="s">
        <v>11623</v>
      </c>
      <c r="C3559" s="461" t="s">
        <v>1108</v>
      </c>
      <c r="D3559" s="461">
        <v>19.059999999999999</v>
      </c>
      <c r="E3559" s="461" t="s">
        <v>161</v>
      </c>
      <c r="F3559" s="461" t="s">
        <v>8326</v>
      </c>
    </row>
    <row r="3560" spans="1:6" ht="15" x14ac:dyDescent="0.25">
      <c r="A3560" s="461">
        <v>39026</v>
      </c>
      <c r="B3560" s="460" t="s">
        <v>11624</v>
      </c>
      <c r="C3560" s="461" t="s">
        <v>1108</v>
      </c>
      <c r="D3560" s="461">
        <v>21.27</v>
      </c>
      <c r="E3560" s="461" t="s">
        <v>161</v>
      </c>
      <c r="F3560" s="461" t="s">
        <v>8326</v>
      </c>
    </row>
    <row r="3561" spans="1:6" ht="45" x14ac:dyDescent="0.25">
      <c r="A3561" s="461">
        <v>42431</v>
      </c>
      <c r="B3561" s="460" t="s">
        <v>11625</v>
      </c>
      <c r="C3561" s="461" t="s">
        <v>1104</v>
      </c>
      <c r="D3561" s="461">
        <v>3957.85</v>
      </c>
      <c r="E3561" s="461" t="s">
        <v>161</v>
      </c>
      <c r="F3561" s="461" t="s">
        <v>8328</v>
      </c>
    </row>
    <row r="3562" spans="1:6" ht="15" x14ac:dyDescent="0.25">
      <c r="A3562" s="461">
        <v>44074</v>
      </c>
      <c r="B3562" s="460" t="s">
        <v>11626</v>
      </c>
      <c r="C3562" s="461" t="s">
        <v>1109</v>
      </c>
      <c r="D3562" s="461">
        <v>623.1</v>
      </c>
      <c r="E3562" s="461" t="s">
        <v>161</v>
      </c>
      <c r="F3562" s="461" t="s">
        <v>8326</v>
      </c>
    </row>
    <row r="3563" spans="1:6" ht="15" x14ac:dyDescent="0.25">
      <c r="A3563" s="461">
        <v>44072</v>
      </c>
      <c r="B3563" s="460" t="s">
        <v>11627</v>
      </c>
      <c r="C3563" s="461" t="s">
        <v>1109</v>
      </c>
      <c r="D3563" s="461">
        <v>130.65</v>
      </c>
      <c r="E3563" s="461" t="s">
        <v>161</v>
      </c>
      <c r="F3563" s="461" t="s">
        <v>8326</v>
      </c>
    </row>
    <row r="3564" spans="1:6" ht="30" x14ac:dyDescent="0.25">
      <c r="A3564" s="461">
        <v>511</v>
      </c>
      <c r="B3564" s="460" t="s">
        <v>11628</v>
      </c>
      <c r="C3564" s="461" t="s">
        <v>1109</v>
      </c>
      <c r="D3564" s="461">
        <v>19.7</v>
      </c>
      <c r="E3564" s="461" t="s">
        <v>161</v>
      </c>
      <c r="F3564" s="461" t="s">
        <v>8333</v>
      </c>
    </row>
    <row r="3565" spans="1:6" ht="30" x14ac:dyDescent="0.25">
      <c r="A3565" s="461">
        <v>37540</v>
      </c>
      <c r="B3565" s="460" t="s">
        <v>11629</v>
      </c>
      <c r="C3565" s="461" t="s">
        <v>1104</v>
      </c>
      <c r="D3565" s="461">
        <v>88219.87</v>
      </c>
      <c r="E3565" s="461" t="s">
        <v>161</v>
      </c>
      <c r="F3565" s="461" t="s">
        <v>8326</v>
      </c>
    </row>
    <row r="3566" spans="1:6" ht="30" x14ac:dyDescent="0.25">
      <c r="A3566" s="461">
        <v>37548</v>
      </c>
      <c r="B3566" s="460" t="s">
        <v>11630</v>
      </c>
      <c r="C3566" s="461" t="s">
        <v>1104</v>
      </c>
      <c r="D3566" s="461">
        <v>116935</v>
      </c>
      <c r="E3566" s="461" t="s">
        <v>161</v>
      </c>
      <c r="F3566" s="461" t="s">
        <v>8326</v>
      </c>
    </row>
    <row r="3567" spans="1:6" ht="30" x14ac:dyDescent="0.25">
      <c r="A3567" s="461">
        <v>39828</v>
      </c>
      <c r="B3567" s="460" t="s">
        <v>11631</v>
      </c>
      <c r="C3567" s="461" t="s">
        <v>1104</v>
      </c>
      <c r="D3567" s="461">
        <v>701.49</v>
      </c>
      <c r="E3567" s="461" t="s">
        <v>161</v>
      </c>
      <c r="F3567" s="461" t="s">
        <v>8326</v>
      </c>
    </row>
    <row r="3568" spans="1:6" ht="15" x14ac:dyDescent="0.25">
      <c r="A3568" s="461">
        <v>38392</v>
      </c>
      <c r="B3568" s="460" t="s">
        <v>11632</v>
      </c>
      <c r="C3568" s="461" t="s">
        <v>1104</v>
      </c>
      <c r="D3568" s="461">
        <v>57.12</v>
      </c>
      <c r="E3568" s="461" t="s">
        <v>161</v>
      </c>
      <c r="F3568" s="461" t="s">
        <v>8326</v>
      </c>
    </row>
    <row r="3569" spans="1:6" ht="30" x14ac:dyDescent="0.25">
      <c r="A3569" s="461">
        <v>11735</v>
      </c>
      <c r="B3569" s="460" t="s">
        <v>11633</v>
      </c>
      <c r="C3569" s="461" t="s">
        <v>1104</v>
      </c>
      <c r="D3569" s="461">
        <v>12.4</v>
      </c>
      <c r="E3569" s="461" t="s">
        <v>161</v>
      </c>
      <c r="F3569" s="461" t="s">
        <v>8326</v>
      </c>
    </row>
    <row r="3570" spans="1:6" ht="30" x14ac:dyDescent="0.25">
      <c r="A3570" s="461">
        <v>11737</v>
      </c>
      <c r="B3570" s="460" t="s">
        <v>11634</v>
      </c>
      <c r="C3570" s="461" t="s">
        <v>1104</v>
      </c>
      <c r="D3570" s="461">
        <v>17.59</v>
      </c>
      <c r="E3570" s="461" t="s">
        <v>161</v>
      </c>
      <c r="F3570" s="461" t="s">
        <v>8326</v>
      </c>
    </row>
    <row r="3571" spans="1:6" ht="30" x14ac:dyDescent="0.25">
      <c r="A3571" s="461">
        <v>11738</v>
      </c>
      <c r="B3571" s="460" t="s">
        <v>11635</v>
      </c>
      <c r="C3571" s="461" t="s">
        <v>1104</v>
      </c>
      <c r="D3571" s="461">
        <v>22.18</v>
      </c>
      <c r="E3571" s="461" t="s">
        <v>161</v>
      </c>
      <c r="F3571" s="461" t="s">
        <v>8326</v>
      </c>
    </row>
    <row r="3572" spans="1:6" ht="30" x14ac:dyDescent="0.25">
      <c r="A3572" s="461">
        <v>36143</v>
      </c>
      <c r="B3572" s="460" t="s">
        <v>11636</v>
      </c>
      <c r="C3572" s="461" t="s">
        <v>1104</v>
      </c>
      <c r="D3572" s="461">
        <v>31.77</v>
      </c>
      <c r="E3572" s="461" t="s">
        <v>161</v>
      </c>
      <c r="F3572" s="461" t="s">
        <v>8326</v>
      </c>
    </row>
    <row r="3573" spans="1:6" ht="30" x14ac:dyDescent="0.25">
      <c r="A3573" s="461">
        <v>36142</v>
      </c>
      <c r="B3573" s="460" t="s">
        <v>11637</v>
      </c>
      <c r="C3573" s="461" t="s">
        <v>1104</v>
      </c>
      <c r="D3573" s="461">
        <v>2.3199999999999998</v>
      </c>
      <c r="E3573" s="461" t="s">
        <v>161</v>
      </c>
      <c r="F3573" s="461" t="s">
        <v>8326</v>
      </c>
    </row>
    <row r="3574" spans="1:6" ht="15" x14ac:dyDescent="0.25">
      <c r="A3574" s="461">
        <v>36146</v>
      </c>
      <c r="B3574" s="460" t="s">
        <v>11638</v>
      </c>
      <c r="C3574" s="461" t="s">
        <v>1104</v>
      </c>
      <c r="D3574" s="461">
        <v>263.5</v>
      </c>
      <c r="E3574" s="461" t="s">
        <v>161</v>
      </c>
      <c r="F3574" s="461" t="s">
        <v>8326</v>
      </c>
    </row>
    <row r="3575" spans="1:6" ht="30" x14ac:dyDescent="0.25">
      <c r="A3575" s="461">
        <v>39015</v>
      </c>
      <c r="B3575" s="460" t="s">
        <v>11639</v>
      </c>
      <c r="C3575" s="461" t="s">
        <v>1104</v>
      </c>
      <c r="D3575" s="461">
        <v>0.97</v>
      </c>
      <c r="E3575" s="461" t="s">
        <v>161</v>
      </c>
      <c r="F3575" s="461" t="s">
        <v>8328</v>
      </c>
    </row>
    <row r="3576" spans="1:6" ht="15" x14ac:dyDescent="0.25">
      <c r="A3576" s="461">
        <v>38377</v>
      </c>
      <c r="B3576" s="460" t="s">
        <v>11640</v>
      </c>
      <c r="C3576" s="461" t="s">
        <v>1104</v>
      </c>
      <c r="D3576" s="461">
        <v>49.71</v>
      </c>
      <c r="E3576" s="461" t="s">
        <v>161</v>
      </c>
      <c r="F3576" s="461" t="s">
        <v>8326</v>
      </c>
    </row>
    <row r="3577" spans="1:6" ht="15" x14ac:dyDescent="0.25">
      <c r="A3577" s="461">
        <v>38376</v>
      </c>
      <c r="B3577" s="460" t="s">
        <v>11641</v>
      </c>
      <c r="C3577" s="461" t="s">
        <v>1104</v>
      </c>
      <c r="D3577" s="461">
        <v>56.68</v>
      </c>
      <c r="E3577" s="461" t="s">
        <v>161</v>
      </c>
      <c r="F3577" s="461" t="s">
        <v>8326</v>
      </c>
    </row>
    <row r="3578" spans="1:6" ht="15" x14ac:dyDescent="0.25">
      <c r="A3578" s="461">
        <v>38116</v>
      </c>
      <c r="B3578" s="460" t="s">
        <v>11642</v>
      </c>
      <c r="C3578" s="461" t="s">
        <v>1104</v>
      </c>
      <c r="D3578" s="511">
        <v>7.46</v>
      </c>
      <c r="E3578" s="461" t="s">
        <v>161</v>
      </c>
      <c r="F3578" s="461" t="s">
        <v>8326</v>
      </c>
    </row>
    <row r="3579" spans="1:6" ht="30" x14ac:dyDescent="0.25">
      <c r="A3579" s="461">
        <v>38066</v>
      </c>
      <c r="B3579" s="460" t="s">
        <v>11643</v>
      </c>
      <c r="C3579" s="461" t="s">
        <v>1104</v>
      </c>
      <c r="D3579" s="461">
        <v>12.31</v>
      </c>
      <c r="E3579" s="461" t="s">
        <v>161</v>
      </c>
      <c r="F3579" s="461" t="s">
        <v>8326</v>
      </c>
    </row>
    <row r="3580" spans="1:6" ht="15" x14ac:dyDescent="0.25">
      <c r="A3580" s="461">
        <v>38117</v>
      </c>
      <c r="B3580" s="460" t="s">
        <v>11644</v>
      </c>
      <c r="C3580" s="461" t="s">
        <v>1104</v>
      </c>
      <c r="D3580" s="461">
        <v>12.7</v>
      </c>
      <c r="E3580" s="461" t="s">
        <v>161</v>
      </c>
      <c r="F3580" s="461" t="s">
        <v>8326</v>
      </c>
    </row>
    <row r="3581" spans="1:6" ht="30" x14ac:dyDescent="0.25">
      <c r="A3581" s="461">
        <v>38067</v>
      </c>
      <c r="B3581" s="460" t="s">
        <v>11645</v>
      </c>
      <c r="C3581" s="461" t="s">
        <v>1104</v>
      </c>
      <c r="D3581" s="461">
        <v>17.329999999999998</v>
      </c>
      <c r="E3581" s="461" t="s">
        <v>161</v>
      </c>
      <c r="F3581" s="461" t="s">
        <v>8326</v>
      </c>
    </row>
    <row r="3582" spans="1:6" ht="30" x14ac:dyDescent="0.25">
      <c r="A3582" s="461">
        <v>11522</v>
      </c>
      <c r="B3582" s="460" t="s">
        <v>13322</v>
      </c>
      <c r="C3582" s="461" t="s">
        <v>1104</v>
      </c>
      <c r="D3582" s="511">
        <v>12.01</v>
      </c>
      <c r="E3582" s="461" t="s">
        <v>161</v>
      </c>
      <c r="F3582" s="461" t="s">
        <v>8326</v>
      </c>
    </row>
    <row r="3583" spans="1:6" ht="30" x14ac:dyDescent="0.25">
      <c r="A3583" s="461">
        <v>43600</v>
      </c>
      <c r="B3583" s="460" t="s">
        <v>11646</v>
      </c>
      <c r="C3583" s="461" t="s">
        <v>1104</v>
      </c>
      <c r="D3583" s="511">
        <v>48.12</v>
      </c>
      <c r="E3583" s="461" t="s">
        <v>161</v>
      </c>
      <c r="F3583" s="461" t="s">
        <v>8326</v>
      </c>
    </row>
    <row r="3584" spans="1:6" ht="30" x14ac:dyDescent="0.25">
      <c r="A3584" s="461">
        <v>5080</v>
      </c>
      <c r="B3584" s="460" t="s">
        <v>11647</v>
      </c>
      <c r="C3584" s="461" t="s">
        <v>1104</v>
      </c>
      <c r="D3584" s="461">
        <v>18.760000000000002</v>
      </c>
      <c r="E3584" s="461" t="s">
        <v>161</v>
      </c>
      <c r="F3584" s="461" t="s">
        <v>8326</v>
      </c>
    </row>
    <row r="3585" spans="1:6" ht="30" x14ac:dyDescent="0.25">
      <c r="A3585" s="461">
        <v>38168</v>
      </c>
      <c r="B3585" s="460" t="s">
        <v>11648</v>
      </c>
      <c r="C3585" s="461" t="s">
        <v>1104</v>
      </c>
      <c r="D3585" s="461">
        <v>131</v>
      </c>
      <c r="E3585" s="461" t="s">
        <v>161</v>
      </c>
      <c r="F3585" s="461" t="s">
        <v>8326</v>
      </c>
    </row>
    <row r="3586" spans="1:6" ht="30" x14ac:dyDescent="0.25">
      <c r="A3586" s="461">
        <v>43601</v>
      </c>
      <c r="B3586" s="460" t="s">
        <v>11649</v>
      </c>
      <c r="C3586" s="461" t="s">
        <v>1104</v>
      </c>
      <c r="D3586" s="461">
        <v>65.5</v>
      </c>
      <c r="E3586" s="461" t="s">
        <v>161</v>
      </c>
      <c r="F3586" s="461" t="s">
        <v>8326</v>
      </c>
    </row>
    <row r="3587" spans="1:6" ht="30" x14ac:dyDescent="0.25">
      <c r="A3587" s="461">
        <v>13393</v>
      </c>
      <c r="B3587" s="460" t="s">
        <v>11650</v>
      </c>
      <c r="C3587" s="461" t="s">
        <v>1104</v>
      </c>
      <c r="D3587" s="461">
        <v>286.45999999999998</v>
      </c>
      <c r="E3587" s="461" t="s">
        <v>161</v>
      </c>
      <c r="F3587" s="461" t="s">
        <v>8326</v>
      </c>
    </row>
    <row r="3588" spans="1:6" ht="30" x14ac:dyDescent="0.25">
      <c r="A3588" s="461">
        <v>13395</v>
      </c>
      <c r="B3588" s="460" t="s">
        <v>11651</v>
      </c>
      <c r="C3588" s="461" t="s">
        <v>1104</v>
      </c>
      <c r="D3588" s="461">
        <v>401.44</v>
      </c>
      <c r="E3588" s="461" t="s">
        <v>161</v>
      </c>
      <c r="F3588" s="461" t="s">
        <v>8326</v>
      </c>
    </row>
    <row r="3589" spans="1:6" ht="30" x14ac:dyDescent="0.25">
      <c r="A3589" s="461">
        <v>12039</v>
      </c>
      <c r="B3589" s="460" t="s">
        <v>11652</v>
      </c>
      <c r="C3589" s="461" t="s">
        <v>1104</v>
      </c>
      <c r="D3589" s="461">
        <v>421.87</v>
      </c>
      <c r="E3589" s="461" t="s">
        <v>161</v>
      </c>
      <c r="F3589" s="461" t="s">
        <v>8326</v>
      </c>
    </row>
    <row r="3590" spans="1:6" ht="30" x14ac:dyDescent="0.25">
      <c r="A3590" s="461">
        <v>13396</v>
      </c>
      <c r="B3590" s="460" t="s">
        <v>11653</v>
      </c>
      <c r="C3590" s="461" t="s">
        <v>1104</v>
      </c>
      <c r="D3590" s="461">
        <v>592.49</v>
      </c>
      <c r="E3590" s="461" t="s">
        <v>161</v>
      </c>
      <c r="F3590" s="461" t="s">
        <v>8326</v>
      </c>
    </row>
    <row r="3591" spans="1:6" ht="30" x14ac:dyDescent="0.25">
      <c r="A3591" s="461">
        <v>12041</v>
      </c>
      <c r="B3591" s="460" t="s">
        <v>11654</v>
      </c>
      <c r="C3591" s="461" t="s">
        <v>1104</v>
      </c>
      <c r="D3591" s="461">
        <v>483.8</v>
      </c>
      <c r="E3591" s="461" t="s">
        <v>161</v>
      </c>
      <c r="F3591" s="461" t="s">
        <v>8326</v>
      </c>
    </row>
    <row r="3592" spans="1:6" ht="30" x14ac:dyDescent="0.25">
      <c r="A3592" s="461">
        <v>12043</v>
      </c>
      <c r="B3592" s="460" t="s">
        <v>11655</v>
      </c>
      <c r="C3592" s="461" t="s">
        <v>1104</v>
      </c>
      <c r="D3592" s="461">
        <v>1021.48</v>
      </c>
      <c r="E3592" s="461" t="s">
        <v>161</v>
      </c>
      <c r="F3592" s="461" t="s">
        <v>8326</v>
      </c>
    </row>
    <row r="3593" spans="1:6" ht="30" x14ac:dyDescent="0.25">
      <c r="A3593" s="461">
        <v>39762</v>
      </c>
      <c r="B3593" s="460" t="s">
        <v>11656</v>
      </c>
      <c r="C3593" s="461" t="s">
        <v>1104</v>
      </c>
      <c r="D3593" s="461">
        <v>486.25</v>
      </c>
      <c r="E3593" s="461" t="s">
        <v>161</v>
      </c>
      <c r="F3593" s="461" t="s">
        <v>8326</v>
      </c>
    </row>
    <row r="3594" spans="1:6" ht="30" x14ac:dyDescent="0.25">
      <c r="A3594" s="461">
        <v>12042</v>
      </c>
      <c r="B3594" s="460" t="s">
        <v>11657</v>
      </c>
      <c r="C3594" s="461" t="s">
        <v>1104</v>
      </c>
      <c r="D3594" s="461">
        <v>709.91</v>
      </c>
      <c r="E3594" s="461" t="s">
        <v>161</v>
      </c>
      <c r="F3594" s="461" t="s">
        <v>8326</v>
      </c>
    </row>
    <row r="3595" spans="1:6" ht="30" x14ac:dyDescent="0.25">
      <c r="A3595" s="461">
        <v>39763</v>
      </c>
      <c r="B3595" s="460" t="s">
        <v>11658</v>
      </c>
      <c r="C3595" s="461" t="s">
        <v>1104</v>
      </c>
      <c r="D3595" s="461">
        <v>830.85</v>
      </c>
      <c r="E3595" s="461" t="s">
        <v>161</v>
      </c>
      <c r="F3595" s="461" t="s">
        <v>8326</v>
      </c>
    </row>
    <row r="3596" spans="1:6" ht="30" x14ac:dyDescent="0.25">
      <c r="A3596" s="461">
        <v>39760</v>
      </c>
      <c r="B3596" s="460" t="s">
        <v>11659</v>
      </c>
      <c r="C3596" s="461" t="s">
        <v>1104</v>
      </c>
      <c r="D3596" s="461">
        <v>828.12</v>
      </c>
      <c r="E3596" s="461" t="s">
        <v>161</v>
      </c>
      <c r="F3596" s="461" t="s">
        <v>8326</v>
      </c>
    </row>
    <row r="3597" spans="1:6" ht="30" x14ac:dyDescent="0.25">
      <c r="A3597" s="461">
        <v>39756</v>
      </c>
      <c r="B3597" s="460" t="s">
        <v>11660</v>
      </c>
      <c r="C3597" s="461" t="s">
        <v>1104</v>
      </c>
      <c r="D3597" s="461">
        <v>297.33999999999997</v>
      </c>
      <c r="E3597" s="461" t="s">
        <v>161</v>
      </c>
      <c r="F3597" s="461" t="s">
        <v>8326</v>
      </c>
    </row>
    <row r="3598" spans="1:6" ht="30" x14ac:dyDescent="0.25">
      <c r="A3598" s="461">
        <v>12038</v>
      </c>
      <c r="B3598" s="460" t="s">
        <v>11661</v>
      </c>
      <c r="C3598" s="461" t="s">
        <v>1104</v>
      </c>
      <c r="D3598" s="461">
        <v>371.54</v>
      </c>
      <c r="E3598" s="461" t="s">
        <v>161</v>
      </c>
      <c r="F3598" s="461" t="s">
        <v>8326</v>
      </c>
    </row>
    <row r="3599" spans="1:6" ht="30" x14ac:dyDescent="0.25">
      <c r="A3599" s="461">
        <v>39757</v>
      </c>
      <c r="B3599" s="460" t="s">
        <v>11662</v>
      </c>
      <c r="C3599" s="461" t="s">
        <v>1104</v>
      </c>
      <c r="D3599" s="461">
        <v>343.56</v>
      </c>
      <c r="E3599" s="461" t="s">
        <v>161</v>
      </c>
      <c r="F3599" s="461" t="s">
        <v>8326</v>
      </c>
    </row>
    <row r="3600" spans="1:6" ht="30" x14ac:dyDescent="0.25">
      <c r="A3600" s="461">
        <v>39758</v>
      </c>
      <c r="B3600" s="460" t="s">
        <v>11663</v>
      </c>
      <c r="C3600" s="461" t="s">
        <v>1104</v>
      </c>
      <c r="D3600" s="461">
        <v>500.69</v>
      </c>
      <c r="E3600" s="461" t="s">
        <v>161</v>
      </c>
      <c r="F3600" s="461" t="s">
        <v>8326</v>
      </c>
    </row>
    <row r="3601" spans="1:6" ht="30" x14ac:dyDescent="0.25">
      <c r="A3601" s="461">
        <v>39759</v>
      </c>
      <c r="B3601" s="460" t="s">
        <v>11664</v>
      </c>
      <c r="C3601" s="461" t="s">
        <v>1104</v>
      </c>
      <c r="D3601" s="461">
        <v>618.36</v>
      </c>
      <c r="E3601" s="461" t="s">
        <v>161</v>
      </c>
      <c r="F3601" s="461" t="s">
        <v>8326</v>
      </c>
    </row>
    <row r="3602" spans="1:6" ht="30" x14ac:dyDescent="0.25">
      <c r="A3602" s="461">
        <v>39761</v>
      </c>
      <c r="B3602" s="460" t="s">
        <v>11665</v>
      </c>
      <c r="C3602" s="461" t="s">
        <v>1104</v>
      </c>
      <c r="D3602" s="461">
        <v>743.28</v>
      </c>
      <c r="E3602" s="461" t="s">
        <v>161</v>
      </c>
      <c r="F3602" s="461" t="s">
        <v>8326</v>
      </c>
    </row>
    <row r="3603" spans="1:6" ht="30" x14ac:dyDescent="0.25">
      <c r="A3603" s="461">
        <v>39805</v>
      </c>
      <c r="B3603" s="460" t="s">
        <v>11666</v>
      </c>
      <c r="C3603" s="461" t="s">
        <v>1104</v>
      </c>
      <c r="D3603" s="461">
        <v>203.04</v>
      </c>
      <c r="E3603" s="461" t="s">
        <v>161</v>
      </c>
      <c r="F3603" s="461" t="s">
        <v>8326</v>
      </c>
    </row>
    <row r="3604" spans="1:6" ht="30" x14ac:dyDescent="0.25">
      <c r="A3604" s="461">
        <v>39806</v>
      </c>
      <c r="B3604" s="460" t="s">
        <v>11667</v>
      </c>
      <c r="C3604" s="461" t="s">
        <v>1104</v>
      </c>
      <c r="D3604" s="461">
        <v>376.18</v>
      </c>
      <c r="E3604" s="461" t="s">
        <v>161</v>
      </c>
      <c r="F3604" s="461" t="s">
        <v>8326</v>
      </c>
    </row>
    <row r="3605" spans="1:6" ht="30" x14ac:dyDescent="0.25">
      <c r="A3605" s="461">
        <v>39807</v>
      </c>
      <c r="B3605" s="460" t="s">
        <v>11668</v>
      </c>
      <c r="C3605" s="461" t="s">
        <v>1104</v>
      </c>
      <c r="D3605" s="461">
        <v>815.27</v>
      </c>
      <c r="E3605" s="461" t="s">
        <v>161</v>
      </c>
      <c r="F3605" s="461" t="s">
        <v>8326</v>
      </c>
    </row>
    <row r="3606" spans="1:6" ht="30" x14ac:dyDescent="0.25">
      <c r="A3606" s="461">
        <v>43100</v>
      </c>
      <c r="B3606" s="460" t="s">
        <v>11669</v>
      </c>
      <c r="C3606" s="461" t="s">
        <v>1104</v>
      </c>
      <c r="D3606" s="461">
        <v>637.37</v>
      </c>
      <c r="E3606" s="461" t="s">
        <v>161</v>
      </c>
      <c r="F3606" s="461" t="s">
        <v>8326</v>
      </c>
    </row>
    <row r="3607" spans="1:6" ht="30" x14ac:dyDescent="0.25">
      <c r="A3607" s="461">
        <v>39804</v>
      </c>
      <c r="B3607" s="460" t="s">
        <v>11670</v>
      </c>
      <c r="C3607" s="461" t="s">
        <v>1104</v>
      </c>
      <c r="D3607" s="461">
        <v>119.23</v>
      </c>
      <c r="E3607" s="461" t="s">
        <v>161</v>
      </c>
      <c r="F3607" s="461" t="s">
        <v>8326</v>
      </c>
    </row>
    <row r="3608" spans="1:6" ht="30" x14ac:dyDescent="0.25">
      <c r="A3608" s="461">
        <v>39796</v>
      </c>
      <c r="B3608" s="460" t="s">
        <v>11671</v>
      </c>
      <c r="C3608" s="461" t="s">
        <v>1104</v>
      </c>
      <c r="D3608" s="461">
        <v>123.49</v>
      </c>
      <c r="E3608" s="461" t="s">
        <v>161</v>
      </c>
      <c r="F3608" s="461" t="s">
        <v>8326</v>
      </c>
    </row>
    <row r="3609" spans="1:6" ht="30" x14ac:dyDescent="0.25">
      <c r="A3609" s="461">
        <v>39797</v>
      </c>
      <c r="B3609" s="460" t="s">
        <v>11672</v>
      </c>
      <c r="C3609" s="461" t="s">
        <v>1104</v>
      </c>
      <c r="D3609" s="511">
        <v>193.85</v>
      </c>
      <c r="E3609" s="461" t="s">
        <v>161</v>
      </c>
      <c r="F3609" s="461" t="s">
        <v>8333</v>
      </c>
    </row>
    <row r="3610" spans="1:6" ht="30" x14ac:dyDescent="0.25">
      <c r="A3610" s="461">
        <v>39798</v>
      </c>
      <c r="B3610" s="460" t="s">
        <v>11673</v>
      </c>
      <c r="C3610" s="461" t="s">
        <v>1104</v>
      </c>
      <c r="D3610" s="461">
        <v>332.51</v>
      </c>
      <c r="E3610" s="461" t="s">
        <v>161</v>
      </c>
      <c r="F3610" s="461" t="s">
        <v>8326</v>
      </c>
    </row>
    <row r="3611" spans="1:6" ht="30" x14ac:dyDescent="0.25">
      <c r="A3611" s="461">
        <v>39794</v>
      </c>
      <c r="B3611" s="460" t="s">
        <v>11674</v>
      </c>
      <c r="C3611" s="461" t="s">
        <v>1104</v>
      </c>
      <c r="D3611" s="461">
        <v>52.42</v>
      </c>
      <c r="E3611" s="461" t="s">
        <v>161</v>
      </c>
      <c r="F3611" s="461" t="s">
        <v>8326</v>
      </c>
    </row>
    <row r="3612" spans="1:6" ht="30" x14ac:dyDescent="0.25">
      <c r="A3612" s="461">
        <v>39795</v>
      </c>
      <c r="B3612" s="460" t="s">
        <v>11675</v>
      </c>
      <c r="C3612" s="461" t="s">
        <v>1104</v>
      </c>
      <c r="D3612" s="461">
        <v>82.81</v>
      </c>
      <c r="E3612" s="461" t="s">
        <v>161</v>
      </c>
      <c r="F3612" s="461" t="s">
        <v>8326</v>
      </c>
    </row>
    <row r="3613" spans="1:6" ht="30" x14ac:dyDescent="0.25">
      <c r="A3613" s="461">
        <v>39801</v>
      </c>
      <c r="B3613" s="460" t="s">
        <v>11676</v>
      </c>
      <c r="C3613" s="461" t="s">
        <v>1104</v>
      </c>
      <c r="D3613" s="461">
        <v>174.86</v>
      </c>
      <c r="E3613" s="461" t="s">
        <v>161</v>
      </c>
      <c r="F3613" s="461" t="s">
        <v>8326</v>
      </c>
    </row>
    <row r="3614" spans="1:6" ht="30" x14ac:dyDescent="0.25">
      <c r="A3614" s="461">
        <v>39802</v>
      </c>
      <c r="B3614" s="460" t="s">
        <v>11677</v>
      </c>
      <c r="C3614" s="461" t="s">
        <v>1104</v>
      </c>
      <c r="D3614" s="461">
        <v>256.32</v>
      </c>
      <c r="E3614" s="461" t="s">
        <v>161</v>
      </c>
      <c r="F3614" s="461" t="s">
        <v>8326</v>
      </c>
    </row>
    <row r="3615" spans="1:6" ht="30" x14ac:dyDescent="0.25">
      <c r="A3615" s="461">
        <v>39803</v>
      </c>
      <c r="B3615" s="460" t="s">
        <v>11678</v>
      </c>
      <c r="C3615" s="461" t="s">
        <v>1104</v>
      </c>
      <c r="D3615" s="461">
        <v>357.57</v>
      </c>
      <c r="E3615" s="461" t="s">
        <v>161</v>
      </c>
      <c r="F3615" s="461" t="s">
        <v>8326</v>
      </c>
    </row>
    <row r="3616" spans="1:6" ht="30" x14ac:dyDescent="0.25">
      <c r="A3616" s="461">
        <v>39799</v>
      </c>
      <c r="B3616" s="460" t="s">
        <v>13323</v>
      </c>
      <c r="C3616" s="461" t="s">
        <v>1104</v>
      </c>
      <c r="D3616" s="461">
        <v>61.1</v>
      </c>
      <c r="E3616" s="461" t="s">
        <v>161</v>
      </c>
      <c r="F3616" s="461" t="s">
        <v>8326</v>
      </c>
    </row>
    <row r="3617" spans="1:6" ht="30" x14ac:dyDescent="0.25">
      <c r="A3617" s="461">
        <v>39800</v>
      </c>
      <c r="B3617" s="460" t="s">
        <v>11679</v>
      </c>
      <c r="C3617" s="461" t="s">
        <v>1104</v>
      </c>
      <c r="D3617" s="461">
        <v>104.08</v>
      </c>
      <c r="E3617" s="461" t="s">
        <v>161</v>
      </c>
      <c r="F3617" s="461" t="s">
        <v>8326</v>
      </c>
    </row>
    <row r="3618" spans="1:6" ht="15" x14ac:dyDescent="0.25">
      <c r="A3618" s="461">
        <v>43837</v>
      </c>
      <c r="B3618" s="460" t="s">
        <v>11680</v>
      </c>
      <c r="C3618" s="461" t="s">
        <v>1104</v>
      </c>
      <c r="D3618" s="461">
        <v>1077.1600000000001</v>
      </c>
      <c r="E3618" s="461" t="s">
        <v>161</v>
      </c>
      <c r="F3618" s="461" t="s">
        <v>8328</v>
      </c>
    </row>
    <row r="3619" spans="1:6" ht="15" x14ac:dyDescent="0.25">
      <c r="A3619" s="461">
        <v>43836</v>
      </c>
      <c r="B3619" s="460" t="s">
        <v>11681</v>
      </c>
      <c r="C3619" s="461" t="s">
        <v>1104</v>
      </c>
      <c r="D3619" s="461">
        <v>2191.84</v>
      </c>
      <c r="E3619" s="461" t="s">
        <v>161</v>
      </c>
      <c r="F3619" s="461" t="s">
        <v>8328</v>
      </c>
    </row>
    <row r="3620" spans="1:6" ht="15" x14ac:dyDescent="0.25">
      <c r="A3620" s="461">
        <v>21059</v>
      </c>
      <c r="B3620" s="460" t="s">
        <v>11682</v>
      </c>
      <c r="C3620" s="461" t="s">
        <v>1104</v>
      </c>
      <c r="D3620" s="461">
        <v>66.319999999999993</v>
      </c>
      <c r="E3620" s="461" t="s">
        <v>161</v>
      </c>
      <c r="F3620" s="461" t="s">
        <v>8328</v>
      </c>
    </row>
    <row r="3621" spans="1:6" ht="15" x14ac:dyDescent="0.25">
      <c r="A3621" s="461">
        <v>11234</v>
      </c>
      <c r="B3621" s="460" t="s">
        <v>11683</v>
      </c>
      <c r="C3621" s="461" t="s">
        <v>1104</v>
      </c>
      <c r="D3621" s="461">
        <v>99.96</v>
      </c>
      <c r="E3621" s="461" t="s">
        <v>161</v>
      </c>
      <c r="F3621" s="461" t="s">
        <v>8328</v>
      </c>
    </row>
    <row r="3622" spans="1:6" ht="15" x14ac:dyDescent="0.25">
      <c r="A3622" s="461">
        <v>21060</v>
      </c>
      <c r="B3622" s="460" t="s">
        <v>11684</v>
      </c>
      <c r="C3622" s="461" t="s">
        <v>1104</v>
      </c>
      <c r="D3622" s="461">
        <v>123.03</v>
      </c>
      <c r="E3622" s="461" t="s">
        <v>161</v>
      </c>
      <c r="F3622" s="461" t="s">
        <v>8328</v>
      </c>
    </row>
    <row r="3623" spans="1:6" ht="15" x14ac:dyDescent="0.25">
      <c r="A3623" s="461">
        <v>21061</v>
      </c>
      <c r="B3623" s="460" t="s">
        <v>11685</v>
      </c>
      <c r="C3623" s="461" t="s">
        <v>1104</v>
      </c>
      <c r="D3623" s="461">
        <v>153.79</v>
      </c>
      <c r="E3623" s="461" t="s">
        <v>161</v>
      </c>
      <c r="F3623" s="461" t="s">
        <v>8328</v>
      </c>
    </row>
    <row r="3624" spans="1:6" ht="15" x14ac:dyDescent="0.25">
      <c r="A3624" s="461">
        <v>21062</v>
      </c>
      <c r="B3624" s="460" t="s">
        <v>11686</v>
      </c>
      <c r="C3624" s="461" t="s">
        <v>1104</v>
      </c>
      <c r="D3624" s="461">
        <v>242.23</v>
      </c>
      <c r="E3624" s="461" t="s">
        <v>161</v>
      </c>
      <c r="F3624" s="461" t="s">
        <v>8328</v>
      </c>
    </row>
    <row r="3625" spans="1:6" ht="15" x14ac:dyDescent="0.25">
      <c r="A3625" s="461">
        <v>11708</v>
      </c>
      <c r="B3625" s="460" t="s">
        <v>11687</v>
      </c>
      <c r="C3625" s="461" t="s">
        <v>1104</v>
      </c>
      <c r="D3625" s="461">
        <v>26.43</v>
      </c>
      <c r="E3625" s="461" t="s">
        <v>161</v>
      </c>
      <c r="F3625" s="461" t="s">
        <v>8328</v>
      </c>
    </row>
    <row r="3626" spans="1:6" ht="15" x14ac:dyDescent="0.25">
      <c r="A3626" s="461">
        <v>11709</v>
      </c>
      <c r="B3626" s="460" t="s">
        <v>11688</v>
      </c>
      <c r="C3626" s="461" t="s">
        <v>1104</v>
      </c>
      <c r="D3626" s="461">
        <v>62.09</v>
      </c>
      <c r="E3626" s="461" t="s">
        <v>161</v>
      </c>
      <c r="F3626" s="461" t="s">
        <v>8328</v>
      </c>
    </row>
    <row r="3627" spans="1:6" ht="15" x14ac:dyDescent="0.25">
      <c r="A3627" s="461">
        <v>11710</v>
      </c>
      <c r="B3627" s="460" t="s">
        <v>11689</v>
      </c>
      <c r="C3627" s="461" t="s">
        <v>1104</v>
      </c>
      <c r="D3627" s="461">
        <v>142.74</v>
      </c>
      <c r="E3627" s="461" t="s">
        <v>161</v>
      </c>
      <c r="F3627" s="461" t="s">
        <v>8328</v>
      </c>
    </row>
    <row r="3628" spans="1:6" ht="15" x14ac:dyDescent="0.25">
      <c r="A3628" s="461">
        <v>11707</v>
      </c>
      <c r="B3628" s="460" t="s">
        <v>11690</v>
      </c>
      <c r="C3628" s="461" t="s">
        <v>1104</v>
      </c>
      <c r="D3628" s="461">
        <v>19.8</v>
      </c>
      <c r="E3628" s="461" t="s">
        <v>161</v>
      </c>
      <c r="F3628" s="461" t="s">
        <v>8328</v>
      </c>
    </row>
    <row r="3629" spans="1:6" ht="30" x14ac:dyDescent="0.25">
      <c r="A3629" s="461">
        <v>5102</v>
      </c>
      <c r="B3629" s="460" t="s">
        <v>11691</v>
      </c>
      <c r="C3629" s="461" t="s">
        <v>1104</v>
      </c>
      <c r="D3629" s="461">
        <v>17.43</v>
      </c>
      <c r="E3629" s="461" t="s">
        <v>161</v>
      </c>
      <c r="F3629" s="461" t="s">
        <v>8326</v>
      </c>
    </row>
    <row r="3630" spans="1:6" ht="15" x14ac:dyDescent="0.25">
      <c r="A3630" s="461">
        <v>11711</v>
      </c>
      <c r="B3630" s="460" t="s">
        <v>11692</v>
      </c>
      <c r="C3630" s="461" t="s">
        <v>1104</v>
      </c>
      <c r="D3630" s="461">
        <v>14.52</v>
      </c>
      <c r="E3630" s="461" t="s">
        <v>161</v>
      </c>
      <c r="F3630" s="461" t="s">
        <v>8326</v>
      </c>
    </row>
    <row r="3631" spans="1:6" ht="15" x14ac:dyDescent="0.25">
      <c r="A3631" s="461">
        <v>11739</v>
      </c>
      <c r="B3631" s="460" t="s">
        <v>13324</v>
      </c>
      <c r="C3631" s="461" t="s">
        <v>1104</v>
      </c>
      <c r="D3631" s="461">
        <v>12.42</v>
      </c>
      <c r="E3631" s="461" t="s">
        <v>161</v>
      </c>
      <c r="F3631" s="461" t="s">
        <v>8326</v>
      </c>
    </row>
    <row r="3632" spans="1:6" ht="15" x14ac:dyDescent="0.25">
      <c r="A3632" s="461">
        <v>11741</v>
      </c>
      <c r="B3632" s="460" t="s">
        <v>13325</v>
      </c>
      <c r="C3632" s="461" t="s">
        <v>1104</v>
      </c>
      <c r="D3632" s="461">
        <v>15.81</v>
      </c>
      <c r="E3632" s="461" t="s">
        <v>161</v>
      </c>
      <c r="F3632" s="461" t="s">
        <v>8326</v>
      </c>
    </row>
    <row r="3633" spans="1:6" ht="30" x14ac:dyDescent="0.25">
      <c r="A3633" s="461">
        <v>11745</v>
      </c>
      <c r="B3633" s="460" t="s">
        <v>11693</v>
      </c>
      <c r="C3633" s="461" t="s">
        <v>1104</v>
      </c>
      <c r="D3633" s="461">
        <v>20.83</v>
      </c>
      <c r="E3633" s="461" t="s">
        <v>161</v>
      </c>
      <c r="F3633" s="461" t="s">
        <v>8326</v>
      </c>
    </row>
    <row r="3634" spans="1:6" ht="30" x14ac:dyDescent="0.25">
      <c r="A3634" s="461">
        <v>11743</v>
      </c>
      <c r="B3634" s="460" t="s">
        <v>11694</v>
      </c>
      <c r="C3634" s="461" t="s">
        <v>1104</v>
      </c>
      <c r="D3634" s="461">
        <v>13.27</v>
      </c>
      <c r="E3634" s="461" t="s">
        <v>161</v>
      </c>
      <c r="F3634" s="461" t="s">
        <v>8326</v>
      </c>
    </row>
    <row r="3635" spans="1:6" ht="30" x14ac:dyDescent="0.25">
      <c r="A3635" s="461">
        <v>5104</v>
      </c>
      <c r="B3635" s="460" t="s">
        <v>11695</v>
      </c>
      <c r="C3635" s="461" t="s">
        <v>1108</v>
      </c>
      <c r="D3635" s="511">
        <v>68.83</v>
      </c>
      <c r="E3635" s="461" t="s">
        <v>161</v>
      </c>
      <c r="F3635" s="461" t="s">
        <v>8328</v>
      </c>
    </row>
    <row r="3636" spans="1:6" ht="15" x14ac:dyDescent="0.25">
      <c r="A3636" s="461">
        <v>44530</v>
      </c>
      <c r="B3636" s="460" t="s">
        <v>13326</v>
      </c>
      <c r="C3636" s="461" t="s">
        <v>1104</v>
      </c>
      <c r="D3636" s="511">
        <v>42.07</v>
      </c>
      <c r="E3636" s="461" t="s">
        <v>161</v>
      </c>
      <c r="F3636" s="461" t="s">
        <v>8326</v>
      </c>
    </row>
    <row r="3637" spans="1:6" ht="15" x14ac:dyDescent="0.25">
      <c r="A3637" s="461">
        <v>2710</v>
      </c>
      <c r="B3637" s="460" t="s">
        <v>13327</v>
      </c>
      <c r="C3637" s="461" t="s">
        <v>1104</v>
      </c>
      <c r="D3637" s="461">
        <v>33.6</v>
      </c>
      <c r="E3637" s="461" t="s">
        <v>161</v>
      </c>
      <c r="F3637" s="461" t="s">
        <v>8326</v>
      </c>
    </row>
    <row r="3638" spans="1:6" ht="30" x14ac:dyDescent="0.25">
      <c r="A3638" s="461">
        <v>14575</v>
      </c>
      <c r="B3638" s="460" t="s">
        <v>11696</v>
      </c>
      <c r="C3638" s="461" t="s">
        <v>1104</v>
      </c>
      <c r="D3638" s="461">
        <v>4795304.6500000004</v>
      </c>
      <c r="E3638" s="461" t="s">
        <v>161</v>
      </c>
      <c r="F3638" s="461" t="s">
        <v>8328</v>
      </c>
    </row>
    <row r="3639" spans="1:6" ht="15" x14ac:dyDescent="0.25">
      <c r="A3639" s="461">
        <v>20043</v>
      </c>
      <c r="B3639" s="460" t="s">
        <v>11697</v>
      </c>
      <c r="C3639" s="461" t="s">
        <v>1104</v>
      </c>
      <c r="D3639" s="461">
        <v>7.52</v>
      </c>
      <c r="E3639" s="461" t="s">
        <v>161</v>
      </c>
      <c r="F3639" s="461" t="s">
        <v>8326</v>
      </c>
    </row>
    <row r="3640" spans="1:6" ht="15" x14ac:dyDescent="0.25">
      <c r="A3640" s="461">
        <v>20044</v>
      </c>
      <c r="B3640" s="460" t="s">
        <v>11698</v>
      </c>
      <c r="C3640" s="461" t="s">
        <v>1104</v>
      </c>
      <c r="D3640" s="461">
        <v>8.7200000000000006</v>
      </c>
      <c r="E3640" s="461" t="s">
        <v>161</v>
      </c>
      <c r="F3640" s="461" t="s">
        <v>8326</v>
      </c>
    </row>
    <row r="3641" spans="1:6" ht="15" x14ac:dyDescent="0.25">
      <c r="A3641" s="461">
        <v>20042</v>
      </c>
      <c r="B3641" s="460" t="s">
        <v>11699</v>
      </c>
      <c r="C3641" s="461" t="s">
        <v>1104</v>
      </c>
      <c r="D3641" s="461">
        <v>6.52</v>
      </c>
      <c r="E3641" s="461" t="s">
        <v>161</v>
      </c>
      <c r="F3641" s="461" t="s">
        <v>8326</v>
      </c>
    </row>
    <row r="3642" spans="1:6" ht="15" x14ac:dyDescent="0.25">
      <c r="A3642" s="461">
        <v>20046</v>
      </c>
      <c r="B3642" s="460" t="s">
        <v>11700</v>
      </c>
      <c r="C3642" s="461" t="s">
        <v>1104</v>
      </c>
      <c r="D3642" s="461">
        <v>15.44</v>
      </c>
      <c r="E3642" s="461" t="s">
        <v>161</v>
      </c>
      <c r="F3642" s="461" t="s">
        <v>8326</v>
      </c>
    </row>
    <row r="3643" spans="1:6" ht="15" x14ac:dyDescent="0.25">
      <c r="A3643" s="461">
        <v>20047</v>
      </c>
      <c r="B3643" s="460" t="s">
        <v>11701</v>
      </c>
      <c r="C3643" s="461" t="s">
        <v>1104</v>
      </c>
      <c r="D3643" s="461">
        <v>46.3</v>
      </c>
      <c r="E3643" s="461" t="s">
        <v>161</v>
      </c>
      <c r="F3643" s="461" t="s">
        <v>8326</v>
      </c>
    </row>
    <row r="3644" spans="1:6" ht="15" x14ac:dyDescent="0.25">
      <c r="A3644" s="461">
        <v>20045</v>
      </c>
      <c r="B3644" s="460" t="s">
        <v>11702</v>
      </c>
      <c r="C3644" s="461" t="s">
        <v>1104</v>
      </c>
      <c r="D3644" s="461">
        <v>7.81</v>
      </c>
      <c r="E3644" s="461" t="s">
        <v>161</v>
      </c>
      <c r="F3644" s="461" t="s">
        <v>8326</v>
      </c>
    </row>
    <row r="3645" spans="1:6" ht="30" x14ac:dyDescent="0.25">
      <c r="A3645" s="461">
        <v>20972</v>
      </c>
      <c r="B3645" s="460" t="s">
        <v>11703</v>
      </c>
      <c r="C3645" s="461" t="s">
        <v>1104</v>
      </c>
      <c r="D3645" s="461">
        <v>142.85</v>
      </c>
      <c r="E3645" s="461" t="s">
        <v>161</v>
      </c>
      <c r="F3645" s="461" t="s">
        <v>8326</v>
      </c>
    </row>
    <row r="3646" spans="1:6" ht="15" x14ac:dyDescent="0.25">
      <c r="A3646" s="461">
        <v>11321</v>
      </c>
      <c r="B3646" s="460" t="s">
        <v>11704</v>
      </c>
      <c r="C3646" s="461" t="s">
        <v>1104</v>
      </c>
      <c r="D3646" s="461">
        <v>23.81</v>
      </c>
      <c r="E3646" s="461" t="s">
        <v>161</v>
      </c>
      <c r="F3646" s="461" t="s">
        <v>8328</v>
      </c>
    </row>
    <row r="3647" spans="1:6" ht="15" x14ac:dyDescent="0.25">
      <c r="A3647" s="461">
        <v>11323</v>
      </c>
      <c r="B3647" s="460" t="s">
        <v>11705</v>
      </c>
      <c r="C3647" s="461" t="s">
        <v>1104</v>
      </c>
      <c r="D3647" s="461">
        <v>27.39</v>
      </c>
      <c r="E3647" s="461" t="s">
        <v>161</v>
      </c>
      <c r="F3647" s="461" t="s">
        <v>8328</v>
      </c>
    </row>
    <row r="3648" spans="1:6" ht="15" x14ac:dyDescent="0.25">
      <c r="A3648" s="461">
        <v>20327</v>
      </c>
      <c r="B3648" s="460" t="s">
        <v>11706</v>
      </c>
      <c r="C3648" s="461" t="s">
        <v>1104</v>
      </c>
      <c r="D3648" s="461">
        <v>15.54</v>
      </c>
      <c r="E3648" s="461" t="s">
        <v>161</v>
      </c>
      <c r="F3648" s="461" t="s">
        <v>8328</v>
      </c>
    </row>
    <row r="3649" spans="1:6" ht="15" x14ac:dyDescent="0.25">
      <c r="A3649" s="461">
        <v>6034</v>
      </c>
      <c r="B3649" s="460" t="s">
        <v>11707</v>
      </c>
      <c r="C3649" s="461" t="s">
        <v>1104</v>
      </c>
      <c r="D3649" s="461">
        <v>20.48</v>
      </c>
      <c r="E3649" s="461" t="s">
        <v>161</v>
      </c>
      <c r="F3649" s="461" t="s">
        <v>8326</v>
      </c>
    </row>
    <row r="3650" spans="1:6" ht="15" x14ac:dyDescent="0.25">
      <c r="A3650" s="461">
        <v>6036</v>
      </c>
      <c r="B3650" s="460" t="s">
        <v>11708</v>
      </c>
      <c r="C3650" s="461" t="s">
        <v>1104</v>
      </c>
      <c r="D3650" s="461">
        <v>27.89</v>
      </c>
      <c r="E3650" s="461" t="s">
        <v>161</v>
      </c>
      <c r="F3650" s="461" t="s">
        <v>8326</v>
      </c>
    </row>
    <row r="3651" spans="1:6" ht="15" x14ac:dyDescent="0.25">
      <c r="A3651" s="461">
        <v>6031</v>
      </c>
      <c r="B3651" s="460" t="s">
        <v>11709</v>
      </c>
      <c r="C3651" s="461" t="s">
        <v>1104</v>
      </c>
      <c r="D3651" s="461">
        <v>32.770000000000003</v>
      </c>
      <c r="E3651" s="461" t="s">
        <v>161</v>
      </c>
      <c r="F3651" s="461" t="s">
        <v>8333</v>
      </c>
    </row>
    <row r="3652" spans="1:6" ht="15" x14ac:dyDescent="0.25">
      <c r="A3652" s="461">
        <v>6029</v>
      </c>
      <c r="B3652" s="460" t="s">
        <v>11710</v>
      </c>
      <c r="C3652" s="461" t="s">
        <v>1104</v>
      </c>
      <c r="D3652" s="461">
        <v>33.119999999999997</v>
      </c>
      <c r="E3652" s="461" t="s">
        <v>161</v>
      </c>
      <c r="F3652" s="461" t="s">
        <v>8326</v>
      </c>
    </row>
    <row r="3653" spans="1:6" ht="15" x14ac:dyDescent="0.25">
      <c r="A3653" s="461">
        <v>6033</v>
      </c>
      <c r="B3653" s="460" t="s">
        <v>11711</v>
      </c>
      <c r="C3653" s="461" t="s">
        <v>1104</v>
      </c>
      <c r="D3653" s="461">
        <v>43.65</v>
      </c>
      <c r="E3653" s="461" t="s">
        <v>161</v>
      </c>
      <c r="F3653" s="461" t="s">
        <v>8326</v>
      </c>
    </row>
    <row r="3654" spans="1:6" ht="30" x14ac:dyDescent="0.25">
      <c r="A3654" s="461">
        <v>11672</v>
      </c>
      <c r="B3654" s="460" t="s">
        <v>11712</v>
      </c>
      <c r="C3654" s="461" t="s">
        <v>1104</v>
      </c>
      <c r="D3654" s="461">
        <v>94.95</v>
      </c>
      <c r="E3654" s="461" t="s">
        <v>161</v>
      </c>
      <c r="F3654" s="461" t="s">
        <v>8326</v>
      </c>
    </row>
    <row r="3655" spans="1:6" ht="30" x14ac:dyDescent="0.25">
      <c r="A3655" s="461">
        <v>11669</v>
      </c>
      <c r="B3655" s="460" t="s">
        <v>11713</v>
      </c>
      <c r="C3655" s="461" t="s">
        <v>1104</v>
      </c>
      <c r="D3655" s="461">
        <v>90.42</v>
      </c>
      <c r="E3655" s="461" t="s">
        <v>161</v>
      </c>
      <c r="F3655" s="461" t="s">
        <v>8326</v>
      </c>
    </row>
    <row r="3656" spans="1:6" ht="30" x14ac:dyDescent="0.25">
      <c r="A3656" s="461">
        <v>11670</v>
      </c>
      <c r="B3656" s="460" t="s">
        <v>11714</v>
      </c>
      <c r="C3656" s="461" t="s">
        <v>1104</v>
      </c>
      <c r="D3656" s="461">
        <v>34.64</v>
      </c>
      <c r="E3656" s="461" t="s">
        <v>161</v>
      </c>
      <c r="F3656" s="461" t="s">
        <v>8326</v>
      </c>
    </row>
    <row r="3657" spans="1:6" ht="30" x14ac:dyDescent="0.25">
      <c r="A3657" s="461">
        <v>20055</v>
      </c>
      <c r="B3657" s="460" t="s">
        <v>11715</v>
      </c>
      <c r="C3657" s="461" t="s">
        <v>1104</v>
      </c>
      <c r="D3657" s="461">
        <v>67.72</v>
      </c>
      <c r="E3657" s="461" t="s">
        <v>161</v>
      </c>
      <c r="F3657" s="461" t="s">
        <v>8326</v>
      </c>
    </row>
    <row r="3658" spans="1:6" ht="30" x14ac:dyDescent="0.25">
      <c r="A3658" s="461">
        <v>11671</v>
      </c>
      <c r="B3658" s="460" t="s">
        <v>11716</v>
      </c>
      <c r="C3658" s="461" t="s">
        <v>1104</v>
      </c>
      <c r="D3658" s="511">
        <v>145.31</v>
      </c>
      <c r="E3658" s="461" t="s">
        <v>161</v>
      </c>
      <c r="F3658" s="461" t="s">
        <v>8326</v>
      </c>
    </row>
    <row r="3659" spans="1:6" ht="30" x14ac:dyDescent="0.25">
      <c r="A3659" s="461">
        <v>6032</v>
      </c>
      <c r="B3659" s="460" t="s">
        <v>11717</v>
      </c>
      <c r="C3659" s="461" t="s">
        <v>1104</v>
      </c>
      <c r="D3659" s="461">
        <v>41.5</v>
      </c>
      <c r="E3659" s="461" t="s">
        <v>161</v>
      </c>
      <c r="F3659" s="461" t="s">
        <v>8326</v>
      </c>
    </row>
    <row r="3660" spans="1:6" ht="30" x14ac:dyDescent="0.25">
      <c r="A3660" s="461">
        <v>11673</v>
      </c>
      <c r="B3660" s="460" t="s">
        <v>11718</v>
      </c>
      <c r="C3660" s="461" t="s">
        <v>1104</v>
      </c>
      <c r="D3660" s="461">
        <v>32.69</v>
      </c>
      <c r="E3660" s="461" t="s">
        <v>161</v>
      </c>
      <c r="F3660" s="461" t="s">
        <v>8326</v>
      </c>
    </row>
    <row r="3661" spans="1:6" ht="30" x14ac:dyDescent="0.25">
      <c r="A3661" s="461">
        <v>11674</v>
      </c>
      <c r="B3661" s="460" t="s">
        <v>11719</v>
      </c>
      <c r="C3661" s="461" t="s">
        <v>1104</v>
      </c>
      <c r="D3661" s="461">
        <v>42.09</v>
      </c>
      <c r="E3661" s="461" t="s">
        <v>161</v>
      </c>
      <c r="F3661" s="461" t="s">
        <v>8326</v>
      </c>
    </row>
    <row r="3662" spans="1:6" ht="30" x14ac:dyDescent="0.25">
      <c r="A3662" s="461">
        <v>11675</v>
      </c>
      <c r="B3662" s="460" t="s">
        <v>11720</v>
      </c>
      <c r="C3662" s="461" t="s">
        <v>1104</v>
      </c>
      <c r="D3662" s="461">
        <v>66.819999999999993</v>
      </c>
      <c r="E3662" s="461" t="s">
        <v>161</v>
      </c>
      <c r="F3662" s="461" t="s">
        <v>8326</v>
      </c>
    </row>
    <row r="3663" spans="1:6" ht="30" x14ac:dyDescent="0.25">
      <c r="A3663" s="461">
        <v>11676</v>
      </c>
      <c r="B3663" s="460" t="s">
        <v>11721</v>
      </c>
      <c r="C3663" s="461" t="s">
        <v>1104</v>
      </c>
      <c r="D3663" s="461">
        <v>89.37</v>
      </c>
      <c r="E3663" s="461" t="s">
        <v>161</v>
      </c>
      <c r="F3663" s="461" t="s">
        <v>8326</v>
      </c>
    </row>
    <row r="3664" spans="1:6" ht="30" x14ac:dyDescent="0.25">
      <c r="A3664" s="461">
        <v>11677</v>
      </c>
      <c r="B3664" s="460" t="s">
        <v>11722</v>
      </c>
      <c r="C3664" s="461" t="s">
        <v>1104</v>
      </c>
      <c r="D3664" s="461">
        <v>92.3</v>
      </c>
      <c r="E3664" s="461" t="s">
        <v>161</v>
      </c>
      <c r="F3664" s="461" t="s">
        <v>8326</v>
      </c>
    </row>
    <row r="3665" spans="1:6" ht="30" x14ac:dyDescent="0.25">
      <c r="A3665" s="461">
        <v>11678</v>
      </c>
      <c r="B3665" s="460" t="s">
        <v>11723</v>
      </c>
      <c r="C3665" s="461" t="s">
        <v>1104</v>
      </c>
      <c r="D3665" s="461">
        <v>169.03</v>
      </c>
      <c r="E3665" s="461" t="s">
        <v>161</v>
      </c>
      <c r="F3665" s="461" t="s">
        <v>8326</v>
      </c>
    </row>
    <row r="3666" spans="1:6" ht="15" x14ac:dyDescent="0.25">
      <c r="A3666" s="461">
        <v>6038</v>
      </c>
      <c r="B3666" s="460" t="s">
        <v>11724</v>
      </c>
      <c r="C3666" s="461" t="s">
        <v>1104</v>
      </c>
      <c r="D3666" s="461">
        <v>10.72</v>
      </c>
      <c r="E3666" s="461" t="s">
        <v>161</v>
      </c>
      <c r="F3666" s="461" t="s">
        <v>8326</v>
      </c>
    </row>
    <row r="3667" spans="1:6" ht="15" x14ac:dyDescent="0.25">
      <c r="A3667" s="461">
        <v>11718</v>
      </c>
      <c r="B3667" s="460" t="s">
        <v>11725</v>
      </c>
      <c r="C3667" s="461" t="s">
        <v>1104</v>
      </c>
      <c r="D3667" s="461">
        <v>30.58</v>
      </c>
      <c r="E3667" s="461" t="s">
        <v>161</v>
      </c>
      <c r="F3667" s="461" t="s">
        <v>8326</v>
      </c>
    </row>
    <row r="3668" spans="1:6" ht="15" x14ac:dyDescent="0.25">
      <c r="A3668" s="461">
        <v>6037</v>
      </c>
      <c r="B3668" s="460" t="s">
        <v>11726</v>
      </c>
      <c r="C3668" s="461" t="s">
        <v>1104</v>
      </c>
      <c r="D3668" s="461">
        <v>22.31</v>
      </c>
      <c r="E3668" s="461" t="s">
        <v>161</v>
      </c>
      <c r="F3668" s="461" t="s">
        <v>8326</v>
      </c>
    </row>
    <row r="3669" spans="1:6" ht="15" x14ac:dyDescent="0.25">
      <c r="A3669" s="461">
        <v>11719</v>
      </c>
      <c r="B3669" s="460" t="s">
        <v>11727</v>
      </c>
      <c r="C3669" s="461" t="s">
        <v>1104</v>
      </c>
      <c r="D3669" s="461">
        <v>24.81</v>
      </c>
      <c r="E3669" s="461" t="s">
        <v>161</v>
      </c>
      <c r="F3669" s="461" t="s">
        <v>8326</v>
      </c>
    </row>
    <row r="3670" spans="1:6" ht="15" x14ac:dyDescent="0.25">
      <c r="A3670" s="461">
        <v>6010</v>
      </c>
      <c r="B3670" s="460" t="s">
        <v>13328</v>
      </c>
      <c r="C3670" s="461" t="s">
        <v>1104</v>
      </c>
      <c r="D3670" s="461">
        <v>105.65</v>
      </c>
      <c r="E3670" s="461" t="s">
        <v>161</v>
      </c>
      <c r="F3670" s="461" t="s">
        <v>8326</v>
      </c>
    </row>
    <row r="3671" spans="1:6" ht="15" x14ac:dyDescent="0.25">
      <c r="A3671" s="461">
        <v>6017</v>
      </c>
      <c r="B3671" s="460" t="s">
        <v>13329</v>
      </c>
      <c r="C3671" s="461" t="s">
        <v>1104</v>
      </c>
      <c r="D3671" s="461">
        <v>83.68</v>
      </c>
      <c r="E3671" s="461" t="s">
        <v>161</v>
      </c>
      <c r="F3671" s="461" t="s">
        <v>8326</v>
      </c>
    </row>
    <row r="3672" spans="1:6" ht="15" x14ac:dyDescent="0.25">
      <c r="A3672" s="461">
        <v>6020</v>
      </c>
      <c r="B3672" s="460" t="s">
        <v>13330</v>
      </c>
      <c r="C3672" s="461" t="s">
        <v>1104</v>
      </c>
      <c r="D3672" s="461">
        <v>36.880000000000003</v>
      </c>
      <c r="E3672" s="461" t="s">
        <v>161</v>
      </c>
      <c r="F3672" s="461" t="s">
        <v>8326</v>
      </c>
    </row>
    <row r="3673" spans="1:6" ht="15" x14ac:dyDescent="0.25">
      <c r="A3673" s="461">
        <v>6019</v>
      </c>
      <c r="B3673" s="460" t="s">
        <v>13331</v>
      </c>
      <c r="C3673" s="461" t="s">
        <v>1104</v>
      </c>
      <c r="D3673" s="461">
        <v>61.4</v>
      </c>
      <c r="E3673" s="461" t="s">
        <v>161</v>
      </c>
      <c r="F3673" s="461" t="s">
        <v>8326</v>
      </c>
    </row>
    <row r="3674" spans="1:6" ht="15" x14ac:dyDescent="0.25">
      <c r="A3674" s="461">
        <v>6011</v>
      </c>
      <c r="B3674" s="460" t="s">
        <v>13332</v>
      </c>
      <c r="C3674" s="461" t="s">
        <v>1104</v>
      </c>
      <c r="D3674" s="461">
        <v>305.18</v>
      </c>
      <c r="E3674" s="461" t="s">
        <v>161</v>
      </c>
      <c r="F3674" s="461" t="s">
        <v>8326</v>
      </c>
    </row>
    <row r="3675" spans="1:6" ht="15" x14ac:dyDescent="0.25">
      <c r="A3675" s="461">
        <v>6028</v>
      </c>
      <c r="B3675" s="460" t="s">
        <v>13333</v>
      </c>
      <c r="C3675" s="461" t="s">
        <v>1104</v>
      </c>
      <c r="D3675" s="461">
        <v>147.15</v>
      </c>
      <c r="E3675" s="461" t="s">
        <v>161</v>
      </c>
      <c r="F3675" s="461" t="s">
        <v>8326</v>
      </c>
    </row>
    <row r="3676" spans="1:6" ht="15" x14ac:dyDescent="0.25">
      <c r="A3676" s="461">
        <v>6016</v>
      </c>
      <c r="B3676" s="460" t="s">
        <v>13334</v>
      </c>
      <c r="C3676" s="461" t="s">
        <v>1104</v>
      </c>
      <c r="D3676" s="461">
        <v>38.9</v>
      </c>
      <c r="E3676" s="461" t="s">
        <v>161</v>
      </c>
      <c r="F3676" s="461" t="s">
        <v>8326</v>
      </c>
    </row>
    <row r="3677" spans="1:6" ht="15" x14ac:dyDescent="0.25">
      <c r="A3677" s="461">
        <v>6012</v>
      </c>
      <c r="B3677" s="460" t="s">
        <v>13335</v>
      </c>
      <c r="C3677" s="461" t="s">
        <v>1104</v>
      </c>
      <c r="D3677" s="461">
        <v>369.48</v>
      </c>
      <c r="E3677" s="461" t="s">
        <v>161</v>
      </c>
      <c r="F3677" s="461" t="s">
        <v>8326</v>
      </c>
    </row>
    <row r="3678" spans="1:6" ht="15" x14ac:dyDescent="0.25">
      <c r="A3678" s="461">
        <v>6027</v>
      </c>
      <c r="B3678" s="460" t="s">
        <v>13336</v>
      </c>
      <c r="C3678" s="461" t="s">
        <v>1104</v>
      </c>
      <c r="D3678" s="461">
        <v>769.86</v>
      </c>
      <c r="E3678" s="461" t="s">
        <v>161</v>
      </c>
      <c r="F3678" s="461" t="s">
        <v>8326</v>
      </c>
    </row>
    <row r="3679" spans="1:6" ht="30" x14ac:dyDescent="0.25">
      <c r="A3679" s="461">
        <v>6015</v>
      </c>
      <c r="B3679" s="460" t="s">
        <v>13337</v>
      </c>
      <c r="C3679" s="461" t="s">
        <v>1104</v>
      </c>
      <c r="D3679" s="461">
        <v>168.94</v>
      </c>
      <c r="E3679" s="461" t="s">
        <v>161</v>
      </c>
      <c r="F3679" s="461" t="s">
        <v>8326</v>
      </c>
    </row>
    <row r="3680" spans="1:6" ht="30" x14ac:dyDescent="0.25">
      <c r="A3680" s="461">
        <v>6014</v>
      </c>
      <c r="B3680" s="460" t="s">
        <v>13338</v>
      </c>
      <c r="C3680" s="461" t="s">
        <v>1104</v>
      </c>
      <c r="D3680" s="461">
        <v>161.52000000000001</v>
      </c>
      <c r="E3680" s="461" t="s">
        <v>161</v>
      </c>
      <c r="F3680" s="461" t="s">
        <v>8326</v>
      </c>
    </row>
    <row r="3681" spans="1:6" ht="30" x14ac:dyDescent="0.25">
      <c r="A3681" s="461">
        <v>6006</v>
      </c>
      <c r="B3681" s="460" t="s">
        <v>13339</v>
      </c>
      <c r="C3681" s="461" t="s">
        <v>1104</v>
      </c>
      <c r="D3681" s="461">
        <v>84.12</v>
      </c>
      <c r="E3681" s="461" t="s">
        <v>161</v>
      </c>
      <c r="F3681" s="461" t="s">
        <v>8326</v>
      </c>
    </row>
    <row r="3682" spans="1:6" ht="30" x14ac:dyDescent="0.25">
      <c r="A3682" s="461">
        <v>6013</v>
      </c>
      <c r="B3682" s="460" t="s">
        <v>13340</v>
      </c>
      <c r="C3682" s="461" t="s">
        <v>1104</v>
      </c>
      <c r="D3682" s="461">
        <v>116.17</v>
      </c>
      <c r="E3682" s="461" t="s">
        <v>161</v>
      </c>
      <c r="F3682" s="461" t="s">
        <v>8326</v>
      </c>
    </row>
    <row r="3683" spans="1:6" ht="30" x14ac:dyDescent="0.25">
      <c r="A3683" s="461">
        <v>6005</v>
      </c>
      <c r="B3683" s="460" t="s">
        <v>13341</v>
      </c>
      <c r="C3683" s="461" t="s">
        <v>1104</v>
      </c>
      <c r="D3683" s="461">
        <v>94.9</v>
      </c>
      <c r="E3683" s="461" t="s">
        <v>161</v>
      </c>
      <c r="F3683" s="461" t="s">
        <v>8333</v>
      </c>
    </row>
    <row r="3684" spans="1:6" ht="15" x14ac:dyDescent="0.25">
      <c r="A3684" s="461">
        <v>11756</v>
      </c>
      <c r="B3684" s="460" t="s">
        <v>11728</v>
      </c>
      <c r="C3684" s="461" t="s">
        <v>1104</v>
      </c>
      <c r="D3684" s="461">
        <v>45.32</v>
      </c>
      <c r="E3684" s="461" t="s">
        <v>161</v>
      </c>
      <c r="F3684" s="461" t="s">
        <v>8326</v>
      </c>
    </row>
    <row r="3685" spans="1:6" ht="45" x14ac:dyDescent="0.25">
      <c r="A3685" s="461">
        <v>10904</v>
      </c>
      <c r="B3685" s="460" t="s">
        <v>11729</v>
      </c>
      <c r="C3685" s="461" t="s">
        <v>1104</v>
      </c>
      <c r="D3685" s="461">
        <v>200</v>
      </c>
      <c r="E3685" s="461" t="s">
        <v>161</v>
      </c>
      <c r="F3685" s="461" t="s">
        <v>8333</v>
      </c>
    </row>
    <row r="3686" spans="1:6" ht="15" x14ac:dyDescent="0.25">
      <c r="A3686" s="461">
        <v>11752</v>
      </c>
      <c r="B3686" s="460" t="s">
        <v>13342</v>
      </c>
      <c r="C3686" s="461" t="s">
        <v>1104</v>
      </c>
      <c r="D3686" s="461">
        <v>26.13</v>
      </c>
      <c r="E3686" s="461" t="s">
        <v>161</v>
      </c>
      <c r="F3686" s="461" t="s">
        <v>8326</v>
      </c>
    </row>
    <row r="3687" spans="1:6" ht="15" x14ac:dyDescent="0.25">
      <c r="A3687" s="461">
        <v>11753</v>
      </c>
      <c r="B3687" s="460" t="s">
        <v>13343</v>
      </c>
      <c r="C3687" s="461" t="s">
        <v>1104</v>
      </c>
      <c r="D3687" s="461">
        <v>31.2</v>
      </c>
      <c r="E3687" s="461" t="s">
        <v>161</v>
      </c>
      <c r="F3687" s="461" t="s">
        <v>8326</v>
      </c>
    </row>
    <row r="3688" spans="1:6" ht="30" x14ac:dyDescent="0.25">
      <c r="A3688" s="461">
        <v>6021</v>
      </c>
      <c r="B3688" s="460" t="s">
        <v>13344</v>
      </c>
      <c r="C3688" s="461" t="s">
        <v>1104</v>
      </c>
      <c r="D3688" s="461">
        <v>86.59</v>
      </c>
      <c r="E3688" s="461" t="s">
        <v>161</v>
      </c>
      <c r="F3688" s="461" t="s">
        <v>8326</v>
      </c>
    </row>
    <row r="3689" spans="1:6" ht="30" x14ac:dyDescent="0.25">
      <c r="A3689" s="461">
        <v>6024</v>
      </c>
      <c r="B3689" s="460" t="s">
        <v>13345</v>
      </c>
      <c r="C3689" s="461" t="s">
        <v>1104</v>
      </c>
      <c r="D3689" s="461">
        <v>89.5</v>
      </c>
      <c r="E3689" s="461" t="s">
        <v>161</v>
      </c>
      <c r="F3689" s="461" t="s">
        <v>8326</v>
      </c>
    </row>
    <row r="3690" spans="1:6" ht="15" x14ac:dyDescent="0.25">
      <c r="A3690" s="461">
        <v>38379</v>
      </c>
      <c r="B3690" s="460" t="s">
        <v>13346</v>
      </c>
      <c r="C3690" s="461" t="s">
        <v>1107</v>
      </c>
      <c r="D3690" s="461">
        <v>66.510000000000005</v>
      </c>
      <c r="E3690" s="461" t="s">
        <v>161</v>
      </c>
      <c r="F3690" s="461" t="s">
        <v>8326</v>
      </c>
    </row>
    <row r="3691" spans="1:6" ht="30" x14ac:dyDescent="0.25">
      <c r="A3691" s="461">
        <v>13897</v>
      </c>
      <c r="B3691" s="460" t="s">
        <v>11730</v>
      </c>
      <c r="C3691" s="461" t="s">
        <v>1104</v>
      </c>
      <c r="D3691" s="461">
        <v>6173.11</v>
      </c>
      <c r="E3691" s="461" t="s">
        <v>1497</v>
      </c>
      <c r="F3691" s="461" t="s">
        <v>8328</v>
      </c>
    </row>
    <row r="3692" spans="1:6" ht="30" x14ac:dyDescent="0.25">
      <c r="A3692" s="461">
        <v>10640</v>
      </c>
      <c r="B3692" s="460" t="s">
        <v>11731</v>
      </c>
      <c r="C3692" s="461" t="s">
        <v>1104</v>
      </c>
      <c r="D3692" s="461">
        <v>13369.66</v>
      </c>
      <c r="E3692" s="461" t="s">
        <v>1497</v>
      </c>
      <c r="F3692" s="461" t="s">
        <v>8328</v>
      </c>
    </row>
    <row r="3693" spans="1:6" ht="15" x14ac:dyDescent="0.25">
      <c r="A3693" s="461">
        <v>34357</v>
      </c>
      <c r="B3693" s="460" t="s">
        <v>11732</v>
      </c>
      <c r="C3693" s="461" t="s">
        <v>1108</v>
      </c>
      <c r="D3693" s="461">
        <v>3.81</v>
      </c>
      <c r="E3693" s="461" t="s">
        <v>161</v>
      </c>
      <c r="F3693" s="461" t="s">
        <v>8326</v>
      </c>
    </row>
    <row r="3694" spans="1:6" ht="15" x14ac:dyDescent="0.25">
      <c r="A3694" s="461">
        <v>37329</v>
      </c>
      <c r="B3694" s="460" t="s">
        <v>11733</v>
      </c>
      <c r="C3694" s="461" t="s">
        <v>1108</v>
      </c>
      <c r="D3694" s="461">
        <v>80.38</v>
      </c>
      <c r="E3694" s="461" t="s">
        <v>161</v>
      </c>
      <c r="F3694" s="461" t="s">
        <v>8326</v>
      </c>
    </row>
    <row r="3695" spans="1:6" ht="15" x14ac:dyDescent="0.25">
      <c r="A3695" s="461">
        <v>2510</v>
      </c>
      <c r="B3695" s="460" t="s">
        <v>11734</v>
      </c>
      <c r="C3695" s="461" t="s">
        <v>1104</v>
      </c>
      <c r="D3695" s="461">
        <v>21.34</v>
      </c>
      <c r="E3695" s="461" t="s">
        <v>161</v>
      </c>
      <c r="F3695" s="461" t="s">
        <v>8326</v>
      </c>
    </row>
    <row r="3696" spans="1:6" ht="30" x14ac:dyDescent="0.25">
      <c r="A3696" s="461">
        <v>12359</v>
      </c>
      <c r="B3696" s="460" t="s">
        <v>11735</v>
      </c>
      <c r="C3696" s="461" t="s">
        <v>1104</v>
      </c>
      <c r="D3696" s="461">
        <v>162.13999999999999</v>
      </c>
      <c r="E3696" s="461" t="s">
        <v>161</v>
      </c>
      <c r="F3696" s="461" t="s">
        <v>8326</v>
      </c>
    </row>
    <row r="3697" spans="1:6" ht="15" x14ac:dyDescent="0.25">
      <c r="A3697" s="461">
        <v>7353</v>
      </c>
      <c r="B3697" s="460" t="s">
        <v>11736</v>
      </c>
      <c r="C3697" s="461" t="s">
        <v>1109</v>
      </c>
      <c r="D3697" s="461">
        <v>36.29</v>
      </c>
      <c r="E3697" s="461" t="s">
        <v>161</v>
      </c>
      <c r="F3697" s="461" t="s">
        <v>8326</v>
      </c>
    </row>
    <row r="3698" spans="1:6" ht="15" x14ac:dyDescent="0.25">
      <c r="A3698" s="461">
        <v>36144</v>
      </c>
      <c r="B3698" s="460" t="s">
        <v>11737</v>
      </c>
      <c r="C3698" s="461" t="s">
        <v>1104</v>
      </c>
      <c r="D3698" s="461">
        <v>1.73</v>
      </c>
      <c r="E3698" s="461" t="s">
        <v>161</v>
      </c>
      <c r="F3698" s="461" t="s">
        <v>8326</v>
      </c>
    </row>
    <row r="3699" spans="1:6" ht="15" x14ac:dyDescent="0.25">
      <c r="A3699" s="461">
        <v>10518</v>
      </c>
      <c r="B3699" s="460" t="s">
        <v>11738</v>
      </c>
      <c r="C3699" s="461" t="s">
        <v>1104</v>
      </c>
      <c r="D3699" s="461">
        <v>129.04</v>
      </c>
      <c r="E3699" s="461" t="s">
        <v>161</v>
      </c>
      <c r="F3699" s="461" t="s">
        <v>8328</v>
      </c>
    </row>
    <row r="3700" spans="1:6" ht="60" x14ac:dyDescent="0.25">
      <c r="A3700" s="461">
        <v>36530</v>
      </c>
      <c r="B3700" s="460" t="s">
        <v>13347</v>
      </c>
      <c r="C3700" s="461" t="s">
        <v>1104</v>
      </c>
      <c r="D3700" s="461">
        <v>384914.62</v>
      </c>
      <c r="E3700" s="461" t="s">
        <v>1497</v>
      </c>
      <c r="F3700" s="461" t="s">
        <v>8328</v>
      </c>
    </row>
    <row r="3701" spans="1:6" ht="60" x14ac:dyDescent="0.25">
      <c r="A3701" s="461">
        <v>6046</v>
      </c>
      <c r="B3701" s="460" t="s">
        <v>11739</v>
      </c>
      <c r="C3701" s="461" t="s">
        <v>1104</v>
      </c>
      <c r="D3701" s="461">
        <v>417500</v>
      </c>
      <c r="E3701" s="461" t="s">
        <v>1497</v>
      </c>
      <c r="F3701" s="461" t="s">
        <v>8328</v>
      </c>
    </row>
    <row r="3702" spans="1:6" ht="60" x14ac:dyDescent="0.25">
      <c r="A3702" s="461">
        <v>36531</v>
      </c>
      <c r="B3702" s="460" t="s">
        <v>13348</v>
      </c>
      <c r="C3702" s="461" t="s">
        <v>1104</v>
      </c>
      <c r="D3702" s="461">
        <v>432774.36</v>
      </c>
      <c r="E3702" s="461" t="s">
        <v>1497</v>
      </c>
      <c r="F3702" s="461" t="s">
        <v>8328</v>
      </c>
    </row>
    <row r="3703" spans="1:6" ht="30" x14ac:dyDescent="0.25">
      <c r="A3703" s="461">
        <v>34684</v>
      </c>
      <c r="B3703" s="460" t="s">
        <v>11740</v>
      </c>
      <c r="C3703" s="461" t="s">
        <v>1106</v>
      </c>
      <c r="D3703" s="461">
        <v>280.27</v>
      </c>
      <c r="E3703" s="461" t="s">
        <v>161</v>
      </c>
      <c r="F3703" s="461" t="s">
        <v>8328</v>
      </c>
    </row>
    <row r="3704" spans="1:6" ht="30" x14ac:dyDescent="0.25">
      <c r="A3704" s="461">
        <v>34683</v>
      </c>
      <c r="B3704" s="460" t="s">
        <v>11741</v>
      </c>
      <c r="C3704" s="461" t="s">
        <v>1106</v>
      </c>
      <c r="D3704" s="461">
        <v>175.17</v>
      </c>
      <c r="E3704" s="461" t="s">
        <v>161</v>
      </c>
      <c r="F3704" s="461" t="s">
        <v>8328</v>
      </c>
    </row>
    <row r="3705" spans="1:6" ht="30" x14ac:dyDescent="0.25">
      <c r="A3705" s="461">
        <v>533</v>
      </c>
      <c r="B3705" s="460" t="s">
        <v>11742</v>
      </c>
      <c r="C3705" s="461" t="s">
        <v>1106</v>
      </c>
      <c r="D3705" s="461">
        <v>21.91</v>
      </c>
      <c r="E3705" s="461" t="s">
        <v>161</v>
      </c>
      <c r="F3705" s="461" t="s">
        <v>8326</v>
      </c>
    </row>
    <row r="3706" spans="1:6" ht="30" x14ac:dyDescent="0.25">
      <c r="A3706" s="461">
        <v>10515</v>
      </c>
      <c r="B3706" s="460" t="s">
        <v>11743</v>
      </c>
      <c r="C3706" s="461" t="s">
        <v>1106</v>
      </c>
      <c r="D3706" s="461">
        <v>41.33</v>
      </c>
      <c r="E3706" s="461" t="s">
        <v>161</v>
      </c>
      <c r="F3706" s="461" t="s">
        <v>8326</v>
      </c>
    </row>
    <row r="3707" spans="1:6" ht="30" x14ac:dyDescent="0.25">
      <c r="A3707" s="461">
        <v>536</v>
      </c>
      <c r="B3707" s="460" t="s">
        <v>11744</v>
      </c>
      <c r="C3707" s="461" t="s">
        <v>1106</v>
      </c>
      <c r="D3707" s="461">
        <v>29.9</v>
      </c>
      <c r="E3707" s="461" t="s">
        <v>161</v>
      </c>
      <c r="F3707" s="461" t="s">
        <v>8333</v>
      </c>
    </row>
    <row r="3708" spans="1:6" ht="30" x14ac:dyDescent="0.25">
      <c r="A3708" s="461">
        <v>153</v>
      </c>
      <c r="B3708" s="460" t="s">
        <v>11745</v>
      </c>
      <c r="C3708" s="461" t="s">
        <v>1109</v>
      </c>
      <c r="D3708" s="461">
        <v>108.04</v>
      </c>
      <c r="E3708" s="461" t="s">
        <v>161</v>
      </c>
      <c r="F3708" s="461" t="s">
        <v>8326</v>
      </c>
    </row>
    <row r="3709" spans="1:6" ht="30" x14ac:dyDescent="0.25">
      <c r="A3709" s="461">
        <v>34682</v>
      </c>
      <c r="B3709" s="460" t="s">
        <v>11746</v>
      </c>
      <c r="C3709" s="461" t="s">
        <v>1106</v>
      </c>
      <c r="D3709" s="461">
        <v>133.94999999999999</v>
      </c>
      <c r="E3709" s="461" t="s">
        <v>161</v>
      </c>
      <c r="F3709" s="461" t="s">
        <v>8328</v>
      </c>
    </row>
    <row r="3710" spans="1:6" ht="30" x14ac:dyDescent="0.25">
      <c r="A3710" s="461">
        <v>20205</v>
      </c>
      <c r="B3710" s="460" t="s">
        <v>11747</v>
      </c>
      <c r="C3710" s="461" t="s">
        <v>1107</v>
      </c>
      <c r="D3710" s="461">
        <v>3.67</v>
      </c>
      <c r="E3710" s="461" t="s">
        <v>161</v>
      </c>
      <c r="F3710" s="461" t="s">
        <v>8326</v>
      </c>
    </row>
    <row r="3711" spans="1:6" ht="30" x14ac:dyDescent="0.25">
      <c r="A3711" s="461">
        <v>4412</v>
      </c>
      <c r="B3711" s="460" t="s">
        <v>11748</v>
      </c>
      <c r="C3711" s="461" t="s">
        <v>1107</v>
      </c>
      <c r="D3711" s="511">
        <v>2.2000000000000002</v>
      </c>
      <c r="E3711" s="461" t="s">
        <v>161</v>
      </c>
      <c r="F3711" s="461" t="s">
        <v>8326</v>
      </c>
    </row>
    <row r="3712" spans="1:6" ht="30" x14ac:dyDescent="0.25">
      <c r="A3712" s="461">
        <v>4408</v>
      </c>
      <c r="B3712" s="460" t="s">
        <v>11749</v>
      </c>
      <c r="C3712" s="461" t="s">
        <v>1107</v>
      </c>
      <c r="D3712" s="511">
        <v>2.75</v>
      </c>
      <c r="E3712" s="461" t="s">
        <v>161</v>
      </c>
      <c r="F3712" s="461" t="s">
        <v>8326</v>
      </c>
    </row>
    <row r="3713" spans="1:6" ht="15" x14ac:dyDescent="0.25">
      <c r="A3713" s="461">
        <v>36250</v>
      </c>
      <c r="B3713" s="460" t="s">
        <v>11750</v>
      </c>
      <c r="C3713" s="461" t="s">
        <v>1107</v>
      </c>
      <c r="D3713" s="461">
        <v>3.34</v>
      </c>
      <c r="E3713" s="461" t="s">
        <v>161</v>
      </c>
      <c r="F3713" s="461" t="s">
        <v>8326</v>
      </c>
    </row>
    <row r="3714" spans="1:6" ht="15" x14ac:dyDescent="0.25">
      <c r="A3714" s="461">
        <v>10857</v>
      </c>
      <c r="B3714" s="460" t="s">
        <v>11751</v>
      </c>
      <c r="C3714" s="461" t="s">
        <v>1107</v>
      </c>
      <c r="D3714" s="461">
        <v>16.36</v>
      </c>
      <c r="E3714" s="461" t="s">
        <v>161</v>
      </c>
      <c r="F3714" s="461" t="s">
        <v>8328</v>
      </c>
    </row>
    <row r="3715" spans="1:6" ht="15" x14ac:dyDescent="0.25">
      <c r="A3715" s="461">
        <v>4803</v>
      </c>
      <c r="B3715" s="460" t="s">
        <v>11752</v>
      </c>
      <c r="C3715" s="461" t="s">
        <v>1107</v>
      </c>
      <c r="D3715" s="461">
        <v>33.83</v>
      </c>
      <c r="E3715" s="461" t="s">
        <v>161</v>
      </c>
      <c r="F3715" s="461" t="s">
        <v>8326</v>
      </c>
    </row>
    <row r="3716" spans="1:6" ht="30" x14ac:dyDescent="0.25">
      <c r="A3716" s="461">
        <v>6186</v>
      </c>
      <c r="B3716" s="460" t="s">
        <v>11753</v>
      </c>
      <c r="C3716" s="461" t="s">
        <v>1107</v>
      </c>
      <c r="D3716" s="461">
        <v>19.86</v>
      </c>
      <c r="E3716" s="461" t="s">
        <v>161</v>
      </c>
      <c r="F3716" s="461" t="s">
        <v>8328</v>
      </c>
    </row>
    <row r="3717" spans="1:6" ht="30" x14ac:dyDescent="0.25">
      <c r="A3717" s="461">
        <v>4829</v>
      </c>
      <c r="B3717" s="460" t="s">
        <v>13349</v>
      </c>
      <c r="C3717" s="461" t="s">
        <v>1107</v>
      </c>
      <c r="D3717" s="461">
        <v>41.67</v>
      </c>
      <c r="E3717" s="461" t="s">
        <v>161</v>
      </c>
      <c r="F3717" s="461" t="s">
        <v>8326</v>
      </c>
    </row>
    <row r="3718" spans="1:6" ht="15" x14ac:dyDescent="0.25">
      <c r="A3718" s="461">
        <v>39829</v>
      </c>
      <c r="B3718" s="460" t="s">
        <v>11754</v>
      </c>
      <c r="C3718" s="461" t="s">
        <v>1107</v>
      </c>
      <c r="D3718" s="461">
        <v>35.299999999999997</v>
      </c>
      <c r="E3718" s="461" t="s">
        <v>161</v>
      </c>
      <c r="F3718" s="461" t="s">
        <v>8328</v>
      </c>
    </row>
    <row r="3719" spans="1:6" ht="30" x14ac:dyDescent="0.25">
      <c r="A3719" s="461">
        <v>20231</v>
      </c>
      <c r="B3719" s="460" t="s">
        <v>13350</v>
      </c>
      <c r="C3719" s="461" t="s">
        <v>1107</v>
      </c>
      <c r="D3719" s="461">
        <v>51.07</v>
      </c>
      <c r="E3719" s="461" t="s">
        <v>161</v>
      </c>
      <c r="F3719" s="461" t="s">
        <v>8326</v>
      </c>
    </row>
    <row r="3720" spans="1:6" ht="15" x14ac:dyDescent="0.25">
      <c r="A3720" s="461">
        <v>4804</v>
      </c>
      <c r="B3720" s="460" t="s">
        <v>11755</v>
      </c>
      <c r="C3720" s="461" t="s">
        <v>1107</v>
      </c>
      <c r="D3720" s="511">
        <v>25.97</v>
      </c>
      <c r="E3720" s="461" t="s">
        <v>161</v>
      </c>
      <c r="F3720" s="461" t="s">
        <v>8326</v>
      </c>
    </row>
    <row r="3721" spans="1:6" ht="15" x14ac:dyDescent="0.25">
      <c r="A3721" s="461">
        <v>34680</v>
      </c>
      <c r="B3721" s="460" t="s">
        <v>11756</v>
      </c>
      <c r="C3721" s="461" t="s">
        <v>1107</v>
      </c>
      <c r="D3721" s="511">
        <v>41.21</v>
      </c>
      <c r="E3721" s="461" t="s">
        <v>161</v>
      </c>
      <c r="F3721" s="461" t="s">
        <v>8328</v>
      </c>
    </row>
    <row r="3722" spans="1:6" ht="30" x14ac:dyDescent="0.25">
      <c r="A3722" s="461">
        <v>11573</v>
      </c>
      <c r="B3722" s="460" t="s">
        <v>11757</v>
      </c>
      <c r="C3722" s="461" t="s">
        <v>1104</v>
      </c>
      <c r="D3722" s="511">
        <v>5.37</v>
      </c>
      <c r="E3722" s="461" t="s">
        <v>161</v>
      </c>
      <c r="F3722" s="461" t="s">
        <v>8326</v>
      </c>
    </row>
    <row r="3723" spans="1:6" ht="15" x14ac:dyDescent="0.25">
      <c r="A3723" s="461">
        <v>38401</v>
      </c>
      <c r="B3723" s="460" t="s">
        <v>11758</v>
      </c>
      <c r="C3723" s="461" t="s">
        <v>1104</v>
      </c>
      <c r="D3723" s="461">
        <v>11.77</v>
      </c>
      <c r="E3723" s="461" t="s">
        <v>161</v>
      </c>
      <c r="F3723" s="461" t="s">
        <v>8326</v>
      </c>
    </row>
    <row r="3724" spans="1:6" ht="30" x14ac:dyDescent="0.25">
      <c r="A3724" s="461">
        <v>11575</v>
      </c>
      <c r="B3724" s="460" t="s">
        <v>11759</v>
      </c>
      <c r="C3724" s="461" t="s">
        <v>1104</v>
      </c>
      <c r="D3724" s="461">
        <v>51.81</v>
      </c>
      <c r="E3724" s="461" t="s">
        <v>161</v>
      </c>
      <c r="F3724" s="461" t="s">
        <v>8326</v>
      </c>
    </row>
    <row r="3725" spans="1:6" ht="30" x14ac:dyDescent="0.25">
      <c r="A3725" s="461">
        <v>38179</v>
      </c>
      <c r="B3725" s="460" t="s">
        <v>13351</v>
      </c>
      <c r="C3725" s="461" t="s">
        <v>1104</v>
      </c>
      <c r="D3725" s="461">
        <v>42.84</v>
      </c>
      <c r="E3725" s="461" t="s">
        <v>161</v>
      </c>
      <c r="F3725" s="461" t="s">
        <v>8326</v>
      </c>
    </row>
    <row r="3726" spans="1:6" ht="30" x14ac:dyDescent="0.25">
      <c r="A3726" s="461">
        <v>20256</v>
      </c>
      <c r="B3726" s="460" t="s">
        <v>11760</v>
      </c>
      <c r="C3726" s="461" t="s">
        <v>1104</v>
      </c>
      <c r="D3726" s="461">
        <v>0.31</v>
      </c>
      <c r="E3726" s="461" t="s">
        <v>161</v>
      </c>
      <c r="F3726" s="461" t="s">
        <v>8326</v>
      </c>
    </row>
    <row r="3727" spans="1:6" ht="30" x14ac:dyDescent="0.25">
      <c r="A3727" s="461">
        <v>14511</v>
      </c>
      <c r="B3727" s="460" t="s">
        <v>11761</v>
      </c>
      <c r="C3727" s="461" t="s">
        <v>1104</v>
      </c>
      <c r="D3727" s="461">
        <v>968102.95</v>
      </c>
      <c r="E3727" s="461" t="s">
        <v>1497</v>
      </c>
      <c r="F3727" s="461" t="s">
        <v>8328</v>
      </c>
    </row>
    <row r="3728" spans="1:6" ht="30" x14ac:dyDescent="0.25">
      <c r="A3728" s="461">
        <v>10642</v>
      </c>
      <c r="B3728" s="460" t="s">
        <v>11762</v>
      </c>
      <c r="C3728" s="461" t="s">
        <v>1104</v>
      </c>
      <c r="D3728" s="461">
        <v>912000</v>
      </c>
      <c r="E3728" s="461" t="s">
        <v>1497</v>
      </c>
      <c r="F3728" s="461" t="s">
        <v>8328</v>
      </c>
    </row>
    <row r="3729" spans="1:6" ht="45" x14ac:dyDescent="0.25">
      <c r="A3729" s="461">
        <v>14489</v>
      </c>
      <c r="B3729" s="460" t="s">
        <v>11763</v>
      </c>
      <c r="C3729" s="461" t="s">
        <v>1104</v>
      </c>
      <c r="D3729" s="461">
        <v>808927.03</v>
      </c>
      <c r="E3729" s="461" t="s">
        <v>1497</v>
      </c>
      <c r="F3729" s="461" t="s">
        <v>8328</v>
      </c>
    </row>
    <row r="3730" spans="1:6" ht="30" x14ac:dyDescent="0.25">
      <c r="A3730" s="461">
        <v>14513</v>
      </c>
      <c r="B3730" s="460" t="s">
        <v>11764</v>
      </c>
      <c r="C3730" s="461" t="s">
        <v>1104</v>
      </c>
      <c r="D3730" s="461">
        <v>606714.47</v>
      </c>
      <c r="E3730" s="461" t="s">
        <v>1497</v>
      </c>
      <c r="F3730" s="461" t="s">
        <v>8328</v>
      </c>
    </row>
    <row r="3731" spans="1:6" ht="45" x14ac:dyDescent="0.25">
      <c r="A3731" s="461">
        <v>13600</v>
      </c>
      <c r="B3731" s="460" t="s">
        <v>11765</v>
      </c>
      <c r="C3731" s="461" t="s">
        <v>1104</v>
      </c>
      <c r="D3731" s="461">
        <v>782832.52</v>
      </c>
      <c r="E3731" s="461" t="s">
        <v>1497</v>
      </c>
      <c r="F3731" s="461" t="s">
        <v>8328</v>
      </c>
    </row>
    <row r="3732" spans="1:6" ht="45" x14ac:dyDescent="0.25">
      <c r="A3732" s="461">
        <v>10646</v>
      </c>
      <c r="B3732" s="460" t="s">
        <v>11766</v>
      </c>
      <c r="C3732" s="461" t="s">
        <v>1104</v>
      </c>
      <c r="D3732" s="461">
        <v>583549.49</v>
      </c>
      <c r="E3732" s="461" t="s">
        <v>1497</v>
      </c>
      <c r="F3732" s="461" t="s">
        <v>8328</v>
      </c>
    </row>
    <row r="3733" spans="1:6" ht="45" x14ac:dyDescent="0.25">
      <c r="A3733" s="461">
        <v>6070</v>
      </c>
      <c r="B3733" s="460" t="s">
        <v>13352</v>
      </c>
      <c r="C3733" s="461" t="s">
        <v>1104</v>
      </c>
      <c r="D3733" s="461">
        <v>797348.55</v>
      </c>
      <c r="E3733" s="461" t="s">
        <v>1497</v>
      </c>
      <c r="F3733" s="461" t="s">
        <v>8328</v>
      </c>
    </row>
    <row r="3734" spans="1:6" ht="45" x14ac:dyDescent="0.25">
      <c r="A3734" s="461">
        <v>6069</v>
      </c>
      <c r="B3734" s="460" t="s">
        <v>11767</v>
      </c>
      <c r="C3734" s="461" t="s">
        <v>1104</v>
      </c>
      <c r="D3734" s="461">
        <v>176146.32</v>
      </c>
      <c r="E3734" s="461" t="s">
        <v>1497</v>
      </c>
      <c r="F3734" s="461" t="s">
        <v>8328</v>
      </c>
    </row>
    <row r="3735" spans="1:6" ht="30" x14ac:dyDescent="0.25">
      <c r="A3735" s="461">
        <v>14626</v>
      </c>
      <c r="B3735" s="460" t="s">
        <v>11768</v>
      </c>
      <c r="C3735" s="461" t="s">
        <v>1104</v>
      </c>
      <c r="D3735" s="461">
        <v>872914.32</v>
      </c>
      <c r="E3735" s="461" t="s">
        <v>1497</v>
      </c>
      <c r="F3735" s="461" t="s">
        <v>8328</v>
      </c>
    </row>
    <row r="3736" spans="1:6" ht="30" x14ac:dyDescent="0.25">
      <c r="A3736" s="461">
        <v>6067</v>
      </c>
      <c r="B3736" s="460" t="s">
        <v>11769</v>
      </c>
      <c r="C3736" s="461" t="s">
        <v>1104</v>
      </c>
      <c r="D3736" s="461">
        <v>716571.44</v>
      </c>
      <c r="E3736" s="461" t="s">
        <v>1497</v>
      </c>
      <c r="F3736" s="461" t="s">
        <v>8328</v>
      </c>
    </row>
    <row r="3737" spans="1:6" ht="15" x14ac:dyDescent="0.25">
      <c r="A3737" s="461">
        <v>38393</v>
      </c>
      <c r="B3737" s="460" t="s">
        <v>11770</v>
      </c>
      <c r="C3737" s="461" t="s">
        <v>1104</v>
      </c>
      <c r="D3737" s="461">
        <v>16</v>
      </c>
      <c r="E3737" s="461" t="s">
        <v>161</v>
      </c>
      <c r="F3737" s="461" t="s">
        <v>8333</v>
      </c>
    </row>
    <row r="3738" spans="1:6" ht="15" x14ac:dyDescent="0.25">
      <c r="A3738" s="461">
        <v>38390</v>
      </c>
      <c r="B3738" s="460" t="s">
        <v>11771</v>
      </c>
      <c r="C3738" s="461" t="s">
        <v>1104</v>
      </c>
      <c r="D3738" s="461">
        <v>35.49</v>
      </c>
      <c r="E3738" s="461" t="s">
        <v>161</v>
      </c>
      <c r="F3738" s="461" t="s">
        <v>8326</v>
      </c>
    </row>
    <row r="3739" spans="1:6" ht="15" x14ac:dyDescent="0.25">
      <c r="A3739" s="461">
        <v>36532</v>
      </c>
      <c r="B3739" s="460" t="s">
        <v>11772</v>
      </c>
      <c r="C3739" s="461" t="s">
        <v>1104</v>
      </c>
      <c r="D3739" s="461">
        <v>28866.43</v>
      </c>
      <c r="E3739" s="461" t="s">
        <v>1497</v>
      </c>
      <c r="F3739" s="461" t="s">
        <v>8328</v>
      </c>
    </row>
    <row r="3740" spans="1:6" ht="30" x14ac:dyDescent="0.25">
      <c r="A3740" s="461">
        <v>11578</v>
      </c>
      <c r="B3740" s="460" t="s">
        <v>11773</v>
      </c>
      <c r="C3740" s="461" t="s">
        <v>1104</v>
      </c>
      <c r="D3740" s="461">
        <v>11.18</v>
      </c>
      <c r="E3740" s="461" t="s">
        <v>161</v>
      </c>
      <c r="F3740" s="461" t="s">
        <v>8326</v>
      </c>
    </row>
    <row r="3741" spans="1:6" ht="30" x14ac:dyDescent="0.25">
      <c r="A3741" s="461">
        <v>11577</v>
      </c>
      <c r="B3741" s="460" t="s">
        <v>11774</v>
      </c>
      <c r="C3741" s="461" t="s">
        <v>1104</v>
      </c>
      <c r="D3741" s="461">
        <v>10.68</v>
      </c>
      <c r="E3741" s="461" t="s">
        <v>161</v>
      </c>
      <c r="F3741" s="461" t="s">
        <v>8326</v>
      </c>
    </row>
    <row r="3742" spans="1:6" ht="45" x14ac:dyDescent="0.25">
      <c r="A3742" s="461">
        <v>42432</v>
      </c>
      <c r="B3742" s="460" t="s">
        <v>11775</v>
      </c>
      <c r="C3742" s="461" t="s">
        <v>1104</v>
      </c>
      <c r="D3742" s="461">
        <v>2424.64</v>
      </c>
      <c r="E3742" s="461" t="s">
        <v>161</v>
      </c>
      <c r="F3742" s="461" t="s">
        <v>8328</v>
      </c>
    </row>
    <row r="3743" spans="1:6" ht="45" x14ac:dyDescent="0.25">
      <c r="A3743" s="461">
        <v>42437</v>
      </c>
      <c r="B3743" s="460" t="s">
        <v>11776</v>
      </c>
      <c r="C3743" s="461" t="s">
        <v>1104</v>
      </c>
      <c r="D3743" s="461">
        <v>1843.37</v>
      </c>
      <c r="E3743" s="461" t="s">
        <v>161</v>
      </c>
      <c r="F3743" s="461" t="s">
        <v>8328</v>
      </c>
    </row>
    <row r="3744" spans="1:6" ht="15" x14ac:dyDescent="0.25">
      <c r="A3744" s="461">
        <v>1116</v>
      </c>
      <c r="B3744" s="460" t="s">
        <v>11777</v>
      </c>
      <c r="C3744" s="461" t="s">
        <v>1107</v>
      </c>
      <c r="D3744" s="461">
        <v>16.46</v>
      </c>
      <c r="E3744" s="461" t="s">
        <v>161</v>
      </c>
      <c r="F3744" s="461" t="s">
        <v>8326</v>
      </c>
    </row>
    <row r="3745" spans="1:6" ht="15" x14ac:dyDescent="0.25">
      <c r="A3745" s="461">
        <v>1115</v>
      </c>
      <c r="B3745" s="460" t="s">
        <v>11778</v>
      </c>
      <c r="C3745" s="461" t="s">
        <v>1107</v>
      </c>
      <c r="D3745" s="461">
        <v>19.72</v>
      </c>
      <c r="E3745" s="461" t="s">
        <v>161</v>
      </c>
      <c r="F3745" s="461" t="s">
        <v>8326</v>
      </c>
    </row>
    <row r="3746" spans="1:6" ht="15" x14ac:dyDescent="0.25">
      <c r="A3746" s="461">
        <v>1113</v>
      </c>
      <c r="B3746" s="460" t="s">
        <v>11779</v>
      </c>
      <c r="C3746" s="461" t="s">
        <v>1107</v>
      </c>
      <c r="D3746" s="461">
        <v>23.05</v>
      </c>
      <c r="E3746" s="461" t="s">
        <v>161</v>
      </c>
      <c r="F3746" s="461" t="s">
        <v>8326</v>
      </c>
    </row>
    <row r="3747" spans="1:6" ht="15" x14ac:dyDescent="0.25">
      <c r="A3747" s="461">
        <v>1114</v>
      </c>
      <c r="B3747" s="460" t="s">
        <v>11780</v>
      </c>
      <c r="C3747" s="461" t="s">
        <v>1107</v>
      </c>
      <c r="D3747" s="511">
        <v>27.46</v>
      </c>
      <c r="E3747" s="461" t="s">
        <v>161</v>
      </c>
      <c r="F3747" s="461" t="s">
        <v>8326</v>
      </c>
    </row>
    <row r="3748" spans="1:6" ht="15" x14ac:dyDescent="0.25">
      <c r="A3748" s="461">
        <v>40873</v>
      </c>
      <c r="B3748" s="460" t="s">
        <v>11781</v>
      </c>
      <c r="C3748" s="461" t="s">
        <v>1107</v>
      </c>
      <c r="D3748" s="511">
        <v>21.49</v>
      </c>
      <c r="E3748" s="461" t="s">
        <v>161</v>
      </c>
      <c r="F3748" s="461" t="s">
        <v>8326</v>
      </c>
    </row>
    <row r="3749" spans="1:6" ht="15" x14ac:dyDescent="0.25">
      <c r="A3749" s="461">
        <v>20214</v>
      </c>
      <c r="B3749" s="460" t="s">
        <v>11782</v>
      </c>
      <c r="C3749" s="461" t="s">
        <v>1104</v>
      </c>
      <c r="D3749" s="511">
        <v>54.31</v>
      </c>
      <c r="E3749" s="461" t="s">
        <v>161</v>
      </c>
      <c r="F3749" s="461" t="s">
        <v>8326</v>
      </c>
    </row>
    <row r="3750" spans="1:6" ht="30" x14ac:dyDescent="0.25">
      <c r="A3750" s="461">
        <v>7237</v>
      </c>
      <c r="B3750" s="460" t="s">
        <v>11783</v>
      </c>
      <c r="C3750" s="461" t="s">
        <v>1104</v>
      </c>
      <c r="D3750" s="511">
        <v>53.17</v>
      </c>
      <c r="E3750" s="461" t="s">
        <v>161</v>
      </c>
      <c r="F3750" s="461" t="s">
        <v>8326</v>
      </c>
    </row>
    <row r="3751" spans="1:6" ht="15" x14ac:dyDescent="0.25">
      <c r="A3751" s="461">
        <v>11757</v>
      </c>
      <c r="B3751" s="460" t="s">
        <v>11784</v>
      </c>
      <c r="C3751" s="461" t="s">
        <v>1104</v>
      </c>
      <c r="D3751" s="511">
        <v>36.9</v>
      </c>
      <c r="E3751" s="461" t="s">
        <v>161</v>
      </c>
      <c r="F3751" s="461" t="s">
        <v>8333</v>
      </c>
    </row>
    <row r="3752" spans="1:6" ht="30" x14ac:dyDescent="0.25">
      <c r="A3752" s="461">
        <v>11758</v>
      </c>
      <c r="B3752" s="460" t="s">
        <v>11785</v>
      </c>
      <c r="C3752" s="461" t="s">
        <v>1104</v>
      </c>
      <c r="D3752" s="511">
        <v>38.869999999999997</v>
      </c>
      <c r="E3752" s="461" t="s">
        <v>161</v>
      </c>
      <c r="F3752" s="461" t="s">
        <v>8333</v>
      </c>
    </row>
    <row r="3753" spans="1:6" ht="15" x14ac:dyDescent="0.25">
      <c r="A3753" s="461">
        <v>37526</v>
      </c>
      <c r="B3753" s="460" t="s">
        <v>13353</v>
      </c>
      <c r="C3753" s="461" t="s">
        <v>1104</v>
      </c>
      <c r="D3753" s="511">
        <v>4.4400000000000004</v>
      </c>
      <c r="E3753" s="461" t="s">
        <v>161</v>
      </c>
      <c r="F3753" s="461" t="s">
        <v>8326</v>
      </c>
    </row>
    <row r="3754" spans="1:6" ht="15" x14ac:dyDescent="0.25">
      <c r="A3754" s="461">
        <v>6076</v>
      </c>
      <c r="B3754" s="460" t="s">
        <v>11786</v>
      </c>
      <c r="C3754" s="461" t="s">
        <v>1105</v>
      </c>
      <c r="D3754" s="511">
        <v>66.5</v>
      </c>
      <c r="E3754" s="461" t="s">
        <v>161</v>
      </c>
      <c r="F3754" s="461" t="s">
        <v>8328</v>
      </c>
    </row>
    <row r="3755" spans="1:6" ht="15" x14ac:dyDescent="0.25">
      <c r="A3755" s="461">
        <v>13109</v>
      </c>
      <c r="B3755" s="460" t="s">
        <v>11787</v>
      </c>
      <c r="C3755" s="461" t="s">
        <v>1104</v>
      </c>
      <c r="D3755" s="511">
        <v>270.93</v>
      </c>
      <c r="E3755" s="461" t="s">
        <v>161</v>
      </c>
      <c r="F3755" s="461" t="s">
        <v>8328</v>
      </c>
    </row>
    <row r="3756" spans="1:6" ht="15" x14ac:dyDescent="0.25">
      <c r="A3756" s="461">
        <v>13110</v>
      </c>
      <c r="B3756" s="460" t="s">
        <v>11788</v>
      </c>
      <c r="C3756" s="461" t="s">
        <v>1104</v>
      </c>
      <c r="D3756" s="511">
        <v>356.56</v>
      </c>
      <c r="E3756" s="461" t="s">
        <v>161</v>
      </c>
      <c r="F3756" s="461" t="s">
        <v>8328</v>
      </c>
    </row>
    <row r="3757" spans="1:6" ht="15" x14ac:dyDescent="0.25">
      <c r="A3757" s="461">
        <v>7581</v>
      </c>
      <c r="B3757" s="460" t="s">
        <v>11789</v>
      </c>
      <c r="C3757" s="461" t="s">
        <v>1104</v>
      </c>
      <c r="D3757" s="461">
        <v>4.8899999999999997</v>
      </c>
      <c r="E3757" s="461" t="s">
        <v>161</v>
      </c>
      <c r="F3757" s="461" t="s">
        <v>8326</v>
      </c>
    </row>
    <row r="3758" spans="1:6" ht="15" x14ac:dyDescent="0.25">
      <c r="A3758" s="461">
        <v>4509</v>
      </c>
      <c r="B3758" s="460" t="s">
        <v>11790</v>
      </c>
      <c r="C3758" s="461" t="s">
        <v>1107</v>
      </c>
      <c r="D3758" s="461">
        <v>3.85</v>
      </c>
      <c r="E3758" s="461" t="s">
        <v>161</v>
      </c>
      <c r="F3758" s="461" t="s">
        <v>8326</v>
      </c>
    </row>
    <row r="3759" spans="1:6" ht="15" x14ac:dyDescent="0.25">
      <c r="A3759" s="461">
        <v>4512</v>
      </c>
      <c r="B3759" s="460" t="s">
        <v>11791</v>
      </c>
      <c r="C3759" s="461" t="s">
        <v>1107</v>
      </c>
      <c r="D3759" s="511">
        <v>1.84</v>
      </c>
      <c r="E3759" s="461" t="s">
        <v>161</v>
      </c>
      <c r="F3759" s="461" t="s">
        <v>8326</v>
      </c>
    </row>
    <row r="3760" spans="1:6" ht="15" x14ac:dyDescent="0.25">
      <c r="A3760" s="461">
        <v>4517</v>
      </c>
      <c r="B3760" s="460" t="s">
        <v>11792</v>
      </c>
      <c r="C3760" s="461" t="s">
        <v>1107</v>
      </c>
      <c r="D3760" s="461">
        <v>2.66</v>
      </c>
      <c r="E3760" s="461" t="s">
        <v>161</v>
      </c>
      <c r="F3760" s="461" t="s">
        <v>8326</v>
      </c>
    </row>
    <row r="3761" spans="1:6" ht="30" x14ac:dyDescent="0.25">
      <c r="A3761" s="461">
        <v>20206</v>
      </c>
      <c r="B3761" s="460" t="s">
        <v>11793</v>
      </c>
      <c r="C3761" s="461" t="s">
        <v>1107</v>
      </c>
      <c r="D3761" s="461">
        <v>9.92</v>
      </c>
      <c r="E3761" s="461" t="s">
        <v>161</v>
      </c>
      <c r="F3761" s="461" t="s">
        <v>8326</v>
      </c>
    </row>
    <row r="3762" spans="1:6" ht="30" x14ac:dyDescent="0.25">
      <c r="A3762" s="461">
        <v>4460</v>
      </c>
      <c r="B3762" s="460" t="s">
        <v>11794</v>
      </c>
      <c r="C3762" s="461" t="s">
        <v>1107</v>
      </c>
      <c r="D3762" s="511">
        <v>10.19</v>
      </c>
      <c r="E3762" s="461" t="s">
        <v>161</v>
      </c>
      <c r="F3762" s="461" t="s">
        <v>8326</v>
      </c>
    </row>
    <row r="3763" spans="1:6" ht="30" x14ac:dyDescent="0.25">
      <c r="A3763" s="461">
        <v>4415</v>
      </c>
      <c r="B3763" s="460" t="s">
        <v>11795</v>
      </c>
      <c r="C3763" s="461" t="s">
        <v>1107</v>
      </c>
      <c r="D3763" s="511">
        <v>5.46</v>
      </c>
      <c r="E3763" s="461" t="s">
        <v>161</v>
      </c>
      <c r="F3763" s="461" t="s">
        <v>8326</v>
      </c>
    </row>
    <row r="3764" spans="1:6" ht="30" x14ac:dyDescent="0.25">
      <c r="A3764" s="461">
        <v>4417</v>
      </c>
      <c r="B3764" s="460" t="s">
        <v>11796</v>
      </c>
      <c r="C3764" s="461" t="s">
        <v>1107</v>
      </c>
      <c r="D3764" s="461">
        <v>7.85</v>
      </c>
      <c r="E3764" s="461" t="s">
        <v>161</v>
      </c>
      <c r="F3764" s="461" t="s">
        <v>8326</v>
      </c>
    </row>
    <row r="3765" spans="1:6" ht="15" x14ac:dyDescent="0.25">
      <c r="A3765" s="461">
        <v>37373</v>
      </c>
      <c r="B3765" s="460" t="s">
        <v>11797</v>
      </c>
      <c r="C3765" s="461" t="s">
        <v>1103</v>
      </c>
      <c r="D3765" s="461">
        <v>0.04</v>
      </c>
      <c r="E3765" s="461" t="s">
        <v>4455</v>
      </c>
      <c r="F3765" s="461" t="s">
        <v>8333</v>
      </c>
    </row>
    <row r="3766" spans="1:6" ht="15" x14ac:dyDescent="0.25">
      <c r="A3766" s="461">
        <v>40864</v>
      </c>
      <c r="B3766" s="460" t="s">
        <v>11798</v>
      </c>
      <c r="C3766" s="461" t="s">
        <v>1110</v>
      </c>
      <c r="D3766" s="461">
        <v>7.31</v>
      </c>
      <c r="E3766" s="461" t="s">
        <v>4455</v>
      </c>
      <c r="F3766" s="461" t="s">
        <v>8333</v>
      </c>
    </row>
    <row r="3767" spans="1:6" ht="30" x14ac:dyDescent="0.25">
      <c r="A3767" s="461">
        <v>4734</v>
      </c>
      <c r="B3767" s="460" t="s">
        <v>11799</v>
      </c>
      <c r="C3767" s="461" t="s">
        <v>1105</v>
      </c>
      <c r="D3767" s="461">
        <v>583.24</v>
      </c>
      <c r="E3767" s="461" t="s">
        <v>161</v>
      </c>
      <c r="F3767" s="461" t="s">
        <v>8326</v>
      </c>
    </row>
    <row r="3768" spans="1:6" ht="15" x14ac:dyDescent="0.25">
      <c r="A3768" s="461">
        <v>6085</v>
      </c>
      <c r="B3768" s="460" t="s">
        <v>11800</v>
      </c>
      <c r="C3768" s="461" t="s">
        <v>1109</v>
      </c>
      <c r="D3768" s="461">
        <v>11.46</v>
      </c>
      <c r="E3768" s="461" t="s">
        <v>161</v>
      </c>
      <c r="F3768" s="461" t="s">
        <v>8333</v>
      </c>
    </row>
    <row r="3769" spans="1:6" ht="15" x14ac:dyDescent="0.25">
      <c r="A3769" s="461">
        <v>38396</v>
      </c>
      <c r="B3769" s="460" t="s">
        <v>13354</v>
      </c>
      <c r="C3769" s="461" t="s">
        <v>1104</v>
      </c>
      <c r="D3769" s="461">
        <v>540.29999999999995</v>
      </c>
      <c r="E3769" s="461" t="s">
        <v>161</v>
      </c>
      <c r="F3769" s="461" t="s">
        <v>8326</v>
      </c>
    </row>
    <row r="3770" spans="1:6" ht="15" x14ac:dyDescent="0.25">
      <c r="A3770" s="461">
        <v>11622</v>
      </c>
      <c r="B3770" s="460" t="s">
        <v>11801</v>
      </c>
      <c r="C3770" s="461" t="s">
        <v>1108</v>
      </c>
      <c r="D3770" s="461">
        <v>81.41</v>
      </c>
      <c r="E3770" s="461" t="s">
        <v>161</v>
      </c>
      <c r="F3770" s="461" t="s">
        <v>8326</v>
      </c>
    </row>
    <row r="3771" spans="1:6" ht="30" x14ac:dyDescent="0.25">
      <c r="A3771" s="461">
        <v>43143</v>
      </c>
      <c r="B3771" s="460" t="s">
        <v>11802</v>
      </c>
      <c r="C3771" s="461" t="s">
        <v>1109</v>
      </c>
      <c r="D3771" s="461">
        <v>30.75</v>
      </c>
      <c r="E3771" s="461" t="s">
        <v>161</v>
      </c>
      <c r="F3771" s="461" t="s">
        <v>8326</v>
      </c>
    </row>
    <row r="3772" spans="1:6" ht="15" x14ac:dyDescent="0.25">
      <c r="A3772" s="461">
        <v>7317</v>
      </c>
      <c r="B3772" s="460" t="s">
        <v>11803</v>
      </c>
      <c r="C3772" s="461" t="s">
        <v>1108</v>
      </c>
      <c r="D3772" s="461">
        <v>44.62</v>
      </c>
      <c r="E3772" s="461" t="s">
        <v>161</v>
      </c>
      <c r="F3772" s="461" t="s">
        <v>8326</v>
      </c>
    </row>
    <row r="3773" spans="1:6" ht="30" x14ac:dyDescent="0.25">
      <c r="A3773" s="461">
        <v>142</v>
      </c>
      <c r="B3773" s="460" t="s">
        <v>11804</v>
      </c>
      <c r="C3773" s="461" t="s">
        <v>1119</v>
      </c>
      <c r="D3773" s="461">
        <v>38.409999999999997</v>
      </c>
      <c r="E3773" s="461" t="s">
        <v>161</v>
      </c>
      <c r="F3773" s="461" t="s">
        <v>8326</v>
      </c>
    </row>
    <row r="3774" spans="1:6" ht="30" x14ac:dyDescent="0.25">
      <c r="A3774" s="461">
        <v>43142</v>
      </c>
      <c r="B3774" s="460" t="s">
        <v>11805</v>
      </c>
      <c r="C3774" s="461" t="s">
        <v>1109</v>
      </c>
      <c r="D3774" s="461">
        <v>174.49</v>
      </c>
      <c r="E3774" s="461" t="s">
        <v>161</v>
      </c>
      <c r="F3774" s="461" t="s">
        <v>8326</v>
      </c>
    </row>
    <row r="3775" spans="1:6" ht="15" x14ac:dyDescent="0.25">
      <c r="A3775" s="461">
        <v>38123</v>
      </c>
      <c r="B3775" s="460" t="s">
        <v>11806</v>
      </c>
      <c r="C3775" s="461" t="s">
        <v>1108</v>
      </c>
      <c r="D3775" s="461">
        <v>72.45</v>
      </c>
      <c r="E3775" s="461" t="s">
        <v>161</v>
      </c>
      <c r="F3775" s="461" t="s">
        <v>8326</v>
      </c>
    </row>
    <row r="3776" spans="1:6" ht="30" x14ac:dyDescent="0.25">
      <c r="A3776" s="461">
        <v>42699</v>
      </c>
      <c r="B3776" s="460" t="s">
        <v>11807</v>
      </c>
      <c r="C3776" s="461" t="s">
        <v>1104</v>
      </c>
      <c r="D3776" s="461">
        <v>27.05</v>
      </c>
      <c r="E3776" s="461" t="s">
        <v>161</v>
      </c>
      <c r="F3776" s="461" t="s">
        <v>8326</v>
      </c>
    </row>
    <row r="3777" spans="1:6" ht="30" x14ac:dyDescent="0.25">
      <c r="A3777" s="461">
        <v>37743</v>
      </c>
      <c r="B3777" s="460" t="s">
        <v>13355</v>
      </c>
      <c r="C3777" s="461" t="s">
        <v>1104</v>
      </c>
      <c r="D3777" s="461">
        <v>216505.66</v>
      </c>
      <c r="E3777" s="461" t="s">
        <v>1497</v>
      </c>
      <c r="F3777" s="461" t="s">
        <v>8328</v>
      </c>
    </row>
    <row r="3778" spans="1:6" ht="30" x14ac:dyDescent="0.25">
      <c r="A3778" s="461">
        <v>37744</v>
      </c>
      <c r="B3778" s="460" t="s">
        <v>11808</v>
      </c>
      <c r="C3778" s="461" t="s">
        <v>1104</v>
      </c>
      <c r="D3778" s="461">
        <v>254569.93</v>
      </c>
      <c r="E3778" s="461" t="s">
        <v>1497</v>
      </c>
      <c r="F3778" s="461" t="s">
        <v>8328</v>
      </c>
    </row>
    <row r="3779" spans="1:6" ht="30" x14ac:dyDescent="0.25">
      <c r="A3779" s="461">
        <v>37741</v>
      </c>
      <c r="B3779" s="460" t="s">
        <v>11809</v>
      </c>
      <c r="C3779" s="461" t="s">
        <v>1104</v>
      </c>
      <c r="D3779" s="461">
        <v>196867.41</v>
      </c>
      <c r="E3779" s="461" t="s">
        <v>1497</v>
      </c>
      <c r="F3779" s="461" t="s">
        <v>8328</v>
      </c>
    </row>
    <row r="3780" spans="1:6" ht="30" x14ac:dyDescent="0.25">
      <c r="A3780" s="461">
        <v>39396</v>
      </c>
      <c r="B3780" s="460" t="s">
        <v>11810</v>
      </c>
      <c r="C3780" s="461" t="s">
        <v>1104</v>
      </c>
      <c r="D3780" s="461">
        <v>41.79</v>
      </c>
      <c r="E3780" s="461" t="s">
        <v>161</v>
      </c>
      <c r="F3780" s="461" t="s">
        <v>8326</v>
      </c>
    </row>
    <row r="3781" spans="1:6" ht="30" x14ac:dyDescent="0.25">
      <c r="A3781" s="461">
        <v>39392</v>
      </c>
      <c r="B3781" s="460" t="s">
        <v>11811</v>
      </c>
      <c r="C3781" s="461" t="s">
        <v>1104</v>
      </c>
      <c r="D3781" s="461">
        <v>47.14</v>
      </c>
      <c r="E3781" s="461" t="s">
        <v>161</v>
      </c>
      <c r="F3781" s="461" t="s">
        <v>8326</v>
      </c>
    </row>
    <row r="3782" spans="1:6" ht="30" x14ac:dyDescent="0.25">
      <c r="A3782" s="461">
        <v>39393</v>
      </c>
      <c r="B3782" s="460" t="s">
        <v>11812</v>
      </c>
      <c r="C3782" s="461" t="s">
        <v>1104</v>
      </c>
      <c r="D3782" s="461">
        <v>29.15</v>
      </c>
      <c r="E3782" s="461" t="s">
        <v>161</v>
      </c>
      <c r="F3782" s="461" t="s">
        <v>8326</v>
      </c>
    </row>
    <row r="3783" spans="1:6" ht="30" x14ac:dyDescent="0.25">
      <c r="A3783" s="461">
        <v>39394</v>
      </c>
      <c r="B3783" s="460" t="s">
        <v>11813</v>
      </c>
      <c r="C3783" s="461" t="s">
        <v>1104</v>
      </c>
      <c r="D3783" s="461">
        <v>32.81</v>
      </c>
      <c r="E3783" s="461" t="s">
        <v>161</v>
      </c>
      <c r="F3783" s="461" t="s">
        <v>8326</v>
      </c>
    </row>
    <row r="3784" spans="1:6" ht="30" x14ac:dyDescent="0.25">
      <c r="A3784" s="461">
        <v>39395</v>
      </c>
      <c r="B3784" s="460" t="s">
        <v>11814</v>
      </c>
      <c r="C3784" s="461" t="s">
        <v>1104</v>
      </c>
      <c r="D3784" s="461">
        <v>30.51</v>
      </c>
      <c r="E3784" s="461" t="s">
        <v>161</v>
      </c>
      <c r="F3784" s="461" t="s">
        <v>8326</v>
      </c>
    </row>
    <row r="3785" spans="1:6" ht="30" x14ac:dyDescent="0.25">
      <c r="A3785" s="461">
        <v>14618</v>
      </c>
      <c r="B3785" s="460" t="s">
        <v>11815</v>
      </c>
      <c r="C3785" s="461" t="s">
        <v>1104</v>
      </c>
      <c r="D3785" s="461">
        <v>1538.22</v>
      </c>
      <c r="E3785" s="461" t="s">
        <v>161</v>
      </c>
      <c r="F3785" s="461" t="s">
        <v>8326</v>
      </c>
    </row>
    <row r="3786" spans="1:6" ht="30" x14ac:dyDescent="0.25">
      <c r="A3786" s="461">
        <v>40269</v>
      </c>
      <c r="B3786" s="460" t="s">
        <v>11816</v>
      </c>
      <c r="C3786" s="461" t="s">
        <v>1104</v>
      </c>
      <c r="D3786" s="461">
        <v>6197.38</v>
      </c>
      <c r="E3786" s="461" t="s">
        <v>161</v>
      </c>
      <c r="F3786" s="461" t="s">
        <v>8326</v>
      </c>
    </row>
    <row r="3787" spans="1:6" ht="15" x14ac:dyDescent="0.25">
      <c r="A3787" s="461">
        <v>6110</v>
      </c>
      <c r="B3787" s="460" t="s">
        <v>11817</v>
      </c>
      <c r="C3787" s="461" t="s">
        <v>1103</v>
      </c>
      <c r="D3787" s="461">
        <v>21.83</v>
      </c>
      <c r="E3787" s="461" t="s">
        <v>4455</v>
      </c>
      <c r="F3787" s="461" t="s">
        <v>8326</v>
      </c>
    </row>
    <row r="3788" spans="1:6" ht="15" x14ac:dyDescent="0.25">
      <c r="A3788" s="461">
        <v>40910</v>
      </c>
      <c r="B3788" s="460" t="s">
        <v>11818</v>
      </c>
      <c r="C3788" s="461" t="s">
        <v>1110</v>
      </c>
      <c r="D3788" s="461">
        <v>3886.77</v>
      </c>
      <c r="E3788" s="461" t="s">
        <v>4455</v>
      </c>
      <c r="F3788" s="461" t="s">
        <v>8326</v>
      </c>
    </row>
    <row r="3789" spans="1:6" ht="15" x14ac:dyDescent="0.25">
      <c r="A3789" s="461">
        <v>6111</v>
      </c>
      <c r="B3789" s="460" t="s">
        <v>11819</v>
      </c>
      <c r="C3789" s="461" t="s">
        <v>1103</v>
      </c>
      <c r="D3789" s="461">
        <v>14.43</v>
      </c>
      <c r="E3789" s="461" t="s">
        <v>4455</v>
      </c>
      <c r="F3789" s="461" t="s">
        <v>8333</v>
      </c>
    </row>
    <row r="3790" spans="1:6" ht="15" x14ac:dyDescent="0.25">
      <c r="A3790" s="461">
        <v>41084</v>
      </c>
      <c r="B3790" s="460" t="s">
        <v>11820</v>
      </c>
      <c r="C3790" s="461" t="s">
        <v>1110</v>
      </c>
      <c r="D3790" s="461">
        <v>2569.98</v>
      </c>
      <c r="E3790" s="461" t="s">
        <v>4455</v>
      </c>
      <c r="F3790" s="461" t="s">
        <v>8326</v>
      </c>
    </row>
    <row r="3791" spans="1:6" ht="30" x14ac:dyDescent="0.25">
      <c r="A3791" s="461">
        <v>44535</v>
      </c>
      <c r="B3791" s="460" t="s">
        <v>13356</v>
      </c>
      <c r="C3791" s="461" t="s">
        <v>1105</v>
      </c>
      <c r="D3791" s="461">
        <v>47.04</v>
      </c>
      <c r="E3791" s="461" t="s">
        <v>161</v>
      </c>
      <c r="F3791" s="461" t="s">
        <v>8326</v>
      </c>
    </row>
    <row r="3792" spans="1:6" ht="30" x14ac:dyDescent="0.25">
      <c r="A3792" s="461">
        <v>44945</v>
      </c>
      <c r="B3792" s="460" t="s">
        <v>11821</v>
      </c>
      <c r="C3792" s="461" t="s">
        <v>1104</v>
      </c>
      <c r="D3792" s="461">
        <v>8.9</v>
      </c>
      <c r="E3792" s="461" t="s">
        <v>161</v>
      </c>
      <c r="F3792" s="461" t="s">
        <v>8333</v>
      </c>
    </row>
    <row r="3793" spans="1:6" ht="15" x14ac:dyDescent="0.25">
      <c r="A3793" s="461">
        <v>38637</v>
      </c>
      <c r="B3793" s="460" t="s">
        <v>13357</v>
      </c>
      <c r="C3793" s="461" t="s">
        <v>1104</v>
      </c>
      <c r="D3793" s="461">
        <v>205.42</v>
      </c>
      <c r="E3793" s="461" t="s">
        <v>161</v>
      </c>
      <c r="F3793" s="461" t="s">
        <v>8326</v>
      </c>
    </row>
    <row r="3794" spans="1:6" ht="15" x14ac:dyDescent="0.25">
      <c r="A3794" s="461">
        <v>6150</v>
      </c>
      <c r="B3794" s="460" t="s">
        <v>13358</v>
      </c>
      <c r="C3794" s="461" t="s">
        <v>1104</v>
      </c>
      <c r="D3794" s="461">
        <v>207.94</v>
      </c>
      <c r="E3794" s="461" t="s">
        <v>161</v>
      </c>
      <c r="F3794" s="461" t="s">
        <v>8326</v>
      </c>
    </row>
    <row r="3795" spans="1:6" ht="15" x14ac:dyDescent="0.25">
      <c r="A3795" s="461">
        <v>6136</v>
      </c>
      <c r="B3795" s="460" t="s">
        <v>13359</v>
      </c>
      <c r="C3795" s="461" t="s">
        <v>1104</v>
      </c>
      <c r="D3795" s="461">
        <v>163.44999999999999</v>
      </c>
      <c r="E3795" s="461" t="s">
        <v>161</v>
      </c>
      <c r="F3795" s="461" t="s">
        <v>8333</v>
      </c>
    </row>
    <row r="3796" spans="1:6" ht="15" x14ac:dyDescent="0.25">
      <c r="A3796" s="461">
        <v>38638</v>
      </c>
      <c r="B3796" s="460" t="s">
        <v>13360</v>
      </c>
      <c r="C3796" s="461" t="s">
        <v>1104</v>
      </c>
      <c r="D3796" s="461">
        <v>173.1</v>
      </c>
      <c r="E3796" s="461" t="s">
        <v>161</v>
      </c>
      <c r="F3796" s="461" t="s">
        <v>8326</v>
      </c>
    </row>
    <row r="3797" spans="1:6" ht="15" x14ac:dyDescent="0.25">
      <c r="A3797" s="461">
        <v>20262</v>
      </c>
      <c r="B3797" s="460" t="s">
        <v>11822</v>
      </c>
      <c r="C3797" s="461" t="s">
        <v>1104</v>
      </c>
      <c r="D3797" s="511">
        <v>16.3</v>
      </c>
      <c r="E3797" s="461" t="s">
        <v>161</v>
      </c>
      <c r="F3797" s="461" t="s">
        <v>8326</v>
      </c>
    </row>
    <row r="3798" spans="1:6" ht="15" x14ac:dyDescent="0.25">
      <c r="A3798" s="461">
        <v>6145</v>
      </c>
      <c r="B3798" s="460" t="s">
        <v>13361</v>
      </c>
      <c r="C3798" s="461" t="s">
        <v>1104</v>
      </c>
      <c r="D3798" s="511">
        <v>18.010000000000002</v>
      </c>
      <c r="E3798" s="461" t="s">
        <v>161</v>
      </c>
      <c r="F3798" s="461" t="s">
        <v>8326</v>
      </c>
    </row>
    <row r="3799" spans="1:6" ht="15" x14ac:dyDescent="0.25">
      <c r="A3799" s="461">
        <v>6149</v>
      </c>
      <c r="B3799" s="460" t="s">
        <v>13362</v>
      </c>
      <c r="C3799" s="461" t="s">
        <v>1104</v>
      </c>
      <c r="D3799" s="511">
        <v>11.9</v>
      </c>
      <c r="E3799" s="461" t="s">
        <v>161</v>
      </c>
      <c r="F3799" s="461" t="s">
        <v>8326</v>
      </c>
    </row>
    <row r="3800" spans="1:6" ht="15" x14ac:dyDescent="0.25">
      <c r="A3800" s="461">
        <v>6146</v>
      </c>
      <c r="B3800" s="460" t="s">
        <v>13363</v>
      </c>
      <c r="C3800" s="461" t="s">
        <v>1104</v>
      </c>
      <c r="D3800" s="461">
        <v>17.11</v>
      </c>
      <c r="E3800" s="461" t="s">
        <v>161</v>
      </c>
      <c r="F3800" s="461" t="s">
        <v>8326</v>
      </c>
    </row>
    <row r="3801" spans="1:6" ht="15" x14ac:dyDescent="0.25">
      <c r="A3801" s="461">
        <v>44536</v>
      </c>
      <c r="B3801" s="460" t="s">
        <v>11823</v>
      </c>
      <c r="C3801" s="461" t="s">
        <v>1108</v>
      </c>
      <c r="D3801" s="461">
        <v>3.23</v>
      </c>
      <c r="E3801" s="461" t="s">
        <v>161</v>
      </c>
      <c r="F3801" s="461" t="s">
        <v>8326</v>
      </c>
    </row>
    <row r="3802" spans="1:6" ht="15" x14ac:dyDescent="0.25">
      <c r="A3802" s="461">
        <v>39961</v>
      </c>
      <c r="B3802" s="460" t="s">
        <v>11824</v>
      </c>
      <c r="C3802" s="461" t="s">
        <v>1104</v>
      </c>
      <c r="D3802" s="461">
        <v>25.38</v>
      </c>
      <c r="E3802" s="461" t="s">
        <v>161</v>
      </c>
      <c r="F3802" s="461" t="s">
        <v>8326</v>
      </c>
    </row>
    <row r="3803" spans="1:6" ht="45" x14ac:dyDescent="0.25">
      <c r="A3803" s="461">
        <v>42433</v>
      </c>
      <c r="B3803" s="460" t="s">
        <v>11825</v>
      </c>
      <c r="C3803" s="461" t="s">
        <v>1104</v>
      </c>
      <c r="D3803" s="461">
        <v>4789.18</v>
      </c>
      <c r="E3803" s="461" t="s">
        <v>161</v>
      </c>
      <c r="F3803" s="461" t="s">
        <v>8328</v>
      </c>
    </row>
    <row r="3804" spans="1:6" ht="45" x14ac:dyDescent="0.25">
      <c r="A3804" s="461">
        <v>42434</v>
      </c>
      <c r="B3804" s="460" t="s">
        <v>11826</v>
      </c>
      <c r="C3804" s="461" t="s">
        <v>1104</v>
      </c>
      <c r="D3804" s="461">
        <v>5175.3999999999996</v>
      </c>
      <c r="E3804" s="461" t="s">
        <v>161</v>
      </c>
      <c r="F3804" s="461" t="s">
        <v>8328</v>
      </c>
    </row>
    <row r="3805" spans="1:6" ht="45" x14ac:dyDescent="0.25">
      <c r="A3805" s="461">
        <v>42435</v>
      </c>
      <c r="B3805" s="460" t="s">
        <v>11827</v>
      </c>
      <c r="C3805" s="461" t="s">
        <v>1104</v>
      </c>
      <c r="D3805" s="511">
        <v>2580.7800000000002</v>
      </c>
      <c r="E3805" s="461" t="s">
        <v>161</v>
      </c>
      <c r="F3805" s="461" t="s">
        <v>8328</v>
      </c>
    </row>
    <row r="3806" spans="1:6" ht="15" x14ac:dyDescent="0.25">
      <c r="A3806" s="461">
        <v>38061</v>
      </c>
      <c r="B3806" s="460" t="s">
        <v>11828</v>
      </c>
      <c r="C3806" s="461" t="s">
        <v>1104</v>
      </c>
      <c r="D3806" s="511">
        <v>37.79</v>
      </c>
      <c r="E3806" s="461" t="s">
        <v>161</v>
      </c>
      <c r="F3806" s="461" t="s">
        <v>8326</v>
      </c>
    </row>
    <row r="3807" spans="1:6" ht="15" x14ac:dyDescent="0.25">
      <c r="A3807" s="461">
        <v>20250</v>
      </c>
      <c r="B3807" s="460" t="s">
        <v>11829</v>
      </c>
      <c r="C3807" s="461" t="s">
        <v>1108</v>
      </c>
      <c r="D3807" s="461">
        <v>20</v>
      </c>
      <c r="E3807" s="461" t="s">
        <v>161</v>
      </c>
      <c r="F3807" s="461" t="s">
        <v>8333</v>
      </c>
    </row>
    <row r="3808" spans="1:6" ht="15" x14ac:dyDescent="0.25">
      <c r="A3808" s="461">
        <v>13388</v>
      </c>
      <c r="B3808" s="460" t="s">
        <v>11830</v>
      </c>
      <c r="C3808" s="461" t="s">
        <v>1108</v>
      </c>
      <c r="D3808" s="511">
        <v>194.66</v>
      </c>
      <c r="E3808" s="461" t="s">
        <v>161</v>
      </c>
      <c r="F3808" s="461" t="s">
        <v>8326</v>
      </c>
    </row>
    <row r="3809" spans="1:6" ht="15" x14ac:dyDescent="0.25">
      <c r="A3809" s="461">
        <v>39914</v>
      </c>
      <c r="B3809" s="460" t="s">
        <v>13364</v>
      </c>
      <c r="C3809" s="461" t="s">
        <v>1108</v>
      </c>
      <c r="D3809" s="461">
        <v>283.68</v>
      </c>
      <c r="E3809" s="461" t="s">
        <v>161</v>
      </c>
      <c r="F3809" s="461" t="s">
        <v>8326</v>
      </c>
    </row>
    <row r="3810" spans="1:6" ht="30" x14ac:dyDescent="0.25">
      <c r="A3810" s="461">
        <v>12732</v>
      </c>
      <c r="B3810" s="460" t="s">
        <v>11831</v>
      </c>
      <c r="C3810" s="461" t="s">
        <v>1104</v>
      </c>
      <c r="D3810" s="511">
        <v>327.32</v>
      </c>
      <c r="E3810" s="461" t="s">
        <v>161</v>
      </c>
      <c r="F3810" s="461" t="s">
        <v>8326</v>
      </c>
    </row>
    <row r="3811" spans="1:6" ht="15" x14ac:dyDescent="0.25">
      <c r="A3811" s="461">
        <v>6160</v>
      </c>
      <c r="B3811" s="460" t="s">
        <v>11832</v>
      </c>
      <c r="C3811" s="461" t="s">
        <v>1103</v>
      </c>
      <c r="D3811" s="461">
        <v>21.83</v>
      </c>
      <c r="E3811" s="461" t="s">
        <v>4455</v>
      </c>
      <c r="F3811" s="461" t="s">
        <v>8333</v>
      </c>
    </row>
    <row r="3812" spans="1:6" ht="15" x14ac:dyDescent="0.25">
      <c r="A3812" s="461">
        <v>41087</v>
      </c>
      <c r="B3812" s="460" t="s">
        <v>11833</v>
      </c>
      <c r="C3812" s="461" t="s">
        <v>1110</v>
      </c>
      <c r="D3812" s="461">
        <v>3886.77</v>
      </c>
      <c r="E3812" s="461" t="s">
        <v>4455</v>
      </c>
      <c r="F3812" s="461" t="s">
        <v>8326</v>
      </c>
    </row>
    <row r="3813" spans="1:6" ht="15" x14ac:dyDescent="0.25">
      <c r="A3813" s="461">
        <v>6166</v>
      </c>
      <c r="B3813" s="460" t="s">
        <v>11834</v>
      </c>
      <c r="C3813" s="461" t="s">
        <v>1103</v>
      </c>
      <c r="D3813" s="461">
        <v>25.63</v>
      </c>
      <c r="E3813" s="461" t="s">
        <v>4455</v>
      </c>
      <c r="F3813" s="461" t="s">
        <v>8326</v>
      </c>
    </row>
    <row r="3814" spans="1:6" ht="15" x14ac:dyDescent="0.25">
      <c r="A3814" s="461">
        <v>41088</v>
      </c>
      <c r="B3814" s="460" t="s">
        <v>11835</v>
      </c>
      <c r="C3814" s="461" t="s">
        <v>1110</v>
      </c>
      <c r="D3814" s="461">
        <v>4567.4399999999996</v>
      </c>
      <c r="E3814" s="461" t="s">
        <v>4455</v>
      </c>
      <c r="F3814" s="461" t="s">
        <v>8326</v>
      </c>
    </row>
    <row r="3815" spans="1:6" ht="30" x14ac:dyDescent="0.25">
      <c r="A3815" s="461">
        <v>20232</v>
      </c>
      <c r="B3815" s="460" t="s">
        <v>13365</v>
      </c>
      <c r="C3815" s="461" t="s">
        <v>1107</v>
      </c>
      <c r="D3815" s="461">
        <v>72.290000000000006</v>
      </c>
      <c r="E3815" s="461" t="s">
        <v>161</v>
      </c>
      <c r="F3815" s="461" t="s">
        <v>8326</v>
      </c>
    </row>
    <row r="3816" spans="1:6" ht="15" x14ac:dyDescent="0.25">
      <c r="A3816" s="461">
        <v>10856</v>
      </c>
      <c r="B3816" s="460" t="s">
        <v>11836</v>
      </c>
      <c r="C3816" s="461" t="s">
        <v>1107</v>
      </c>
      <c r="D3816" s="461">
        <v>113.34</v>
      </c>
      <c r="E3816" s="461" t="s">
        <v>161</v>
      </c>
      <c r="F3816" s="461" t="s">
        <v>8328</v>
      </c>
    </row>
    <row r="3817" spans="1:6" ht="30" x14ac:dyDescent="0.25">
      <c r="A3817" s="461">
        <v>4828</v>
      </c>
      <c r="B3817" s="460" t="s">
        <v>13366</v>
      </c>
      <c r="C3817" s="461" t="s">
        <v>1107</v>
      </c>
      <c r="D3817" s="461">
        <v>62.19</v>
      </c>
      <c r="E3817" s="461" t="s">
        <v>161</v>
      </c>
      <c r="F3817" s="461" t="s">
        <v>8326</v>
      </c>
    </row>
    <row r="3818" spans="1:6" ht="15" x14ac:dyDescent="0.25">
      <c r="A3818" s="461">
        <v>20249</v>
      </c>
      <c r="B3818" s="460" t="s">
        <v>13367</v>
      </c>
      <c r="C3818" s="461" t="s">
        <v>1107</v>
      </c>
      <c r="D3818" s="461">
        <v>34.049999999999997</v>
      </c>
      <c r="E3818" s="461" t="s">
        <v>161</v>
      </c>
      <c r="F3818" s="461" t="s">
        <v>8326</v>
      </c>
    </row>
    <row r="3819" spans="1:6" ht="15" x14ac:dyDescent="0.25">
      <c r="A3819" s="461">
        <v>11609</v>
      </c>
      <c r="B3819" s="460" t="s">
        <v>11837</v>
      </c>
      <c r="C3819" s="461" t="s">
        <v>1109</v>
      </c>
      <c r="D3819" s="461">
        <v>13.53</v>
      </c>
      <c r="E3819" s="461" t="s">
        <v>161</v>
      </c>
      <c r="F3819" s="461" t="s">
        <v>8326</v>
      </c>
    </row>
    <row r="3820" spans="1:6" ht="15" x14ac:dyDescent="0.25">
      <c r="A3820" s="461">
        <v>20083</v>
      </c>
      <c r="B3820" s="460" t="s">
        <v>11838</v>
      </c>
      <c r="C3820" s="461" t="s">
        <v>1104</v>
      </c>
      <c r="D3820" s="461">
        <v>78.28</v>
      </c>
      <c r="E3820" s="461" t="s">
        <v>161</v>
      </c>
      <c r="F3820" s="461" t="s">
        <v>8326</v>
      </c>
    </row>
    <row r="3821" spans="1:6" ht="30" x14ac:dyDescent="0.25">
      <c r="A3821" s="461">
        <v>10691</v>
      </c>
      <c r="B3821" s="460" t="s">
        <v>11839</v>
      </c>
      <c r="C3821" s="461" t="s">
        <v>1109</v>
      </c>
      <c r="D3821" s="461">
        <v>104.07</v>
      </c>
      <c r="E3821" s="461" t="s">
        <v>161</v>
      </c>
      <c r="F3821" s="461" t="s">
        <v>8328</v>
      </c>
    </row>
    <row r="3822" spans="1:6" ht="15" x14ac:dyDescent="0.25">
      <c r="A3822" s="461">
        <v>12295</v>
      </c>
      <c r="B3822" s="460" t="s">
        <v>11840</v>
      </c>
      <c r="C3822" s="461" t="s">
        <v>1104</v>
      </c>
      <c r="D3822" s="461">
        <v>2.63</v>
      </c>
      <c r="E3822" s="461" t="s">
        <v>161</v>
      </c>
      <c r="F3822" s="461" t="s">
        <v>8326</v>
      </c>
    </row>
    <row r="3823" spans="1:6" ht="15" x14ac:dyDescent="0.25">
      <c r="A3823" s="461">
        <v>12296</v>
      </c>
      <c r="B3823" s="460" t="s">
        <v>11841</v>
      </c>
      <c r="C3823" s="461" t="s">
        <v>1104</v>
      </c>
      <c r="D3823" s="511">
        <v>3.41</v>
      </c>
      <c r="E3823" s="461" t="s">
        <v>161</v>
      </c>
      <c r="F3823" s="461" t="s">
        <v>8326</v>
      </c>
    </row>
    <row r="3824" spans="1:6" ht="15" x14ac:dyDescent="0.25">
      <c r="A3824" s="461">
        <v>12294</v>
      </c>
      <c r="B3824" s="460" t="s">
        <v>11842</v>
      </c>
      <c r="C3824" s="461" t="s">
        <v>1104</v>
      </c>
      <c r="D3824" s="511">
        <v>8.18</v>
      </c>
      <c r="E3824" s="461" t="s">
        <v>161</v>
      </c>
      <c r="F3824" s="461" t="s">
        <v>8326</v>
      </c>
    </row>
    <row r="3825" spans="1:6" ht="15" x14ac:dyDescent="0.25">
      <c r="A3825" s="461">
        <v>14543</v>
      </c>
      <c r="B3825" s="460" t="s">
        <v>11843</v>
      </c>
      <c r="C3825" s="461" t="s">
        <v>1104</v>
      </c>
      <c r="D3825" s="511">
        <v>5.84</v>
      </c>
      <c r="E3825" s="461" t="s">
        <v>161</v>
      </c>
      <c r="F3825" s="461" t="s">
        <v>8326</v>
      </c>
    </row>
    <row r="3826" spans="1:6" ht="15" x14ac:dyDescent="0.25">
      <c r="A3826" s="461">
        <v>13329</v>
      </c>
      <c r="B3826" s="460" t="s">
        <v>11844</v>
      </c>
      <c r="C3826" s="461" t="s">
        <v>1104</v>
      </c>
      <c r="D3826" s="461">
        <v>3.43</v>
      </c>
      <c r="E3826" s="461" t="s">
        <v>161</v>
      </c>
      <c r="F3826" s="461" t="s">
        <v>8333</v>
      </c>
    </row>
    <row r="3827" spans="1:6" ht="30" x14ac:dyDescent="0.25">
      <c r="A3827" s="461">
        <v>21047</v>
      </c>
      <c r="B3827" s="460" t="s">
        <v>11845</v>
      </c>
      <c r="C3827" s="461" t="s">
        <v>1104</v>
      </c>
      <c r="D3827" s="461">
        <v>52.73</v>
      </c>
      <c r="E3827" s="461" t="s">
        <v>161</v>
      </c>
      <c r="F3827" s="461" t="s">
        <v>8326</v>
      </c>
    </row>
    <row r="3828" spans="1:6" ht="30" x14ac:dyDescent="0.25">
      <c r="A3828" s="461">
        <v>21042</v>
      </c>
      <c r="B3828" s="460" t="s">
        <v>11846</v>
      </c>
      <c r="C3828" s="461" t="s">
        <v>1104</v>
      </c>
      <c r="D3828" s="461">
        <v>40.64</v>
      </c>
      <c r="E3828" s="461" t="s">
        <v>161</v>
      </c>
      <c r="F3828" s="461" t="s">
        <v>8326</v>
      </c>
    </row>
    <row r="3829" spans="1:6" ht="30" x14ac:dyDescent="0.25">
      <c r="A3829" s="461">
        <v>21043</v>
      </c>
      <c r="B3829" s="460" t="s">
        <v>11847</v>
      </c>
      <c r="C3829" s="461" t="s">
        <v>1104</v>
      </c>
      <c r="D3829" s="461">
        <v>51.34</v>
      </c>
      <c r="E3829" s="461" t="s">
        <v>161</v>
      </c>
      <c r="F3829" s="461" t="s">
        <v>8326</v>
      </c>
    </row>
    <row r="3830" spans="1:6" ht="30" x14ac:dyDescent="0.25">
      <c r="A3830" s="461">
        <v>21044</v>
      </c>
      <c r="B3830" s="460" t="s">
        <v>11848</v>
      </c>
      <c r="C3830" s="461" t="s">
        <v>1104</v>
      </c>
      <c r="D3830" s="461">
        <v>35.770000000000003</v>
      </c>
      <c r="E3830" s="461" t="s">
        <v>161</v>
      </c>
      <c r="F3830" s="461" t="s">
        <v>8326</v>
      </c>
    </row>
    <row r="3831" spans="1:6" ht="30" x14ac:dyDescent="0.25">
      <c r="A3831" s="461">
        <v>21045</v>
      </c>
      <c r="B3831" s="460" t="s">
        <v>11849</v>
      </c>
      <c r="C3831" s="461" t="s">
        <v>1104</v>
      </c>
      <c r="D3831" s="461">
        <v>48.99</v>
      </c>
      <c r="E3831" s="461" t="s">
        <v>161</v>
      </c>
      <c r="F3831" s="461" t="s">
        <v>8326</v>
      </c>
    </row>
    <row r="3832" spans="1:6" ht="30" x14ac:dyDescent="0.25">
      <c r="A3832" s="461">
        <v>21041</v>
      </c>
      <c r="B3832" s="460" t="s">
        <v>11850</v>
      </c>
      <c r="C3832" s="461" t="s">
        <v>1104</v>
      </c>
      <c r="D3832" s="511">
        <v>42.25</v>
      </c>
      <c r="E3832" s="461" t="s">
        <v>161</v>
      </c>
      <c r="F3832" s="461" t="s">
        <v>8326</v>
      </c>
    </row>
    <row r="3833" spans="1:6" ht="30" x14ac:dyDescent="0.25">
      <c r="A3833" s="461">
        <v>21040</v>
      </c>
      <c r="B3833" s="460" t="s">
        <v>11851</v>
      </c>
      <c r="C3833" s="461" t="s">
        <v>1104</v>
      </c>
      <c r="D3833" s="461">
        <v>35</v>
      </c>
      <c r="E3833" s="461" t="s">
        <v>161</v>
      </c>
      <c r="F3833" s="461" t="s">
        <v>8333</v>
      </c>
    </row>
    <row r="3834" spans="1:6" ht="15" x14ac:dyDescent="0.25">
      <c r="A3834" s="461">
        <v>14149</v>
      </c>
      <c r="B3834" s="460" t="s">
        <v>11852</v>
      </c>
      <c r="C3834" s="461" t="s">
        <v>1117</v>
      </c>
      <c r="D3834" s="511">
        <v>204.68</v>
      </c>
      <c r="E3834" s="461" t="s">
        <v>161</v>
      </c>
      <c r="F3834" s="461" t="s">
        <v>8328</v>
      </c>
    </row>
    <row r="3835" spans="1:6" ht="30" x14ac:dyDescent="0.25">
      <c r="A3835" s="461">
        <v>38099</v>
      </c>
      <c r="B3835" s="460" t="s">
        <v>11853</v>
      </c>
      <c r="C3835" s="461" t="s">
        <v>1104</v>
      </c>
      <c r="D3835" s="461">
        <v>1.96</v>
      </c>
      <c r="E3835" s="461" t="s">
        <v>161</v>
      </c>
      <c r="F3835" s="461" t="s">
        <v>8326</v>
      </c>
    </row>
    <row r="3836" spans="1:6" ht="30" x14ac:dyDescent="0.25">
      <c r="A3836" s="461">
        <v>38100</v>
      </c>
      <c r="B3836" s="460" t="s">
        <v>11854</v>
      </c>
      <c r="C3836" s="461" t="s">
        <v>1104</v>
      </c>
      <c r="D3836" s="461">
        <v>3.2</v>
      </c>
      <c r="E3836" s="461" t="s">
        <v>161</v>
      </c>
      <c r="F3836" s="461" t="s">
        <v>8326</v>
      </c>
    </row>
    <row r="3837" spans="1:6" ht="30" x14ac:dyDescent="0.25">
      <c r="A3837" s="461">
        <v>7576</v>
      </c>
      <c r="B3837" s="460" t="s">
        <v>11855</v>
      </c>
      <c r="C3837" s="461" t="s">
        <v>1104</v>
      </c>
      <c r="D3837" s="461">
        <v>200.84</v>
      </c>
      <c r="E3837" s="461" t="s">
        <v>161</v>
      </c>
      <c r="F3837" s="461" t="s">
        <v>8326</v>
      </c>
    </row>
    <row r="3838" spans="1:6" ht="30" x14ac:dyDescent="0.25">
      <c r="A3838" s="461">
        <v>3384</v>
      </c>
      <c r="B3838" s="460" t="s">
        <v>11856</v>
      </c>
      <c r="C3838" s="461" t="s">
        <v>1104</v>
      </c>
      <c r="D3838" s="461">
        <v>7.62</v>
      </c>
      <c r="E3838" s="461" t="s">
        <v>161</v>
      </c>
      <c r="F3838" s="461" t="s">
        <v>8326</v>
      </c>
    </row>
    <row r="3839" spans="1:6" ht="30" x14ac:dyDescent="0.25">
      <c r="A3839" s="461">
        <v>7572</v>
      </c>
      <c r="B3839" s="460" t="s">
        <v>11857</v>
      </c>
      <c r="C3839" s="461" t="s">
        <v>1104</v>
      </c>
      <c r="D3839" s="461">
        <v>6.18</v>
      </c>
      <c r="E3839" s="461" t="s">
        <v>161</v>
      </c>
      <c r="F3839" s="461" t="s">
        <v>8326</v>
      </c>
    </row>
    <row r="3840" spans="1:6" ht="30" x14ac:dyDescent="0.25">
      <c r="A3840" s="461">
        <v>3396</v>
      </c>
      <c r="B3840" s="460" t="s">
        <v>11858</v>
      </c>
      <c r="C3840" s="461" t="s">
        <v>1104</v>
      </c>
      <c r="D3840" s="461">
        <v>4.18</v>
      </c>
      <c r="E3840" s="461" t="s">
        <v>161</v>
      </c>
      <c r="F3840" s="461" t="s">
        <v>8326</v>
      </c>
    </row>
    <row r="3841" spans="1:6" ht="30" x14ac:dyDescent="0.25">
      <c r="A3841" s="461">
        <v>37590</v>
      </c>
      <c r="B3841" s="460" t="s">
        <v>11859</v>
      </c>
      <c r="C3841" s="461" t="s">
        <v>1104</v>
      </c>
      <c r="D3841" s="461">
        <v>16.86</v>
      </c>
      <c r="E3841" s="461" t="s">
        <v>161</v>
      </c>
      <c r="F3841" s="461" t="s">
        <v>8328</v>
      </c>
    </row>
    <row r="3842" spans="1:6" ht="30" x14ac:dyDescent="0.25">
      <c r="A3842" s="461">
        <v>37591</v>
      </c>
      <c r="B3842" s="460" t="s">
        <v>11860</v>
      </c>
      <c r="C3842" s="461" t="s">
        <v>1104</v>
      </c>
      <c r="D3842" s="461">
        <v>20.27</v>
      </c>
      <c r="E3842" s="461" t="s">
        <v>161</v>
      </c>
      <c r="F3842" s="461" t="s">
        <v>8328</v>
      </c>
    </row>
    <row r="3843" spans="1:6" ht="30" x14ac:dyDescent="0.25">
      <c r="A3843" s="461">
        <v>12626</v>
      </c>
      <c r="B3843" s="460" t="s">
        <v>11861</v>
      </c>
      <c r="C3843" s="461" t="s">
        <v>1104</v>
      </c>
      <c r="D3843" s="461">
        <v>34.22</v>
      </c>
      <c r="E3843" s="461" t="s">
        <v>161</v>
      </c>
      <c r="F3843" s="461" t="s">
        <v>8326</v>
      </c>
    </row>
    <row r="3844" spans="1:6" ht="15" x14ac:dyDescent="0.25">
      <c r="A3844" s="461">
        <v>11033</v>
      </c>
      <c r="B3844" s="460" t="s">
        <v>11862</v>
      </c>
      <c r="C3844" s="461" t="s">
        <v>1104</v>
      </c>
      <c r="D3844" s="461">
        <v>7.96</v>
      </c>
      <c r="E3844" s="461" t="s">
        <v>161</v>
      </c>
      <c r="F3844" s="461" t="s">
        <v>8328</v>
      </c>
    </row>
    <row r="3845" spans="1:6" ht="15" x14ac:dyDescent="0.25">
      <c r="A3845" s="461">
        <v>390</v>
      </c>
      <c r="B3845" s="460" t="s">
        <v>11863</v>
      </c>
      <c r="C3845" s="461" t="s">
        <v>1104</v>
      </c>
      <c r="D3845" s="461">
        <v>7.55</v>
      </c>
      <c r="E3845" s="461" t="s">
        <v>161</v>
      </c>
      <c r="F3845" s="461" t="s">
        <v>8326</v>
      </c>
    </row>
    <row r="3846" spans="1:6" ht="45" x14ac:dyDescent="0.25">
      <c r="A3846" s="461">
        <v>42436</v>
      </c>
      <c r="B3846" s="460" t="s">
        <v>11864</v>
      </c>
      <c r="C3846" s="461" t="s">
        <v>1104</v>
      </c>
      <c r="D3846" s="461">
        <v>2701.34</v>
      </c>
      <c r="E3846" s="461" t="s">
        <v>161</v>
      </c>
      <c r="F3846" s="461" t="s">
        <v>8328</v>
      </c>
    </row>
    <row r="3847" spans="1:6" ht="15" x14ac:dyDescent="0.25">
      <c r="A3847" s="461">
        <v>6194</v>
      </c>
      <c r="B3847" s="460" t="s">
        <v>11865</v>
      </c>
      <c r="C3847" s="461" t="s">
        <v>1107</v>
      </c>
      <c r="D3847" s="461">
        <v>5.42</v>
      </c>
      <c r="E3847" s="461" t="s">
        <v>161</v>
      </c>
      <c r="F3847" s="461" t="s">
        <v>8326</v>
      </c>
    </row>
    <row r="3848" spans="1:6" ht="15" x14ac:dyDescent="0.25">
      <c r="A3848" s="461">
        <v>10567</v>
      </c>
      <c r="B3848" s="460" t="s">
        <v>11866</v>
      </c>
      <c r="C3848" s="461" t="s">
        <v>1107</v>
      </c>
      <c r="D3848" s="461">
        <v>8.59</v>
      </c>
      <c r="E3848" s="461" t="s">
        <v>161</v>
      </c>
      <c r="F3848" s="461" t="s">
        <v>8326</v>
      </c>
    </row>
    <row r="3849" spans="1:6" ht="15" x14ac:dyDescent="0.25">
      <c r="A3849" s="461">
        <v>6212</v>
      </c>
      <c r="B3849" s="460" t="s">
        <v>11867</v>
      </c>
      <c r="C3849" s="461" t="s">
        <v>1107</v>
      </c>
      <c r="D3849" s="461">
        <v>12.6</v>
      </c>
      <c r="E3849" s="461" t="s">
        <v>161</v>
      </c>
      <c r="F3849" s="461" t="s">
        <v>8333</v>
      </c>
    </row>
    <row r="3850" spans="1:6" ht="30" x14ac:dyDescent="0.25">
      <c r="A3850" s="461">
        <v>3993</v>
      </c>
      <c r="B3850" s="460" t="s">
        <v>11868</v>
      </c>
      <c r="C3850" s="461" t="s">
        <v>1106</v>
      </c>
      <c r="D3850" s="461">
        <v>131.88999999999999</v>
      </c>
      <c r="E3850" s="461" t="s">
        <v>161</v>
      </c>
      <c r="F3850" s="461" t="s">
        <v>8326</v>
      </c>
    </row>
    <row r="3851" spans="1:6" ht="30" x14ac:dyDescent="0.25">
      <c r="A3851" s="461">
        <v>3990</v>
      </c>
      <c r="B3851" s="460" t="s">
        <v>11869</v>
      </c>
      <c r="C3851" s="461" t="s">
        <v>1107</v>
      </c>
      <c r="D3851" s="461">
        <v>24.82</v>
      </c>
      <c r="E3851" s="461" t="s">
        <v>161</v>
      </c>
      <c r="F3851" s="461" t="s">
        <v>8326</v>
      </c>
    </row>
    <row r="3852" spans="1:6" ht="30" x14ac:dyDescent="0.25">
      <c r="A3852" s="461">
        <v>3992</v>
      </c>
      <c r="B3852" s="460" t="s">
        <v>11870</v>
      </c>
      <c r="C3852" s="461" t="s">
        <v>1107</v>
      </c>
      <c r="D3852" s="461">
        <v>33.5</v>
      </c>
      <c r="E3852" s="461" t="s">
        <v>161</v>
      </c>
      <c r="F3852" s="461" t="s">
        <v>8326</v>
      </c>
    </row>
    <row r="3853" spans="1:6" ht="30" x14ac:dyDescent="0.25">
      <c r="A3853" s="461">
        <v>6178</v>
      </c>
      <c r="B3853" s="460" t="s">
        <v>13368</v>
      </c>
      <c r="C3853" s="461" t="s">
        <v>1106</v>
      </c>
      <c r="D3853" s="461">
        <v>331.24</v>
      </c>
      <c r="E3853" s="461" t="s">
        <v>161</v>
      </c>
      <c r="F3853" s="461" t="s">
        <v>8328</v>
      </c>
    </row>
    <row r="3854" spans="1:6" ht="30" x14ac:dyDescent="0.25">
      <c r="A3854" s="461">
        <v>6180</v>
      </c>
      <c r="B3854" s="460" t="s">
        <v>13369</v>
      </c>
      <c r="C3854" s="461" t="s">
        <v>1106</v>
      </c>
      <c r="D3854" s="461">
        <v>357.5</v>
      </c>
      <c r="E3854" s="461" t="s">
        <v>161</v>
      </c>
      <c r="F3854" s="461" t="s">
        <v>8328</v>
      </c>
    </row>
    <row r="3855" spans="1:6" ht="30" x14ac:dyDescent="0.25">
      <c r="A3855" s="461">
        <v>6182</v>
      </c>
      <c r="B3855" s="460" t="s">
        <v>13370</v>
      </c>
      <c r="C3855" s="461" t="s">
        <v>1106</v>
      </c>
      <c r="D3855" s="461">
        <v>443.74</v>
      </c>
      <c r="E3855" s="461" t="s">
        <v>161</v>
      </c>
      <c r="F3855" s="461" t="s">
        <v>8328</v>
      </c>
    </row>
    <row r="3856" spans="1:6" ht="30" x14ac:dyDescent="0.25">
      <c r="A3856" s="461">
        <v>43614</v>
      </c>
      <c r="B3856" s="460" t="s">
        <v>11871</v>
      </c>
      <c r="C3856" s="461" t="s">
        <v>1107</v>
      </c>
      <c r="D3856" s="461">
        <v>16.760000000000002</v>
      </c>
      <c r="E3856" s="461" t="s">
        <v>161</v>
      </c>
      <c r="F3856" s="461" t="s">
        <v>8326</v>
      </c>
    </row>
    <row r="3857" spans="1:6" ht="30" x14ac:dyDescent="0.25">
      <c r="A3857" s="461">
        <v>6193</v>
      </c>
      <c r="B3857" s="460" t="s">
        <v>11872</v>
      </c>
      <c r="C3857" s="461" t="s">
        <v>1107</v>
      </c>
      <c r="D3857" s="461">
        <v>20.399999999999999</v>
      </c>
      <c r="E3857" s="461" t="s">
        <v>161</v>
      </c>
      <c r="F3857" s="461" t="s">
        <v>8326</v>
      </c>
    </row>
    <row r="3858" spans="1:6" ht="30" x14ac:dyDescent="0.25">
      <c r="A3858" s="461">
        <v>6189</v>
      </c>
      <c r="B3858" s="460" t="s">
        <v>11873</v>
      </c>
      <c r="C3858" s="461" t="s">
        <v>1107</v>
      </c>
      <c r="D3858" s="461">
        <v>29.78</v>
      </c>
      <c r="E3858" s="461" t="s">
        <v>161</v>
      </c>
      <c r="F3858" s="461" t="s">
        <v>8326</v>
      </c>
    </row>
    <row r="3859" spans="1:6" ht="30" x14ac:dyDescent="0.25">
      <c r="A3859" s="461">
        <v>6214</v>
      </c>
      <c r="B3859" s="460" t="s">
        <v>11874</v>
      </c>
      <c r="C3859" s="461" t="s">
        <v>1106</v>
      </c>
      <c r="D3859" s="461">
        <v>207.5</v>
      </c>
      <c r="E3859" s="461" t="s">
        <v>161</v>
      </c>
      <c r="F3859" s="461" t="s">
        <v>8328</v>
      </c>
    </row>
    <row r="3860" spans="1:6" ht="30" x14ac:dyDescent="0.25">
      <c r="A3860" s="461">
        <v>36153</v>
      </c>
      <c r="B3860" s="460" t="s">
        <v>11875</v>
      </c>
      <c r="C3860" s="461" t="s">
        <v>1104</v>
      </c>
      <c r="D3860" s="461">
        <v>207.31</v>
      </c>
      <c r="E3860" s="461" t="s">
        <v>161</v>
      </c>
      <c r="F3860" s="461" t="s">
        <v>8326</v>
      </c>
    </row>
    <row r="3861" spans="1:6" ht="15" x14ac:dyDescent="0.25">
      <c r="A3861" s="461">
        <v>10740</v>
      </c>
      <c r="B3861" s="460" t="s">
        <v>13371</v>
      </c>
      <c r="C3861" s="461" t="s">
        <v>1104</v>
      </c>
      <c r="D3861" s="461">
        <v>10104.620000000001</v>
      </c>
      <c r="E3861" s="461" t="s">
        <v>161</v>
      </c>
      <c r="F3861" s="461" t="s">
        <v>8328</v>
      </c>
    </row>
    <row r="3862" spans="1:6" ht="15" x14ac:dyDescent="0.25">
      <c r="A3862" s="461">
        <v>13914</v>
      </c>
      <c r="B3862" s="460" t="s">
        <v>11876</v>
      </c>
      <c r="C3862" s="461" t="s">
        <v>1104</v>
      </c>
      <c r="D3862" s="461">
        <v>731.11</v>
      </c>
      <c r="E3862" s="461" t="s">
        <v>161</v>
      </c>
      <c r="F3862" s="461" t="s">
        <v>8328</v>
      </c>
    </row>
    <row r="3863" spans="1:6" ht="15" x14ac:dyDescent="0.25">
      <c r="A3863" s="461">
        <v>10742</v>
      </c>
      <c r="B3863" s="460" t="s">
        <v>11877</v>
      </c>
      <c r="C3863" s="461" t="s">
        <v>1104</v>
      </c>
      <c r="D3863" s="461">
        <v>1066.33</v>
      </c>
      <c r="E3863" s="461" t="s">
        <v>161</v>
      </c>
      <c r="F3863" s="461" t="s">
        <v>8328</v>
      </c>
    </row>
    <row r="3864" spans="1:6" ht="15" x14ac:dyDescent="0.25">
      <c r="A3864" s="461">
        <v>38465</v>
      </c>
      <c r="B3864" s="460" t="s">
        <v>11878</v>
      </c>
      <c r="C3864" s="461" t="s">
        <v>1104</v>
      </c>
      <c r="D3864" s="461">
        <v>32.630000000000003</v>
      </c>
      <c r="E3864" s="461" t="s">
        <v>161</v>
      </c>
      <c r="F3864" s="461" t="s">
        <v>8326</v>
      </c>
    </row>
    <row r="3865" spans="1:6" ht="15" x14ac:dyDescent="0.25">
      <c r="A3865" s="461">
        <v>7543</v>
      </c>
      <c r="B3865" s="460" t="s">
        <v>11879</v>
      </c>
      <c r="C3865" s="461" t="s">
        <v>1104</v>
      </c>
      <c r="D3865" s="461">
        <v>5.91</v>
      </c>
      <c r="E3865" s="461" t="s">
        <v>161</v>
      </c>
      <c r="F3865" s="461" t="s">
        <v>8326</v>
      </c>
    </row>
    <row r="3866" spans="1:6" ht="30" x14ac:dyDescent="0.25">
      <c r="A3866" s="461">
        <v>43427</v>
      </c>
      <c r="B3866" s="460" t="s">
        <v>11880</v>
      </c>
      <c r="C3866" s="461" t="s">
        <v>1104</v>
      </c>
      <c r="D3866" s="511">
        <v>1902.25</v>
      </c>
      <c r="E3866" s="461" t="s">
        <v>161</v>
      </c>
      <c r="F3866" s="461" t="s">
        <v>8326</v>
      </c>
    </row>
    <row r="3867" spans="1:6" ht="15" x14ac:dyDescent="0.25">
      <c r="A3867" s="461">
        <v>41613</v>
      </c>
      <c r="B3867" s="460" t="s">
        <v>11881</v>
      </c>
      <c r="C3867" s="461" t="s">
        <v>1104</v>
      </c>
      <c r="D3867" s="461">
        <v>122.28</v>
      </c>
      <c r="E3867" s="461" t="s">
        <v>161</v>
      </c>
      <c r="F3867" s="461" t="s">
        <v>8326</v>
      </c>
    </row>
    <row r="3868" spans="1:6" ht="15" x14ac:dyDescent="0.25">
      <c r="A3868" s="461">
        <v>41614</v>
      </c>
      <c r="B3868" s="460" t="s">
        <v>11882</v>
      </c>
      <c r="C3868" s="461" t="s">
        <v>1104</v>
      </c>
      <c r="D3868" s="461">
        <v>155.80000000000001</v>
      </c>
      <c r="E3868" s="461" t="s">
        <v>161</v>
      </c>
      <c r="F3868" s="461" t="s">
        <v>8326</v>
      </c>
    </row>
    <row r="3869" spans="1:6" ht="15" x14ac:dyDescent="0.25">
      <c r="A3869" s="461">
        <v>41615</v>
      </c>
      <c r="B3869" s="460" t="s">
        <v>11883</v>
      </c>
      <c r="C3869" s="461" t="s">
        <v>1104</v>
      </c>
      <c r="D3869" s="461">
        <v>240.81</v>
      </c>
      <c r="E3869" s="461" t="s">
        <v>161</v>
      </c>
      <c r="F3869" s="461" t="s">
        <v>8326</v>
      </c>
    </row>
    <row r="3870" spans="1:6" ht="15" x14ac:dyDescent="0.25">
      <c r="A3870" s="461">
        <v>41616</v>
      </c>
      <c r="B3870" s="460" t="s">
        <v>11884</v>
      </c>
      <c r="C3870" s="461" t="s">
        <v>1104</v>
      </c>
      <c r="D3870" s="461">
        <v>359.81</v>
      </c>
      <c r="E3870" s="461" t="s">
        <v>161</v>
      </c>
      <c r="F3870" s="461" t="s">
        <v>8326</v>
      </c>
    </row>
    <row r="3871" spans="1:6" ht="15" x14ac:dyDescent="0.25">
      <c r="A3871" s="461">
        <v>41617</v>
      </c>
      <c r="B3871" s="460" t="s">
        <v>11885</v>
      </c>
      <c r="C3871" s="461" t="s">
        <v>1104</v>
      </c>
      <c r="D3871" s="461">
        <v>715.44</v>
      </c>
      <c r="E3871" s="461" t="s">
        <v>161</v>
      </c>
      <c r="F3871" s="461" t="s">
        <v>8326</v>
      </c>
    </row>
    <row r="3872" spans="1:6" ht="15" x14ac:dyDescent="0.25">
      <c r="A3872" s="461">
        <v>41618</v>
      </c>
      <c r="B3872" s="460" t="s">
        <v>11886</v>
      </c>
      <c r="C3872" s="461" t="s">
        <v>1104</v>
      </c>
      <c r="D3872" s="461">
        <v>1317.08</v>
      </c>
      <c r="E3872" s="461" t="s">
        <v>161</v>
      </c>
      <c r="F3872" s="461" t="s">
        <v>8326</v>
      </c>
    </row>
    <row r="3873" spans="1:6" ht="30" x14ac:dyDescent="0.25">
      <c r="A3873" s="461">
        <v>43428</v>
      </c>
      <c r="B3873" s="460" t="s">
        <v>11887</v>
      </c>
      <c r="C3873" s="461" t="s">
        <v>1104</v>
      </c>
      <c r="D3873" s="461">
        <v>2313.4699999999998</v>
      </c>
      <c r="E3873" s="461" t="s">
        <v>161</v>
      </c>
      <c r="F3873" s="461" t="s">
        <v>8326</v>
      </c>
    </row>
    <row r="3874" spans="1:6" ht="30" x14ac:dyDescent="0.25">
      <c r="A3874" s="461">
        <v>41619</v>
      </c>
      <c r="B3874" s="460" t="s">
        <v>13372</v>
      </c>
      <c r="C3874" s="461" t="s">
        <v>1104</v>
      </c>
      <c r="D3874" s="461">
        <v>149.88999999999999</v>
      </c>
      <c r="E3874" s="461" t="s">
        <v>161</v>
      </c>
      <c r="F3874" s="461" t="s">
        <v>8326</v>
      </c>
    </row>
    <row r="3875" spans="1:6" ht="30" x14ac:dyDescent="0.25">
      <c r="A3875" s="461">
        <v>41620</v>
      </c>
      <c r="B3875" s="460" t="s">
        <v>13373</v>
      </c>
      <c r="C3875" s="461" t="s">
        <v>1104</v>
      </c>
      <c r="D3875" s="461">
        <v>189.33</v>
      </c>
      <c r="E3875" s="461" t="s">
        <v>161</v>
      </c>
      <c r="F3875" s="461" t="s">
        <v>8326</v>
      </c>
    </row>
    <row r="3876" spans="1:6" ht="30" x14ac:dyDescent="0.25">
      <c r="A3876" s="461">
        <v>41622</v>
      </c>
      <c r="B3876" s="460" t="s">
        <v>13374</v>
      </c>
      <c r="C3876" s="461" t="s">
        <v>1104</v>
      </c>
      <c r="D3876" s="461">
        <v>328.38</v>
      </c>
      <c r="E3876" s="461" t="s">
        <v>161</v>
      </c>
      <c r="F3876" s="461" t="s">
        <v>8326</v>
      </c>
    </row>
    <row r="3877" spans="1:6" ht="30" x14ac:dyDescent="0.25">
      <c r="A3877" s="461">
        <v>41623</v>
      </c>
      <c r="B3877" s="460" t="s">
        <v>13375</v>
      </c>
      <c r="C3877" s="461" t="s">
        <v>1104</v>
      </c>
      <c r="D3877" s="461">
        <v>504.9</v>
      </c>
      <c r="E3877" s="461" t="s">
        <v>161</v>
      </c>
      <c r="F3877" s="461" t="s">
        <v>8326</v>
      </c>
    </row>
    <row r="3878" spans="1:6" ht="30" x14ac:dyDescent="0.25">
      <c r="A3878" s="461">
        <v>41624</v>
      </c>
      <c r="B3878" s="460" t="s">
        <v>13376</v>
      </c>
      <c r="C3878" s="461" t="s">
        <v>1104</v>
      </c>
      <c r="D3878" s="461">
        <v>946.68</v>
      </c>
      <c r="E3878" s="461" t="s">
        <v>161</v>
      </c>
      <c r="F3878" s="461" t="s">
        <v>8326</v>
      </c>
    </row>
    <row r="3879" spans="1:6" ht="30" x14ac:dyDescent="0.25">
      <c r="A3879" s="461">
        <v>41625</v>
      </c>
      <c r="B3879" s="460" t="s">
        <v>13377</v>
      </c>
      <c r="C3879" s="461" t="s">
        <v>1104</v>
      </c>
      <c r="D3879" s="461">
        <v>1456.52</v>
      </c>
      <c r="E3879" s="461" t="s">
        <v>161</v>
      </c>
      <c r="F3879" s="461" t="s">
        <v>8326</v>
      </c>
    </row>
    <row r="3880" spans="1:6" ht="15" x14ac:dyDescent="0.25">
      <c r="A3880" s="461">
        <v>39352</v>
      </c>
      <c r="B3880" s="460" t="s">
        <v>11888</v>
      </c>
      <c r="C3880" s="461" t="s">
        <v>1104</v>
      </c>
      <c r="D3880" s="461">
        <v>3.65</v>
      </c>
      <c r="E3880" s="461" t="s">
        <v>161</v>
      </c>
      <c r="F3880" s="461" t="s">
        <v>8326</v>
      </c>
    </row>
    <row r="3881" spans="1:6" ht="15" x14ac:dyDescent="0.25">
      <c r="A3881" s="461">
        <v>39346</v>
      </c>
      <c r="B3881" s="460" t="s">
        <v>11889</v>
      </c>
      <c r="C3881" s="461" t="s">
        <v>1104</v>
      </c>
      <c r="D3881" s="511">
        <v>3.65</v>
      </c>
      <c r="E3881" s="461" t="s">
        <v>161</v>
      </c>
      <c r="F3881" s="461" t="s">
        <v>8326</v>
      </c>
    </row>
    <row r="3882" spans="1:6" ht="15" x14ac:dyDescent="0.25">
      <c r="A3882" s="461">
        <v>39350</v>
      </c>
      <c r="B3882" s="460" t="s">
        <v>11890</v>
      </c>
      <c r="C3882" s="461" t="s">
        <v>1104</v>
      </c>
      <c r="D3882" s="461">
        <v>3.93</v>
      </c>
      <c r="E3882" s="461" t="s">
        <v>161</v>
      </c>
      <c r="F3882" s="461" t="s">
        <v>8326</v>
      </c>
    </row>
    <row r="3883" spans="1:6" ht="15" x14ac:dyDescent="0.25">
      <c r="A3883" s="461">
        <v>39351</v>
      </c>
      <c r="B3883" s="460" t="s">
        <v>11891</v>
      </c>
      <c r="C3883" s="461" t="s">
        <v>1104</v>
      </c>
      <c r="D3883" s="511">
        <v>4.54</v>
      </c>
      <c r="E3883" s="461" t="s">
        <v>161</v>
      </c>
      <c r="F3883" s="461" t="s">
        <v>8326</v>
      </c>
    </row>
    <row r="3884" spans="1:6" ht="30" x14ac:dyDescent="0.25">
      <c r="A3884" s="461">
        <v>38837</v>
      </c>
      <c r="B3884" s="460" t="s">
        <v>11892</v>
      </c>
      <c r="C3884" s="461" t="s">
        <v>1104</v>
      </c>
      <c r="D3884" s="461">
        <v>7.68</v>
      </c>
      <c r="E3884" s="461" t="s">
        <v>161</v>
      </c>
      <c r="F3884" s="461" t="s">
        <v>8328</v>
      </c>
    </row>
    <row r="3885" spans="1:6" ht="30" x14ac:dyDescent="0.25">
      <c r="A3885" s="461">
        <v>38836</v>
      </c>
      <c r="B3885" s="460" t="s">
        <v>11893</v>
      </c>
      <c r="C3885" s="461" t="s">
        <v>1104</v>
      </c>
      <c r="D3885" s="461">
        <v>5.37</v>
      </c>
      <c r="E3885" s="461" t="s">
        <v>161</v>
      </c>
      <c r="F3885" s="461" t="s">
        <v>8328</v>
      </c>
    </row>
    <row r="3886" spans="1:6" ht="30" x14ac:dyDescent="0.25">
      <c r="A3886" s="461">
        <v>2666</v>
      </c>
      <c r="B3886" s="460" t="s">
        <v>13378</v>
      </c>
      <c r="C3886" s="461" t="s">
        <v>1104</v>
      </c>
      <c r="D3886" s="511">
        <v>6.19</v>
      </c>
      <c r="E3886" s="461" t="s">
        <v>161</v>
      </c>
      <c r="F3886" s="461" t="s">
        <v>8326</v>
      </c>
    </row>
    <row r="3887" spans="1:6" ht="30" x14ac:dyDescent="0.25">
      <c r="A3887" s="461">
        <v>2668</v>
      </c>
      <c r="B3887" s="460" t="s">
        <v>13379</v>
      </c>
      <c r="C3887" s="461" t="s">
        <v>1104</v>
      </c>
      <c r="D3887" s="461">
        <v>7.07</v>
      </c>
      <c r="E3887" s="461" t="s">
        <v>161</v>
      </c>
      <c r="F3887" s="461" t="s">
        <v>8326</v>
      </c>
    </row>
    <row r="3888" spans="1:6" ht="30" x14ac:dyDescent="0.25">
      <c r="A3888" s="461">
        <v>2664</v>
      </c>
      <c r="B3888" s="460" t="s">
        <v>13380</v>
      </c>
      <c r="C3888" s="461" t="s">
        <v>1104</v>
      </c>
      <c r="D3888" s="461">
        <v>10.44</v>
      </c>
      <c r="E3888" s="461" t="s">
        <v>161</v>
      </c>
      <c r="F3888" s="461" t="s">
        <v>8326</v>
      </c>
    </row>
    <row r="3889" spans="1:6" ht="30" x14ac:dyDescent="0.25">
      <c r="A3889" s="461">
        <v>2662</v>
      </c>
      <c r="B3889" s="460" t="s">
        <v>13381</v>
      </c>
      <c r="C3889" s="461" t="s">
        <v>1104</v>
      </c>
      <c r="D3889" s="461">
        <v>12.8</v>
      </c>
      <c r="E3889" s="461" t="s">
        <v>161</v>
      </c>
      <c r="F3889" s="461" t="s">
        <v>8326</v>
      </c>
    </row>
    <row r="3890" spans="1:6" ht="30" x14ac:dyDescent="0.25">
      <c r="A3890" s="461">
        <v>20964</v>
      </c>
      <c r="B3890" s="460" t="s">
        <v>11894</v>
      </c>
      <c r="C3890" s="461" t="s">
        <v>1104</v>
      </c>
      <c r="D3890" s="461">
        <v>78.09</v>
      </c>
      <c r="E3890" s="461" t="s">
        <v>161</v>
      </c>
      <c r="F3890" s="461" t="s">
        <v>8326</v>
      </c>
    </row>
    <row r="3891" spans="1:6" ht="30" x14ac:dyDescent="0.25">
      <c r="A3891" s="461">
        <v>10905</v>
      </c>
      <c r="B3891" s="460" t="s">
        <v>11895</v>
      </c>
      <c r="C3891" s="461" t="s">
        <v>1104</v>
      </c>
      <c r="D3891" s="461">
        <v>104.76</v>
      </c>
      <c r="E3891" s="461" t="s">
        <v>161</v>
      </c>
      <c r="F3891" s="461" t="s">
        <v>8326</v>
      </c>
    </row>
    <row r="3892" spans="1:6" ht="30" x14ac:dyDescent="0.25">
      <c r="A3892" s="461">
        <v>11289</v>
      </c>
      <c r="B3892" s="460" t="s">
        <v>11896</v>
      </c>
      <c r="C3892" s="461" t="s">
        <v>1104</v>
      </c>
      <c r="D3892" s="511">
        <v>107.65</v>
      </c>
      <c r="E3892" s="461" t="s">
        <v>161</v>
      </c>
      <c r="F3892" s="461" t="s">
        <v>8328</v>
      </c>
    </row>
    <row r="3893" spans="1:6" ht="45" x14ac:dyDescent="0.25">
      <c r="A3893" s="461">
        <v>11241</v>
      </c>
      <c r="B3893" s="460" t="s">
        <v>11897</v>
      </c>
      <c r="C3893" s="461" t="s">
        <v>1104</v>
      </c>
      <c r="D3893" s="511">
        <v>269.14</v>
      </c>
      <c r="E3893" s="461" t="s">
        <v>161</v>
      </c>
      <c r="F3893" s="461" t="s">
        <v>8328</v>
      </c>
    </row>
    <row r="3894" spans="1:6" ht="30" x14ac:dyDescent="0.25">
      <c r="A3894" s="461">
        <v>11301</v>
      </c>
      <c r="B3894" s="460" t="s">
        <v>11898</v>
      </c>
      <c r="C3894" s="461" t="s">
        <v>1104</v>
      </c>
      <c r="D3894" s="461">
        <v>682.48</v>
      </c>
      <c r="E3894" s="461" t="s">
        <v>161</v>
      </c>
      <c r="F3894" s="461" t="s">
        <v>8328</v>
      </c>
    </row>
    <row r="3895" spans="1:6" ht="30" x14ac:dyDescent="0.25">
      <c r="A3895" s="461">
        <v>21090</v>
      </c>
      <c r="B3895" s="460" t="s">
        <v>11899</v>
      </c>
      <c r="C3895" s="461" t="s">
        <v>1104</v>
      </c>
      <c r="D3895" s="461">
        <v>836.27</v>
      </c>
      <c r="E3895" s="461" t="s">
        <v>161</v>
      </c>
      <c r="F3895" s="461" t="s">
        <v>8328</v>
      </c>
    </row>
    <row r="3896" spans="1:6" ht="30" x14ac:dyDescent="0.25">
      <c r="A3896" s="461">
        <v>11315</v>
      </c>
      <c r="B3896" s="460" t="s">
        <v>11900</v>
      </c>
      <c r="C3896" s="461" t="s">
        <v>1104</v>
      </c>
      <c r="D3896" s="461">
        <v>163.41</v>
      </c>
      <c r="E3896" s="461" t="s">
        <v>161</v>
      </c>
      <c r="F3896" s="461" t="s">
        <v>8328</v>
      </c>
    </row>
    <row r="3897" spans="1:6" ht="30" x14ac:dyDescent="0.25">
      <c r="A3897" s="461">
        <v>21071</v>
      </c>
      <c r="B3897" s="460" t="s">
        <v>11901</v>
      </c>
      <c r="C3897" s="461" t="s">
        <v>1104</v>
      </c>
      <c r="D3897" s="461">
        <v>249.92</v>
      </c>
      <c r="E3897" s="461" t="s">
        <v>161</v>
      </c>
      <c r="F3897" s="461" t="s">
        <v>8328</v>
      </c>
    </row>
    <row r="3898" spans="1:6" ht="30" x14ac:dyDescent="0.25">
      <c r="A3898" s="461">
        <v>14112</v>
      </c>
      <c r="B3898" s="460" t="s">
        <v>11902</v>
      </c>
      <c r="C3898" s="461" t="s">
        <v>1104</v>
      </c>
      <c r="D3898" s="461">
        <v>348.93</v>
      </c>
      <c r="E3898" s="461" t="s">
        <v>161</v>
      </c>
      <c r="F3898" s="461" t="s">
        <v>8328</v>
      </c>
    </row>
    <row r="3899" spans="1:6" ht="30" x14ac:dyDescent="0.25">
      <c r="A3899" s="461">
        <v>11316</v>
      </c>
      <c r="B3899" s="460" t="s">
        <v>11903</v>
      </c>
      <c r="C3899" s="461" t="s">
        <v>1104</v>
      </c>
      <c r="D3899" s="511">
        <v>538.29</v>
      </c>
      <c r="E3899" s="461" t="s">
        <v>161</v>
      </c>
      <c r="F3899" s="461" t="s">
        <v>8328</v>
      </c>
    </row>
    <row r="3900" spans="1:6" ht="30" x14ac:dyDescent="0.25">
      <c r="A3900" s="461">
        <v>6243</v>
      </c>
      <c r="B3900" s="460" t="s">
        <v>11904</v>
      </c>
      <c r="C3900" s="461" t="s">
        <v>1104</v>
      </c>
      <c r="D3900" s="461">
        <v>620</v>
      </c>
      <c r="E3900" s="461" t="s">
        <v>161</v>
      </c>
      <c r="F3900" s="461" t="s">
        <v>8328</v>
      </c>
    </row>
    <row r="3901" spans="1:6" ht="30" x14ac:dyDescent="0.25">
      <c r="A3901" s="461">
        <v>6240</v>
      </c>
      <c r="B3901" s="460" t="s">
        <v>11905</v>
      </c>
      <c r="C3901" s="461" t="s">
        <v>1104</v>
      </c>
      <c r="D3901" s="461">
        <v>820.89</v>
      </c>
      <c r="E3901" s="461" t="s">
        <v>161</v>
      </c>
      <c r="F3901" s="461" t="s">
        <v>8328</v>
      </c>
    </row>
    <row r="3902" spans="1:6" ht="30" x14ac:dyDescent="0.25">
      <c r="A3902" s="461">
        <v>11296</v>
      </c>
      <c r="B3902" s="460" t="s">
        <v>11906</v>
      </c>
      <c r="C3902" s="461" t="s">
        <v>1104</v>
      </c>
      <c r="D3902" s="461">
        <v>2615.5300000000002</v>
      </c>
      <c r="E3902" s="461" t="s">
        <v>161</v>
      </c>
      <c r="F3902" s="461" t="s">
        <v>8328</v>
      </c>
    </row>
    <row r="3903" spans="1:6" ht="30" x14ac:dyDescent="0.25">
      <c r="A3903" s="461">
        <v>11299</v>
      </c>
      <c r="B3903" s="460" t="s">
        <v>11907</v>
      </c>
      <c r="C3903" s="461" t="s">
        <v>1104</v>
      </c>
      <c r="D3903" s="461">
        <v>885.3</v>
      </c>
      <c r="E3903" s="461" t="s">
        <v>161</v>
      </c>
      <c r="F3903" s="461" t="s">
        <v>8328</v>
      </c>
    </row>
    <row r="3904" spans="1:6" ht="30" x14ac:dyDescent="0.25">
      <c r="A3904" s="461">
        <v>11688</v>
      </c>
      <c r="B3904" s="460" t="s">
        <v>11908</v>
      </c>
      <c r="C3904" s="461" t="s">
        <v>1104</v>
      </c>
      <c r="D3904" s="461">
        <v>478.34</v>
      </c>
      <c r="E3904" s="461" t="s">
        <v>161</v>
      </c>
      <c r="F3904" s="461" t="s">
        <v>8326</v>
      </c>
    </row>
    <row r="3905" spans="1:6" ht="45" x14ac:dyDescent="0.25">
      <c r="A3905" s="461">
        <v>37736</v>
      </c>
      <c r="B3905" s="460" t="s">
        <v>11909</v>
      </c>
      <c r="C3905" s="461" t="s">
        <v>1104</v>
      </c>
      <c r="D3905" s="461">
        <v>83450</v>
      </c>
      <c r="E3905" s="461" t="s">
        <v>161</v>
      </c>
      <c r="F3905" s="461" t="s">
        <v>8328</v>
      </c>
    </row>
    <row r="3906" spans="1:6" ht="30" x14ac:dyDescent="0.25">
      <c r="A3906" s="461">
        <v>37739</v>
      </c>
      <c r="B3906" s="460" t="s">
        <v>11910</v>
      </c>
      <c r="C3906" s="461" t="s">
        <v>1104</v>
      </c>
      <c r="D3906" s="461">
        <v>102707.68</v>
      </c>
      <c r="E3906" s="461" t="s">
        <v>161</v>
      </c>
      <c r="F3906" s="461" t="s">
        <v>8328</v>
      </c>
    </row>
    <row r="3907" spans="1:6" ht="30" x14ac:dyDescent="0.25">
      <c r="A3907" s="461">
        <v>37740</v>
      </c>
      <c r="B3907" s="460" t="s">
        <v>11911</v>
      </c>
      <c r="C3907" s="461" t="s">
        <v>1104</v>
      </c>
      <c r="D3907" s="461">
        <v>58610.36</v>
      </c>
      <c r="E3907" s="461" t="s">
        <v>161</v>
      </c>
      <c r="F3907" s="461" t="s">
        <v>8328</v>
      </c>
    </row>
    <row r="3908" spans="1:6" ht="30" x14ac:dyDescent="0.25">
      <c r="A3908" s="461">
        <v>37738</v>
      </c>
      <c r="B3908" s="460" t="s">
        <v>11912</v>
      </c>
      <c r="C3908" s="461" t="s">
        <v>1104</v>
      </c>
      <c r="D3908" s="461">
        <v>69634.7</v>
      </c>
      <c r="E3908" s="461" t="s">
        <v>161</v>
      </c>
      <c r="F3908" s="461" t="s">
        <v>8328</v>
      </c>
    </row>
    <row r="3909" spans="1:6" ht="30" x14ac:dyDescent="0.25">
      <c r="A3909" s="461">
        <v>37737</v>
      </c>
      <c r="B3909" s="460" t="s">
        <v>11913</v>
      </c>
      <c r="C3909" s="461" t="s">
        <v>1104</v>
      </c>
      <c r="D3909" s="461">
        <v>55400.75</v>
      </c>
      <c r="E3909" s="461" t="s">
        <v>161</v>
      </c>
      <c r="F3909" s="461" t="s">
        <v>8328</v>
      </c>
    </row>
    <row r="3910" spans="1:6" ht="15" x14ac:dyDescent="0.25">
      <c r="A3910" s="461">
        <v>25014</v>
      </c>
      <c r="B3910" s="460" t="s">
        <v>11914</v>
      </c>
      <c r="C3910" s="461" t="s">
        <v>1104</v>
      </c>
      <c r="D3910" s="461">
        <v>116034.57</v>
      </c>
      <c r="E3910" s="461" t="s">
        <v>1497</v>
      </c>
      <c r="F3910" s="461" t="s">
        <v>8328</v>
      </c>
    </row>
    <row r="3911" spans="1:6" ht="15" x14ac:dyDescent="0.25">
      <c r="A3911" s="461">
        <v>25013</v>
      </c>
      <c r="B3911" s="460" t="s">
        <v>11915</v>
      </c>
      <c r="C3911" s="461" t="s">
        <v>1104</v>
      </c>
      <c r="D3911" s="461">
        <v>121616.51</v>
      </c>
      <c r="E3911" s="461" t="s">
        <v>1497</v>
      </c>
      <c r="F3911" s="461" t="s">
        <v>8328</v>
      </c>
    </row>
    <row r="3912" spans="1:6" ht="15" x14ac:dyDescent="0.25">
      <c r="A3912" s="461">
        <v>14405</v>
      </c>
      <c r="B3912" s="460" t="s">
        <v>11916</v>
      </c>
      <c r="C3912" s="461" t="s">
        <v>1104</v>
      </c>
      <c r="D3912" s="461">
        <v>142758.1</v>
      </c>
      <c r="E3912" s="461" t="s">
        <v>1497</v>
      </c>
      <c r="F3912" s="461" t="s">
        <v>8328</v>
      </c>
    </row>
    <row r="3913" spans="1:6" ht="15" x14ac:dyDescent="0.25">
      <c r="A3913" s="461">
        <v>20271</v>
      </c>
      <c r="B3913" s="460" t="s">
        <v>11917</v>
      </c>
      <c r="C3913" s="461" t="s">
        <v>1104</v>
      </c>
      <c r="D3913" s="461">
        <v>519.97</v>
      </c>
      <c r="E3913" s="461" t="s">
        <v>161</v>
      </c>
      <c r="F3913" s="461" t="s">
        <v>8326</v>
      </c>
    </row>
    <row r="3914" spans="1:6" ht="15" x14ac:dyDescent="0.25">
      <c r="A3914" s="461">
        <v>10423</v>
      </c>
      <c r="B3914" s="460" t="s">
        <v>11918</v>
      </c>
      <c r="C3914" s="461" t="s">
        <v>1104</v>
      </c>
      <c r="D3914" s="461">
        <v>381.78</v>
      </c>
      <c r="E3914" s="461" t="s">
        <v>161</v>
      </c>
      <c r="F3914" s="461" t="s">
        <v>8326</v>
      </c>
    </row>
    <row r="3915" spans="1:6" ht="30" x14ac:dyDescent="0.25">
      <c r="A3915" s="461">
        <v>36790</v>
      </c>
      <c r="B3915" s="460" t="s">
        <v>11919</v>
      </c>
      <c r="C3915" s="461" t="s">
        <v>1104</v>
      </c>
      <c r="D3915" s="461">
        <v>342.01</v>
      </c>
      <c r="E3915" s="461" t="s">
        <v>161</v>
      </c>
      <c r="F3915" s="461" t="s">
        <v>8326</v>
      </c>
    </row>
    <row r="3916" spans="1:6" ht="30" x14ac:dyDescent="0.25">
      <c r="A3916" s="461">
        <v>37589</v>
      </c>
      <c r="B3916" s="460" t="s">
        <v>11920</v>
      </c>
      <c r="C3916" s="461" t="s">
        <v>1104</v>
      </c>
      <c r="D3916" s="461">
        <v>419.06</v>
      </c>
      <c r="E3916" s="461" t="s">
        <v>161</v>
      </c>
      <c r="F3916" s="461" t="s">
        <v>8326</v>
      </c>
    </row>
    <row r="3917" spans="1:6" ht="30" x14ac:dyDescent="0.25">
      <c r="A3917" s="461">
        <v>11690</v>
      </c>
      <c r="B3917" s="460" t="s">
        <v>11921</v>
      </c>
      <c r="C3917" s="461" t="s">
        <v>1104</v>
      </c>
      <c r="D3917" s="461">
        <v>222.61</v>
      </c>
      <c r="E3917" s="461" t="s">
        <v>161</v>
      </c>
      <c r="F3917" s="461" t="s">
        <v>8326</v>
      </c>
    </row>
    <row r="3918" spans="1:6" ht="30" x14ac:dyDescent="0.25">
      <c r="A3918" s="461">
        <v>20234</v>
      </c>
      <c r="B3918" s="460" t="s">
        <v>11922</v>
      </c>
      <c r="C3918" s="461" t="s">
        <v>1104</v>
      </c>
      <c r="D3918" s="461">
        <v>281.72000000000003</v>
      </c>
      <c r="E3918" s="461" t="s">
        <v>161</v>
      </c>
      <c r="F3918" s="461" t="s">
        <v>8326</v>
      </c>
    </row>
    <row r="3919" spans="1:6" ht="15" x14ac:dyDescent="0.25">
      <c r="A3919" s="461">
        <v>44480</v>
      </c>
      <c r="B3919" s="460" t="s">
        <v>13382</v>
      </c>
      <c r="C3919" s="461" t="s">
        <v>1105</v>
      </c>
      <c r="D3919" s="461">
        <v>14.38</v>
      </c>
      <c r="E3919" s="461" t="s">
        <v>161</v>
      </c>
      <c r="F3919" s="461" t="s">
        <v>8326</v>
      </c>
    </row>
    <row r="3920" spans="1:6" ht="30" x14ac:dyDescent="0.25">
      <c r="A3920" s="461">
        <v>11457</v>
      </c>
      <c r="B3920" s="460" t="s">
        <v>11923</v>
      </c>
      <c r="C3920" s="461" t="s">
        <v>1104</v>
      </c>
      <c r="D3920" s="461">
        <v>42.36</v>
      </c>
      <c r="E3920" s="461" t="s">
        <v>161</v>
      </c>
      <c r="F3920" s="461" t="s">
        <v>8326</v>
      </c>
    </row>
    <row r="3921" spans="1:6" ht="30" x14ac:dyDescent="0.25">
      <c r="A3921" s="461">
        <v>44073</v>
      </c>
      <c r="B3921" s="460" t="s">
        <v>11924</v>
      </c>
      <c r="C3921" s="461" t="s">
        <v>1107</v>
      </c>
      <c r="D3921" s="461">
        <v>0.65</v>
      </c>
      <c r="E3921" s="461" t="s">
        <v>161</v>
      </c>
      <c r="F3921" s="461" t="s">
        <v>8326</v>
      </c>
    </row>
    <row r="3922" spans="1:6" ht="15" x14ac:dyDescent="0.25">
      <c r="A3922" s="461">
        <v>44253</v>
      </c>
      <c r="B3922" s="460" t="s">
        <v>11925</v>
      </c>
      <c r="C3922" s="461" t="s">
        <v>1104</v>
      </c>
      <c r="D3922" s="511">
        <v>226.83</v>
      </c>
      <c r="E3922" s="461" t="s">
        <v>161</v>
      </c>
      <c r="F3922" s="461" t="s">
        <v>8326</v>
      </c>
    </row>
    <row r="3923" spans="1:6" ht="15" x14ac:dyDescent="0.25">
      <c r="A3923" s="461">
        <v>21121</v>
      </c>
      <c r="B3923" s="460" t="s">
        <v>11926</v>
      </c>
      <c r="C3923" s="461" t="s">
        <v>1104</v>
      </c>
      <c r="D3923" s="461">
        <v>3.25</v>
      </c>
      <c r="E3923" s="461" t="s">
        <v>161</v>
      </c>
      <c r="F3923" s="461" t="s">
        <v>8326</v>
      </c>
    </row>
    <row r="3924" spans="1:6" ht="15" x14ac:dyDescent="0.25">
      <c r="A3924" s="461">
        <v>38010</v>
      </c>
      <c r="B3924" s="460" t="s">
        <v>11927</v>
      </c>
      <c r="C3924" s="461" t="s">
        <v>1104</v>
      </c>
      <c r="D3924" s="461">
        <v>4.05</v>
      </c>
      <c r="E3924" s="461" t="s">
        <v>161</v>
      </c>
      <c r="F3924" s="461" t="s">
        <v>8326</v>
      </c>
    </row>
    <row r="3925" spans="1:6" ht="15" x14ac:dyDescent="0.25">
      <c r="A3925" s="461">
        <v>38011</v>
      </c>
      <c r="B3925" s="460" t="s">
        <v>11928</v>
      </c>
      <c r="C3925" s="461" t="s">
        <v>1104</v>
      </c>
      <c r="D3925" s="511">
        <v>8.1199999999999992</v>
      </c>
      <c r="E3925" s="461" t="s">
        <v>161</v>
      </c>
      <c r="F3925" s="461" t="s">
        <v>8326</v>
      </c>
    </row>
    <row r="3926" spans="1:6" ht="15" x14ac:dyDescent="0.25">
      <c r="A3926" s="461">
        <v>38012</v>
      </c>
      <c r="B3926" s="460" t="s">
        <v>11929</v>
      </c>
      <c r="C3926" s="461" t="s">
        <v>1104</v>
      </c>
      <c r="D3926" s="511">
        <v>30.96</v>
      </c>
      <c r="E3926" s="461" t="s">
        <v>161</v>
      </c>
      <c r="F3926" s="461" t="s">
        <v>8326</v>
      </c>
    </row>
    <row r="3927" spans="1:6" ht="15" x14ac:dyDescent="0.25">
      <c r="A3927" s="461">
        <v>38013</v>
      </c>
      <c r="B3927" s="460" t="s">
        <v>11930</v>
      </c>
      <c r="C3927" s="461" t="s">
        <v>1104</v>
      </c>
      <c r="D3927" s="511">
        <v>39.78</v>
      </c>
      <c r="E3927" s="461" t="s">
        <v>161</v>
      </c>
      <c r="F3927" s="461" t="s">
        <v>8326</v>
      </c>
    </row>
    <row r="3928" spans="1:6" ht="15" x14ac:dyDescent="0.25">
      <c r="A3928" s="461">
        <v>38014</v>
      </c>
      <c r="B3928" s="460" t="s">
        <v>11931</v>
      </c>
      <c r="C3928" s="461" t="s">
        <v>1104</v>
      </c>
      <c r="D3928" s="511">
        <v>66.430000000000007</v>
      </c>
      <c r="E3928" s="461" t="s">
        <v>161</v>
      </c>
      <c r="F3928" s="461" t="s">
        <v>8326</v>
      </c>
    </row>
    <row r="3929" spans="1:6" ht="15" x14ac:dyDescent="0.25">
      <c r="A3929" s="461">
        <v>38015</v>
      </c>
      <c r="B3929" s="460" t="s">
        <v>11932</v>
      </c>
      <c r="C3929" s="461" t="s">
        <v>1104</v>
      </c>
      <c r="D3929" s="511">
        <v>156.16999999999999</v>
      </c>
      <c r="E3929" s="461" t="s">
        <v>161</v>
      </c>
      <c r="F3929" s="461" t="s">
        <v>8326</v>
      </c>
    </row>
    <row r="3930" spans="1:6" ht="15" x14ac:dyDescent="0.25">
      <c r="A3930" s="461">
        <v>38016</v>
      </c>
      <c r="B3930" s="460" t="s">
        <v>11933</v>
      </c>
      <c r="C3930" s="461" t="s">
        <v>1104</v>
      </c>
      <c r="D3930" s="511">
        <v>181.61</v>
      </c>
      <c r="E3930" s="461" t="s">
        <v>161</v>
      </c>
      <c r="F3930" s="461" t="s">
        <v>8326</v>
      </c>
    </row>
    <row r="3931" spans="1:6" ht="15" x14ac:dyDescent="0.25">
      <c r="A3931" s="461">
        <v>12741</v>
      </c>
      <c r="B3931" s="460" t="s">
        <v>11934</v>
      </c>
      <c r="C3931" s="461" t="s">
        <v>1104</v>
      </c>
      <c r="D3931" s="511">
        <v>1571.7</v>
      </c>
      <c r="E3931" s="461" t="s">
        <v>161</v>
      </c>
      <c r="F3931" s="461" t="s">
        <v>8326</v>
      </c>
    </row>
    <row r="3932" spans="1:6" ht="15" x14ac:dyDescent="0.25">
      <c r="A3932" s="461">
        <v>12733</v>
      </c>
      <c r="B3932" s="460" t="s">
        <v>11935</v>
      </c>
      <c r="C3932" s="461" t="s">
        <v>1104</v>
      </c>
      <c r="D3932" s="511">
        <v>7.91</v>
      </c>
      <c r="E3932" s="461" t="s">
        <v>161</v>
      </c>
      <c r="F3932" s="461" t="s">
        <v>8326</v>
      </c>
    </row>
    <row r="3933" spans="1:6" ht="15" x14ac:dyDescent="0.25">
      <c r="A3933" s="461">
        <v>12734</v>
      </c>
      <c r="B3933" s="460" t="s">
        <v>11936</v>
      </c>
      <c r="C3933" s="461" t="s">
        <v>1104</v>
      </c>
      <c r="D3933" s="461">
        <v>16.850000000000001</v>
      </c>
      <c r="E3933" s="461" t="s">
        <v>161</v>
      </c>
      <c r="F3933" s="461" t="s">
        <v>8326</v>
      </c>
    </row>
    <row r="3934" spans="1:6" ht="15" x14ac:dyDescent="0.25">
      <c r="A3934" s="461">
        <v>12735</v>
      </c>
      <c r="B3934" s="460" t="s">
        <v>11937</v>
      </c>
      <c r="C3934" s="461" t="s">
        <v>1104</v>
      </c>
      <c r="D3934" s="461">
        <v>27.73</v>
      </c>
      <c r="E3934" s="461" t="s">
        <v>161</v>
      </c>
      <c r="F3934" s="461" t="s">
        <v>8326</v>
      </c>
    </row>
    <row r="3935" spans="1:6" ht="15" x14ac:dyDescent="0.25">
      <c r="A3935" s="461">
        <v>12736</v>
      </c>
      <c r="B3935" s="460" t="s">
        <v>11938</v>
      </c>
      <c r="C3935" s="461" t="s">
        <v>1104</v>
      </c>
      <c r="D3935" s="461">
        <v>63.39</v>
      </c>
      <c r="E3935" s="461" t="s">
        <v>161</v>
      </c>
      <c r="F3935" s="461" t="s">
        <v>8326</v>
      </c>
    </row>
    <row r="3936" spans="1:6" ht="15" x14ac:dyDescent="0.25">
      <c r="A3936" s="461">
        <v>12737</v>
      </c>
      <c r="B3936" s="460" t="s">
        <v>11939</v>
      </c>
      <c r="C3936" s="461" t="s">
        <v>1104</v>
      </c>
      <c r="D3936" s="461">
        <v>81.66</v>
      </c>
      <c r="E3936" s="461" t="s">
        <v>161</v>
      </c>
      <c r="F3936" s="461" t="s">
        <v>8326</v>
      </c>
    </row>
    <row r="3937" spans="1:6" ht="15" x14ac:dyDescent="0.25">
      <c r="A3937" s="461">
        <v>12738</v>
      </c>
      <c r="B3937" s="460" t="s">
        <v>11940</v>
      </c>
      <c r="C3937" s="461" t="s">
        <v>1104</v>
      </c>
      <c r="D3937" s="461">
        <v>161.4</v>
      </c>
      <c r="E3937" s="461" t="s">
        <v>161</v>
      </c>
      <c r="F3937" s="461" t="s">
        <v>8326</v>
      </c>
    </row>
    <row r="3938" spans="1:6" ht="15" x14ac:dyDescent="0.25">
      <c r="A3938" s="461">
        <v>12739</v>
      </c>
      <c r="B3938" s="460" t="s">
        <v>11941</v>
      </c>
      <c r="C3938" s="461" t="s">
        <v>1104</v>
      </c>
      <c r="D3938" s="461">
        <v>459.45</v>
      </c>
      <c r="E3938" s="461" t="s">
        <v>161</v>
      </c>
      <c r="F3938" s="461" t="s">
        <v>8326</v>
      </c>
    </row>
    <row r="3939" spans="1:6" ht="15" x14ac:dyDescent="0.25">
      <c r="A3939" s="461">
        <v>12740</v>
      </c>
      <c r="B3939" s="460" t="s">
        <v>11942</v>
      </c>
      <c r="C3939" s="461" t="s">
        <v>1104</v>
      </c>
      <c r="D3939" s="461">
        <v>718.84</v>
      </c>
      <c r="E3939" s="461" t="s">
        <v>161</v>
      </c>
      <c r="F3939" s="461" t="s">
        <v>8326</v>
      </c>
    </row>
    <row r="3940" spans="1:6" ht="15" x14ac:dyDescent="0.25">
      <c r="A3940" s="461">
        <v>6297</v>
      </c>
      <c r="B3940" s="460" t="s">
        <v>11943</v>
      </c>
      <c r="C3940" s="461" t="s">
        <v>1104</v>
      </c>
      <c r="D3940" s="461">
        <v>46.75</v>
      </c>
      <c r="E3940" s="461" t="s">
        <v>161</v>
      </c>
      <c r="F3940" s="461" t="s">
        <v>8328</v>
      </c>
    </row>
    <row r="3941" spans="1:6" ht="15" x14ac:dyDescent="0.25">
      <c r="A3941" s="461">
        <v>6296</v>
      </c>
      <c r="B3941" s="460" t="s">
        <v>11944</v>
      </c>
      <c r="C3941" s="461" t="s">
        <v>1104</v>
      </c>
      <c r="D3941" s="461">
        <v>36.9</v>
      </c>
      <c r="E3941" s="461" t="s">
        <v>161</v>
      </c>
      <c r="F3941" s="461" t="s">
        <v>8328</v>
      </c>
    </row>
    <row r="3942" spans="1:6" ht="15" x14ac:dyDescent="0.25">
      <c r="A3942" s="461">
        <v>6294</v>
      </c>
      <c r="B3942" s="460" t="s">
        <v>11945</v>
      </c>
      <c r="C3942" s="461" t="s">
        <v>1104</v>
      </c>
      <c r="D3942" s="461">
        <v>10.52</v>
      </c>
      <c r="E3942" s="461" t="s">
        <v>161</v>
      </c>
      <c r="F3942" s="461" t="s">
        <v>8328</v>
      </c>
    </row>
    <row r="3943" spans="1:6" ht="15" x14ac:dyDescent="0.25">
      <c r="A3943" s="461">
        <v>6323</v>
      </c>
      <c r="B3943" s="460" t="s">
        <v>11946</v>
      </c>
      <c r="C3943" s="461" t="s">
        <v>1104</v>
      </c>
      <c r="D3943" s="461">
        <v>24.11</v>
      </c>
      <c r="E3943" s="461" t="s">
        <v>161</v>
      </c>
      <c r="F3943" s="461" t="s">
        <v>8328</v>
      </c>
    </row>
    <row r="3944" spans="1:6" ht="15" x14ac:dyDescent="0.25">
      <c r="A3944" s="461">
        <v>6299</v>
      </c>
      <c r="B3944" s="460" t="s">
        <v>11947</v>
      </c>
      <c r="C3944" s="461" t="s">
        <v>1104</v>
      </c>
      <c r="D3944" s="461">
        <v>140.62</v>
      </c>
      <c r="E3944" s="461" t="s">
        <v>161</v>
      </c>
      <c r="F3944" s="461" t="s">
        <v>8328</v>
      </c>
    </row>
    <row r="3945" spans="1:6" ht="15" x14ac:dyDescent="0.25">
      <c r="A3945" s="461">
        <v>6298</v>
      </c>
      <c r="B3945" s="460" t="s">
        <v>11948</v>
      </c>
      <c r="C3945" s="461" t="s">
        <v>1104</v>
      </c>
      <c r="D3945" s="461">
        <v>74.06</v>
      </c>
      <c r="E3945" s="461" t="s">
        <v>161</v>
      </c>
      <c r="F3945" s="461" t="s">
        <v>8328</v>
      </c>
    </row>
    <row r="3946" spans="1:6" ht="15" x14ac:dyDescent="0.25">
      <c r="A3946" s="461">
        <v>6295</v>
      </c>
      <c r="B3946" s="460" t="s">
        <v>11949</v>
      </c>
      <c r="C3946" s="461" t="s">
        <v>1104</v>
      </c>
      <c r="D3946" s="461">
        <v>14.98</v>
      </c>
      <c r="E3946" s="461" t="s">
        <v>161</v>
      </c>
      <c r="F3946" s="461" t="s">
        <v>8328</v>
      </c>
    </row>
    <row r="3947" spans="1:6" ht="15" x14ac:dyDescent="0.25">
      <c r="A3947" s="461">
        <v>6322</v>
      </c>
      <c r="B3947" s="460" t="s">
        <v>11950</v>
      </c>
      <c r="C3947" s="461" t="s">
        <v>1104</v>
      </c>
      <c r="D3947" s="461">
        <v>188.34</v>
      </c>
      <c r="E3947" s="461" t="s">
        <v>161</v>
      </c>
      <c r="F3947" s="461" t="s">
        <v>8328</v>
      </c>
    </row>
    <row r="3948" spans="1:6" ht="15" x14ac:dyDescent="0.25">
      <c r="A3948" s="461">
        <v>6300</v>
      </c>
      <c r="B3948" s="460" t="s">
        <v>11951</v>
      </c>
      <c r="C3948" s="461" t="s">
        <v>1104</v>
      </c>
      <c r="D3948" s="461">
        <v>347.23</v>
      </c>
      <c r="E3948" s="461" t="s">
        <v>161</v>
      </c>
      <c r="F3948" s="461" t="s">
        <v>8328</v>
      </c>
    </row>
    <row r="3949" spans="1:6" ht="15" x14ac:dyDescent="0.25">
      <c r="A3949" s="461">
        <v>6321</v>
      </c>
      <c r="B3949" s="460" t="s">
        <v>11952</v>
      </c>
      <c r="C3949" s="461" t="s">
        <v>1104</v>
      </c>
      <c r="D3949" s="461">
        <v>495.99</v>
      </c>
      <c r="E3949" s="461" t="s">
        <v>161</v>
      </c>
      <c r="F3949" s="461" t="s">
        <v>8328</v>
      </c>
    </row>
    <row r="3950" spans="1:6" ht="15" x14ac:dyDescent="0.25">
      <c r="A3950" s="461">
        <v>6301</v>
      </c>
      <c r="B3950" s="460" t="s">
        <v>11953</v>
      </c>
      <c r="C3950" s="461" t="s">
        <v>1104</v>
      </c>
      <c r="D3950" s="461">
        <v>1162.55</v>
      </c>
      <c r="E3950" s="461" t="s">
        <v>161</v>
      </c>
      <c r="F3950" s="461" t="s">
        <v>8328</v>
      </c>
    </row>
    <row r="3951" spans="1:6" ht="15" x14ac:dyDescent="0.25">
      <c r="A3951" s="461">
        <v>20183</v>
      </c>
      <c r="B3951" s="460" t="s">
        <v>11954</v>
      </c>
      <c r="C3951" s="461" t="s">
        <v>1104</v>
      </c>
      <c r="D3951" s="511">
        <v>42.37</v>
      </c>
      <c r="E3951" s="461" t="s">
        <v>161</v>
      </c>
      <c r="F3951" s="461" t="s">
        <v>8326</v>
      </c>
    </row>
    <row r="3952" spans="1:6" ht="15" x14ac:dyDescent="0.25">
      <c r="A3952" s="461">
        <v>38448</v>
      </c>
      <c r="B3952" s="460" t="s">
        <v>11955</v>
      </c>
      <c r="C3952" s="461" t="s">
        <v>1104</v>
      </c>
      <c r="D3952" s="461">
        <v>192.28</v>
      </c>
      <c r="E3952" s="461" t="s">
        <v>161</v>
      </c>
      <c r="F3952" s="461" t="s">
        <v>8326</v>
      </c>
    </row>
    <row r="3953" spans="1:6" ht="15" x14ac:dyDescent="0.25">
      <c r="A3953" s="461">
        <v>20182</v>
      </c>
      <c r="B3953" s="460" t="s">
        <v>11956</v>
      </c>
      <c r="C3953" s="461" t="s">
        <v>1104</v>
      </c>
      <c r="D3953" s="461">
        <v>24.63</v>
      </c>
      <c r="E3953" s="461" t="s">
        <v>161</v>
      </c>
      <c r="F3953" s="461" t="s">
        <v>8326</v>
      </c>
    </row>
    <row r="3954" spans="1:6" ht="15" x14ac:dyDescent="0.25">
      <c r="A3954" s="461">
        <v>7105</v>
      </c>
      <c r="B3954" s="460" t="s">
        <v>13383</v>
      </c>
      <c r="C3954" s="461" t="s">
        <v>1104</v>
      </c>
      <c r="D3954" s="461">
        <v>34.39</v>
      </c>
      <c r="E3954" s="461" t="s">
        <v>161</v>
      </c>
      <c r="F3954" s="461" t="s">
        <v>8326</v>
      </c>
    </row>
    <row r="3955" spans="1:6" ht="15" x14ac:dyDescent="0.25">
      <c r="A3955" s="461">
        <v>7119</v>
      </c>
      <c r="B3955" s="460" t="s">
        <v>11957</v>
      </c>
      <c r="C3955" s="461" t="s">
        <v>1104</v>
      </c>
      <c r="D3955" s="461">
        <v>11.08</v>
      </c>
      <c r="E3955" s="461" t="s">
        <v>161</v>
      </c>
      <c r="F3955" s="461" t="s">
        <v>8326</v>
      </c>
    </row>
    <row r="3956" spans="1:6" ht="15" x14ac:dyDescent="0.25">
      <c r="A3956" s="461">
        <v>7126</v>
      </c>
      <c r="B3956" s="460" t="s">
        <v>11958</v>
      </c>
      <c r="C3956" s="461" t="s">
        <v>1104</v>
      </c>
      <c r="D3956" s="461">
        <v>22.61</v>
      </c>
      <c r="E3956" s="461" t="s">
        <v>161</v>
      </c>
      <c r="F3956" s="461" t="s">
        <v>8326</v>
      </c>
    </row>
    <row r="3957" spans="1:6" ht="15" x14ac:dyDescent="0.25">
      <c r="A3957" s="461">
        <v>7120</v>
      </c>
      <c r="B3957" s="460" t="s">
        <v>11959</v>
      </c>
      <c r="C3957" s="461" t="s">
        <v>1104</v>
      </c>
      <c r="D3957" s="461">
        <v>8.5</v>
      </c>
      <c r="E3957" s="461" t="s">
        <v>161</v>
      </c>
      <c r="F3957" s="461" t="s">
        <v>8326</v>
      </c>
    </row>
    <row r="3958" spans="1:6" ht="15" x14ac:dyDescent="0.25">
      <c r="A3958" s="461">
        <v>6319</v>
      </c>
      <c r="B3958" s="460" t="s">
        <v>11960</v>
      </c>
      <c r="C3958" s="461" t="s">
        <v>1104</v>
      </c>
      <c r="D3958" s="461">
        <v>54.93</v>
      </c>
      <c r="E3958" s="461" t="s">
        <v>161</v>
      </c>
      <c r="F3958" s="461" t="s">
        <v>8328</v>
      </c>
    </row>
    <row r="3959" spans="1:6" ht="15" x14ac:dyDescent="0.25">
      <c r="A3959" s="461">
        <v>6304</v>
      </c>
      <c r="B3959" s="460" t="s">
        <v>11961</v>
      </c>
      <c r="C3959" s="461" t="s">
        <v>1104</v>
      </c>
      <c r="D3959" s="461">
        <v>54.93</v>
      </c>
      <c r="E3959" s="461" t="s">
        <v>161</v>
      </c>
      <c r="F3959" s="461" t="s">
        <v>8328</v>
      </c>
    </row>
    <row r="3960" spans="1:6" ht="15" x14ac:dyDescent="0.25">
      <c r="A3960" s="461">
        <v>21116</v>
      </c>
      <c r="B3960" s="460" t="s">
        <v>11962</v>
      </c>
      <c r="C3960" s="461" t="s">
        <v>1104</v>
      </c>
      <c r="D3960" s="461">
        <v>41.59</v>
      </c>
      <c r="E3960" s="461" t="s">
        <v>161</v>
      </c>
      <c r="F3960" s="461" t="s">
        <v>8328</v>
      </c>
    </row>
    <row r="3961" spans="1:6" ht="15" x14ac:dyDescent="0.25">
      <c r="A3961" s="461">
        <v>6320</v>
      </c>
      <c r="B3961" s="460" t="s">
        <v>11963</v>
      </c>
      <c r="C3961" s="461" t="s">
        <v>1104</v>
      </c>
      <c r="D3961" s="461">
        <v>28.29</v>
      </c>
      <c r="E3961" s="461" t="s">
        <v>161</v>
      </c>
      <c r="F3961" s="461" t="s">
        <v>8328</v>
      </c>
    </row>
    <row r="3962" spans="1:6" ht="15" x14ac:dyDescent="0.25">
      <c r="A3962" s="461">
        <v>6303</v>
      </c>
      <c r="B3962" s="460" t="s">
        <v>11964</v>
      </c>
      <c r="C3962" s="461" t="s">
        <v>1104</v>
      </c>
      <c r="D3962" s="461">
        <v>28.29</v>
      </c>
      <c r="E3962" s="461" t="s">
        <v>161</v>
      </c>
      <c r="F3962" s="461" t="s">
        <v>8328</v>
      </c>
    </row>
    <row r="3963" spans="1:6" ht="15" x14ac:dyDescent="0.25">
      <c r="A3963" s="461">
        <v>6308</v>
      </c>
      <c r="B3963" s="460" t="s">
        <v>11965</v>
      </c>
      <c r="C3963" s="461" t="s">
        <v>1104</v>
      </c>
      <c r="D3963" s="461">
        <v>151.99</v>
      </c>
      <c r="E3963" s="461" t="s">
        <v>161</v>
      </c>
      <c r="F3963" s="461" t="s">
        <v>8328</v>
      </c>
    </row>
    <row r="3964" spans="1:6" ht="15" x14ac:dyDescent="0.25">
      <c r="A3964" s="461">
        <v>6317</v>
      </c>
      <c r="B3964" s="460" t="s">
        <v>11966</v>
      </c>
      <c r="C3964" s="461" t="s">
        <v>1104</v>
      </c>
      <c r="D3964" s="461">
        <v>151.99</v>
      </c>
      <c r="E3964" s="461" t="s">
        <v>161</v>
      </c>
      <c r="F3964" s="461" t="s">
        <v>8328</v>
      </c>
    </row>
    <row r="3965" spans="1:6" ht="15" x14ac:dyDescent="0.25">
      <c r="A3965" s="461">
        <v>6307</v>
      </c>
      <c r="B3965" s="460" t="s">
        <v>11967</v>
      </c>
      <c r="C3965" s="461" t="s">
        <v>1104</v>
      </c>
      <c r="D3965" s="461">
        <v>151.99</v>
      </c>
      <c r="E3965" s="461" t="s">
        <v>161</v>
      </c>
      <c r="F3965" s="461" t="s">
        <v>8328</v>
      </c>
    </row>
    <row r="3966" spans="1:6" ht="15" x14ac:dyDescent="0.25">
      <c r="A3966" s="461">
        <v>6309</v>
      </c>
      <c r="B3966" s="460" t="s">
        <v>11968</v>
      </c>
      <c r="C3966" s="461" t="s">
        <v>1104</v>
      </c>
      <c r="D3966" s="461">
        <v>156.4</v>
      </c>
      <c r="E3966" s="461" t="s">
        <v>161</v>
      </c>
      <c r="F3966" s="461" t="s">
        <v>8328</v>
      </c>
    </row>
    <row r="3967" spans="1:6" ht="15" x14ac:dyDescent="0.25">
      <c r="A3967" s="461">
        <v>6318</v>
      </c>
      <c r="B3967" s="460" t="s">
        <v>11969</v>
      </c>
      <c r="C3967" s="461" t="s">
        <v>1104</v>
      </c>
      <c r="D3967" s="461">
        <v>81.98</v>
      </c>
      <c r="E3967" s="461" t="s">
        <v>161</v>
      </c>
      <c r="F3967" s="461" t="s">
        <v>8328</v>
      </c>
    </row>
    <row r="3968" spans="1:6" ht="15" x14ac:dyDescent="0.25">
      <c r="A3968" s="461">
        <v>6306</v>
      </c>
      <c r="B3968" s="460" t="s">
        <v>11970</v>
      </c>
      <c r="C3968" s="461" t="s">
        <v>1104</v>
      </c>
      <c r="D3968" s="461">
        <v>81.98</v>
      </c>
      <c r="E3968" s="461" t="s">
        <v>161</v>
      </c>
      <c r="F3968" s="461" t="s">
        <v>8328</v>
      </c>
    </row>
    <row r="3969" spans="1:6" ht="15" x14ac:dyDescent="0.25">
      <c r="A3969" s="461">
        <v>6305</v>
      </c>
      <c r="B3969" s="460" t="s">
        <v>11971</v>
      </c>
      <c r="C3969" s="461" t="s">
        <v>1104</v>
      </c>
      <c r="D3969" s="461">
        <v>81.98</v>
      </c>
      <c r="E3969" s="461" t="s">
        <v>161</v>
      </c>
      <c r="F3969" s="461" t="s">
        <v>8328</v>
      </c>
    </row>
    <row r="3970" spans="1:6" ht="15" x14ac:dyDescent="0.25">
      <c r="A3970" s="461">
        <v>6302</v>
      </c>
      <c r="B3970" s="460" t="s">
        <v>11972</v>
      </c>
      <c r="C3970" s="461" t="s">
        <v>1104</v>
      </c>
      <c r="D3970" s="511">
        <v>17.39</v>
      </c>
      <c r="E3970" s="461" t="s">
        <v>161</v>
      </c>
      <c r="F3970" s="461" t="s">
        <v>8328</v>
      </c>
    </row>
    <row r="3971" spans="1:6" ht="15" x14ac:dyDescent="0.25">
      <c r="A3971" s="461">
        <v>6312</v>
      </c>
      <c r="B3971" s="460" t="s">
        <v>11973</v>
      </c>
      <c r="C3971" s="461" t="s">
        <v>1104</v>
      </c>
      <c r="D3971" s="461">
        <v>218.62</v>
      </c>
      <c r="E3971" s="461" t="s">
        <v>161</v>
      </c>
      <c r="F3971" s="461" t="s">
        <v>8328</v>
      </c>
    </row>
    <row r="3972" spans="1:6" ht="15" x14ac:dyDescent="0.25">
      <c r="A3972" s="461">
        <v>6311</v>
      </c>
      <c r="B3972" s="460" t="s">
        <v>11974</v>
      </c>
      <c r="C3972" s="461" t="s">
        <v>1104</v>
      </c>
      <c r="D3972" s="461">
        <v>218.62</v>
      </c>
      <c r="E3972" s="461" t="s">
        <v>161</v>
      </c>
      <c r="F3972" s="461" t="s">
        <v>8328</v>
      </c>
    </row>
    <row r="3973" spans="1:6" ht="15" x14ac:dyDescent="0.25">
      <c r="A3973" s="461">
        <v>6310</v>
      </c>
      <c r="B3973" s="460" t="s">
        <v>11975</v>
      </c>
      <c r="C3973" s="461" t="s">
        <v>1104</v>
      </c>
      <c r="D3973" s="461">
        <v>218.62</v>
      </c>
      <c r="E3973" s="461" t="s">
        <v>161</v>
      </c>
      <c r="F3973" s="461" t="s">
        <v>8328</v>
      </c>
    </row>
    <row r="3974" spans="1:6" ht="15" x14ac:dyDescent="0.25">
      <c r="A3974" s="461">
        <v>6314</v>
      </c>
      <c r="B3974" s="460" t="s">
        <v>11976</v>
      </c>
      <c r="C3974" s="461" t="s">
        <v>1104</v>
      </c>
      <c r="D3974" s="461">
        <v>218.62</v>
      </c>
      <c r="E3974" s="461" t="s">
        <v>161</v>
      </c>
      <c r="F3974" s="461" t="s">
        <v>8328</v>
      </c>
    </row>
    <row r="3975" spans="1:6" ht="15" x14ac:dyDescent="0.25">
      <c r="A3975" s="461">
        <v>6313</v>
      </c>
      <c r="B3975" s="460" t="s">
        <v>11977</v>
      </c>
      <c r="C3975" s="461" t="s">
        <v>1104</v>
      </c>
      <c r="D3975" s="461">
        <v>218.62</v>
      </c>
      <c r="E3975" s="461" t="s">
        <v>161</v>
      </c>
      <c r="F3975" s="461" t="s">
        <v>8328</v>
      </c>
    </row>
    <row r="3976" spans="1:6" ht="15" x14ac:dyDescent="0.25">
      <c r="A3976" s="461">
        <v>6315</v>
      </c>
      <c r="B3976" s="460" t="s">
        <v>11978</v>
      </c>
      <c r="C3976" s="461" t="s">
        <v>1104</v>
      </c>
      <c r="D3976" s="461">
        <v>413.94</v>
      </c>
      <c r="E3976" s="461" t="s">
        <v>161</v>
      </c>
      <c r="F3976" s="461" t="s">
        <v>8328</v>
      </c>
    </row>
    <row r="3977" spans="1:6" ht="15" x14ac:dyDescent="0.25">
      <c r="A3977" s="461">
        <v>6316</v>
      </c>
      <c r="B3977" s="460" t="s">
        <v>11979</v>
      </c>
      <c r="C3977" s="461" t="s">
        <v>1104</v>
      </c>
      <c r="D3977" s="461">
        <v>413.94</v>
      </c>
      <c r="E3977" s="461" t="s">
        <v>161</v>
      </c>
      <c r="F3977" s="461" t="s">
        <v>8328</v>
      </c>
    </row>
    <row r="3978" spans="1:6" ht="15" x14ac:dyDescent="0.25">
      <c r="A3978" s="461">
        <v>39324</v>
      </c>
      <c r="B3978" s="460" t="s">
        <v>11980</v>
      </c>
      <c r="C3978" s="461" t="s">
        <v>1104</v>
      </c>
      <c r="D3978" s="461">
        <v>4.2300000000000004</v>
      </c>
      <c r="E3978" s="461" t="s">
        <v>161</v>
      </c>
      <c r="F3978" s="461" t="s">
        <v>8326</v>
      </c>
    </row>
    <row r="3979" spans="1:6" ht="15" x14ac:dyDescent="0.25">
      <c r="A3979" s="461">
        <v>39325</v>
      </c>
      <c r="B3979" s="460" t="s">
        <v>11981</v>
      </c>
      <c r="C3979" s="461" t="s">
        <v>1104</v>
      </c>
      <c r="D3979" s="461">
        <v>6.38</v>
      </c>
      <c r="E3979" s="461" t="s">
        <v>161</v>
      </c>
      <c r="F3979" s="461" t="s">
        <v>8326</v>
      </c>
    </row>
    <row r="3980" spans="1:6" ht="15" x14ac:dyDescent="0.25">
      <c r="A3980" s="461">
        <v>39326</v>
      </c>
      <c r="B3980" s="460" t="s">
        <v>11982</v>
      </c>
      <c r="C3980" s="461" t="s">
        <v>1104</v>
      </c>
      <c r="D3980" s="461">
        <v>22.9</v>
      </c>
      <c r="E3980" s="461" t="s">
        <v>161</v>
      </c>
      <c r="F3980" s="461" t="s">
        <v>8326</v>
      </c>
    </row>
    <row r="3981" spans="1:6" ht="15" x14ac:dyDescent="0.25">
      <c r="A3981" s="461">
        <v>39327</v>
      </c>
      <c r="B3981" s="460" t="s">
        <v>11983</v>
      </c>
      <c r="C3981" s="461" t="s">
        <v>1104</v>
      </c>
      <c r="D3981" s="461">
        <v>34.549999999999997</v>
      </c>
      <c r="E3981" s="461" t="s">
        <v>161</v>
      </c>
      <c r="F3981" s="461" t="s">
        <v>8326</v>
      </c>
    </row>
    <row r="3982" spans="1:6" ht="15" x14ac:dyDescent="0.25">
      <c r="A3982" s="461">
        <v>11378</v>
      </c>
      <c r="B3982" s="460" t="s">
        <v>11984</v>
      </c>
      <c r="C3982" s="461" t="s">
        <v>1104</v>
      </c>
      <c r="D3982" s="461">
        <v>74.5</v>
      </c>
      <c r="E3982" s="461" t="s">
        <v>161</v>
      </c>
      <c r="F3982" s="461" t="s">
        <v>8328</v>
      </c>
    </row>
    <row r="3983" spans="1:6" ht="15" x14ac:dyDescent="0.25">
      <c r="A3983" s="461">
        <v>11379</v>
      </c>
      <c r="B3983" s="460" t="s">
        <v>11985</v>
      </c>
      <c r="C3983" s="461" t="s">
        <v>1104</v>
      </c>
      <c r="D3983" s="461">
        <v>62.95</v>
      </c>
      <c r="E3983" s="461" t="s">
        <v>161</v>
      </c>
      <c r="F3983" s="461" t="s">
        <v>8328</v>
      </c>
    </row>
    <row r="3984" spans="1:6" ht="15" x14ac:dyDescent="0.25">
      <c r="A3984" s="461">
        <v>11493</v>
      </c>
      <c r="B3984" s="460" t="s">
        <v>11986</v>
      </c>
      <c r="C3984" s="461" t="s">
        <v>1104</v>
      </c>
      <c r="D3984" s="461">
        <v>36.31</v>
      </c>
      <c r="E3984" s="461" t="s">
        <v>161</v>
      </c>
      <c r="F3984" s="461" t="s">
        <v>8328</v>
      </c>
    </row>
    <row r="3985" spans="1:6" ht="30" x14ac:dyDescent="0.25">
      <c r="A3985" s="461">
        <v>7106</v>
      </c>
      <c r="B3985" s="460" t="s">
        <v>11987</v>
      </c>
      <c r="C3985" s="461" t="s">
        <v>1104</v>
      </c>
      <c r="D3985" s="461">
        <v>139.88</v>
      </c>
      <c r="E3985" s="461" t="s">
        <v>161</v>
      </c>
      <c r="F3985" s="461" t="s">
        <v>8326</v>
      </c>
    </row>
    <row r="3986" spans="1:6" ht="30" x14ac:dyDescent="0.25">
      <c r="A3986" s="461">
        <v>7104</v>
      </c>
      <c r="B3986" s="460" t="s">
        <v>11988</v>
      </c>
      <c r="C3986" s="461" t="s">
        <v>1104</v>
      </c>
      <c r="D3986" s="461">
        <v>3.77</v>
      </c>
      <c r="E3986" s="461" t="s">
        <v>161</v>
      </c>
      <c r="F3986" s="461" t="s">
        <v>8326</v>
      </c>
    </row>
    <row r="3987" spans="1:6" ht="30" x14ac:dyDescent="0.25">
      <c r="A3987" s="461">
        <v>7136</v>
      </c>
      <c r="B3987" s="460" t="s">
        <v>11989</v>
      </c>
      <c r="C3987" s="461" t="s">
        <v>1104</v>
      </c>
      <c r="D3987" s="461">
        <v>6.56</v>
      </c>
      <c r="E3987" s="461" t="s">
        <v>161</v>
      </c>
      <c r="F3987" s="461" t="s">
        <v>8326</v>
      </c>
    </row>
    <row r="3988" spans="1:6" ht="30" x14ac:dyDescent="0.25">
      <c r="A3988" s="461">
        <v>7128</v>
      </c>
      <c r="B3988" s="460" t="s">
        <v>11990</v>
      </c>
      <c r="C3988" s="461" t="s">
        <v>1104</v>
      </c>
      <c r="D3988" s="461">
        <v>8.52</v>
      </c>
      <c r="E3988" s="461" t="s">
        <v>161</v>
      </c>
      <c r="F3988" s="461" t="s">
        <v>8326</v>
      </c>
    </row>
    <row r="3989" spans="1:6" ht="30" x14ac:dyDescent="0.25">
      <c r="A3989" s="461">
        <v>7108</v>
      </c>
      <c r="B3989" s="460" t="s">
        <v>11991</v>
      </c>
      <c r="C3989" s="461" t="s">
        <v>1104</v>
      </c>
      <c r="D3989" s="461">
        <v>8.5</v>
      </c>
      <c r="E3989" s="461" t="s">
        <v>161</v>
      </c>
      <c r="F3989" s="461" t="s">
        <v>8326</v>
      </c>
    </row>
    <row r="3990" spans="1:6" ht="30" x14ac:dyDescent="0.25">
      <c r="A3990" s="461">
        <v>7129</v>
      </c>
      <c r="B3990" s="460" t="s">
        <v>11992</v>
      </c>
      <c r="C3990" s="461" t="s">
        <v>1104</v>
      </c>
      <c r="D3990" s="461">
        <v>10</v>
      </c>
      <c r="E3990" s="461" t="s">
        <v>161</v>
      </c>
      <c r="F3990" s="461" t="s">
        <v>8326</v>
      </c>
    </row>
    <row r="3991" spans="1:6" ht="30" x14ac:dyDescent="0.25">
      <c r="A3991" s="461">
        <v>7130</v>
      </c>
      <c r="B3991" s="460" t="s">
        <v>11993</v>
      </c>
      <c r="C3991" s="461" t="s">
        <v>1104</v>
      </c>
      <c r="D3991" s="461">
        <v>14.53</v>
      </c>
      <c r="E3991" s="461" t="s">
        <v>161</v>
      </c>
      <c r="F3991" s="461" t="s">
        <v>8326</v>
      </c>
    </row>
    <row r="3992" spans="1:6" ht="30" x14ac:dyDescent="0.25">
      <c r="A3992" s="461">
        <v>7131</v>
      </c>
      <c r="B3992" s="460" t="s">
        <v>11994</v>
      </c>
      <c r="C3992" s="461" t="s">
        <v>1104</v>
      </c>
      <c r="D3992" s="461">
        <v>17.77</v>
      </c>
      <c r="E3992" s="461" t="s">
        <v>161</v>
      </c>
      <c r="F3992" s="461" t="s">
        <v>8326</v>
      </c>
    </row>
    <row r="3993" spans="1:6" ht="30" x14ac:dyDescent="0.25">
      <c r="A3993" s="461">
        <v>7132</v>
      </c>
      <c r="B3993" s="460" t="s">
        <v>11995</v>
      </c>
      <c r="C3993" s="461" t="s">
        <v>1104</v>
      </c>
      <c r="D3993" s="461">
        <v>41.84</v>
      </c>
      <c r="E3993" s="461" t="s">
        <v>161</v>
      </c>
      <c r="F3993" s="461" t="s">
        <v>8326</v>
      </c>
    </row>
    <row r="3994" spans="1:6" ht="30" x14ac:dyDescent="0.25">
      <c r="A3994" s="461">
        <v>7133</v>
      </c>
      <c r="B3994" s="460" t="s">
        <v>11996</v>
      </c>
      <c r="C3994" s="461" t="s">
        <v>1104</v>
      </c>
      <c r="D3994" s="461">
        <v>96.69</v>
      </c>
      <c r="E3994" s="461" t="s">
        <v>161</v>
      </c>
      <c r="F3994" s="461" t="s">
        <v>8326</v>
      </c>
    </row>
    <row r="3995" spans="1:6" ht="30" x14ac:dyDescent="0.25">
      <c r="A3995" s="461">
        <v>37420</v>
      </c>
      <c r="B3995" s="460" t="s">
        <v>11997</v>
      </c>
      <c r="C3995" s="461" t="s">
        <v>1104</v>
      </c>
      <c r="D3995" s="461">
        <v>40.04</v>
      </c>
      <c r="E3995" s="461" t="s">
        <v>161</v>
      </c>
      <c r="F3995" s="461" t="s">
        <v>8328</v>
      </c>
    </row>
    <row r="3996" spans="1:6" ht="30" x14ac:dyDescent="0.25">
      <c r="A3996" s="461">
        <v>37421</v>
      </c>
      <c r="B3996" s="460" t="s">
        <v>11998</v>
      </c>
      <c r="C3996" s="461" t="s">
        <v>1104</v>
      </c>
      <c r="D3996" s="461">
        <v>54.73</v>
      </c>
      <c r="E3996" s="461" t="s">
        <v>161</v>
      </c>
      <c r="F3996" s="461" t="s">
        <v>8328</v>
      </c>
    </row>
    <row r="3997" spans="1:6" ht="30" x14ac:dyDescent="0.25">
      <c r="A3997" s="461">
        <v>37422</v>
      </c>
      <c r="B3997" s="460" t="s">
        <v>11999</v>
      </c>
      <c r="C3997" s="461" t="s">
        <v>1104</v>
      </c>
      <c r="D3997" s="461">
        <v>51.23</v>
      </c>
      <c r="E3997" s="461" t="s">
        <v>161</v>
      </c>
      <c r="F3997" s="461" t="s">
        <v>8328</v>
      </c>
    </row>
    <row r="3998" spans="1:6" ht="15" x14ac:dyDescent="0.25">
      <c r="A3998" s="461">
        <v>37443</v>
      </c>
      <c r="B3998" s="460" t="s">
        <v>12000</v>
      </c>
      <c r="C3998" s="461" t="s">
        <v>1104</v>
      </c>
      <c r="D3998" s="461">
        <v>188.09</v>
      </c>
      <c r="E3998" s="461" t="s">
        <v>161</v>
      </c>
      <c r="F3998" s="461" t="s">
        <v>8328</v>
      </c>
    </row>
    <row r="3999" spans="1:6" ht="15" x14ac:dyDescent="0.25">
      <c r="A3999" s="461">
        <v>37444</v>
      </c>
      <c r="B3999" s="460" t="s">
        <v>12001</v>
      </c>
      <c r="C3999" s="461" t="s">
        <v>1104</v>
      </c>
      <c r="D3999" s="461">
        <v>191.28</v>
      </c>
      <c r="E3999" s="461" t="s">
        <v>161</v>
      </c>
      <c r="F3999" s="461" t="s">
        <v>8328</v>
      </c>
    </row>
    <row r="4000" spans="1:6" ht="15" x14ac:dyDescent="0.25">
      <c r="A4000" s="461">
        <v>37445</v>
      </c>
      <c r="B4000" s="460" t="s">
        <v>12002</v>
      </c>
      <c r="C4000" s="461" t="s">
        <v>1104</v>
      </c>
      <c r="D4000" s="461">
        <v>289.94</v>
      </c>
      <c r="E4000" s="461" t="s">
        <v>161</v>
      </c>
      <c r="F4000" s="461" t="s">
        <v>8328</v>
      </c>
    </row>
    <row r="4001" spans="1:6" ht="15" x14ac:dyDescent="0.25">
      <c r="A4001" s="461">
        <v>37446</v>
      </c>
      <c r="B4001" s="460" t="s">
        <v>12003</v>
      </c>
      <c r="C4001" s="461" t="s">
        <v>1104</v>
      </c>
      <c r="D4001" s="461">
        <v>316.08</v>
      </c>
      <c r="E4001" s="461" t="s">
        <v>161</v>
      </c>
      <c r="F4001" s="461" t="s">
        <v>8328</v>
      </c>
    </row>
    <row r="4002" spans="1:6" ht="15" x14ac:dyDescent="0.25">
      <c r="A4002" s="461">
        <v>37447</v>
      </c>
      <c r="B4002" s="460" t="s">
        <v>12004</v>
      </c>
      <c r="C4002" s="461" t="s">
        <v>1104</v>
      </c>
      <c r="D4002" s="461">
        <v>321.02</v>
      </c>
      <c r="E4002" s="461" t="s">
        <v>161</v>
      </c>
      <c r="F4002" s="461" t="s">
        <v>8328</v>
      </c>
    </row>
    <row r="4003" spans="1:6" ht="15" x14ac:dyDescent="0.25">
      <c r="A4003" s="461">
        <v>37448</v>
      </c>
      <c r="B4003" s="460" t="s">
        <v>12005</v>
      </c>
      <c r="C4003" s="461" t="s">
        <v>1104</v>
      </c>
      <c r="D4003" s="461">
        <v>440.33</v>
      </c>
      <c r="E4003" s="461" t="s">
        <v>161</v>
      </c>
      <c r="F4003" s="461" t="s">
        <v>8328</v>
      </c>
    </row>
    <row r="4004" spans="1:6" ht="15" x14ac:dyDescent="0.25">
      <c r="A4004" s="461">
        <v>37440</v>
      </c>
      <c r="B4004" s="460" t="s">
        <v>12006</v>
      </c>
      <c r="C4004" s="461" t="s">
        <v>1104</v>
      </c>
      <c r="D4004" s="461">
        <v>149.29</v>
      </c>
      <c r="E4004" s="461" t="s">
        <v>161</v>
      </c>
      <c r="F4004" s="461" t="s">
        <v>8328</v>
      </c>
    </row>
    <row r="4005" spans="1:6" ht="15" x14ac:dyDescent="0.25">
      <c r="A4005" s="461">
        <v>37441</v>
      </c>
      <c r="B4005" s="460" t="s">
        <v>12007</v>
      </c>
      <c r="C4005" s="461" t="s">
        <v>1104</v>
      </c>
      <c r="D4005" s="461">
        <v>149.29</v>
      </c>
      <c r="E4005" s="461" t="s">
        <v>161</v>
      </c>
      <c r="F4005" s="461" t="s">
        <v>8328</v>
      </c>
    </row>
    <row r="4006" spans="1:6" ht="15" x14ac:dyDescent="0.25">
      <c r="A4006" s="461">
        <v>37442</v>
      </c>
      <c r="B4006" s="460" t="s">
        <v>12008</v>
      </c>
      <c r="C4006" s="461" t="s">
        <v>1104</v>
      </c>
      <c r="D4006" s="461">
        <v>179.82</v>
      </c>
      <c r="E4006" s="461" t="s">
        <v>161</v>
      </c>
      <c r="F4006" s="461" t="s">
        <v>8328</v>
      </c>
    </row>
    <row r="4007" spans="1:6" ht="15" x14ac:dyDescent="0.25">
      <c r="A4007" s="461">
        <v>38017</v>
      </c>
      <c r="B4007" s="460" t="s">
        <v>12009</v>
      </c>
      <c r="C4007" s="461" t="s">
        <v>1104</v>
      </c>
      <c r="D4007" s="461">
        <v>8.66</v>
      </c>
      <c r="E4007" s="461" t="s">
        <v>161</v>
      </c>
      <c r="F4007" s="461" t="s">
        <v>8326</v>
      </c>
    </row>
    <row r="4008" spans="1:6" ht="15" x14ac:dyDescent="0.25">
      <c r="A4008" s="461">
        <v>38018</v>
      </c>
      <c r="B4008" s="460" t="s">
        <v>12010</v>
      </c>
      <c r="C4008" s="461" t="s">
        <v>1104</v>
      </c>
      <c r="D4008" s="461">
        <v>9.73</v>
      </c>
      <c r="E4008" s="461" t="s">
        <v>161</v>
      </c>
      <c r="F4008" s="461" t="s">
        <v>8326</v>
      </c>
    </row>
    <row r="4009" spans="1:6" ht="30" x14ac:dyDescent="0.25">
      <c r="A4009" s="461">
        <v>39895</v>
      </c>
      <c r="B4009" s="460" t="s">
        <v>12011</v>
      </c>
      <c r="C4009" s="461" t="s">
        <v>1104</v>
      </c>
      <c r="D4009" s="461">
        <v>57.09</v>
      </c>
      <c r="E4009" s="461" t="s">
        <v>161</v>
      </c>
      <c r="F4009" s="461" t="s">
        <v>8326</v>
      </c>
    </row>
    <row r="4010" spans="1:6" ht="30" x14ac:dyDescent="0.25">
      <c r="A4010" s="461">
        <v>39896</v>
      </c>
      <c r="B4010" s="460" t="s">
        <v>12012</v>
      </c>
      <c r="C4010" s="461" t="s">
        <v>1104</v>
      </c>
      <c r="D4010" s="461">
        <v>83.68</v>
      </c>
      <c r="E4010" s="461" t="s">
        <v>161</v>
      </c>
      <c r="F4010" s="461" t="s">
        <v>8326</v>
      </c>
    </row>
    <row r="4011" spans="1:6" ht="30" x14ac:dyDescent="0.25">
      <c r="A4011" s="461">
        <v>38873</v>
      </c>
      <c r="B4011" s="460" t="s">
        <v>12013</v>
      </c>
      <c r="C4011" s="461" t="s">
        <v>1104</v>
      </c>
      <c r="D4011" s="461">
        <v>14.64</v>
      </c>
      <c r="E4011" s="461" t="s">
        <v>161</v>
      </c>
      <c r="F4011" s="461" t="s">
        <v>8328</v>
      </c>
    </row>
    <row r="4012" spans="1:6" ht="30" x14ac:dyDescent="0.25">
      <c r="A4012" s="461">
        <v>38874</v>
      </c>
      <c r="B4012" s="460" t="s">
        <v>12014</v>
      </c>
      <c r="C4012" s="461" t="s">
        <v>1104</v>
      </c>
      <c r="D4012" s="461">
        <v>18.53</v>
      </c>
      <c r="E4012" s="461" t="s">
        <v>161</v>
      </c>
      <c r="F4012" s="461" t="s">
        <v>8328</v>
      </c>
    </row>
    <row r="4013" spans="1:6" ht="30" x14ac:dyDescent="0.25">
      <c r="A4013" s="461">
        <v>38875</v>
      </c>
      <c r="B4013" s="460" t="s">
        <v>12015</v>
      </c>
      <c r="C4013" s="461" t="s">
        <v>1104</v>
      </c>
      <c r="D4013" s="461">
        <v>29.37</v>
      </c>
      <c r="E4013" s="461" t="s">
        <v>161</v>
      </c>
      <c r="F4013" s="461" t="s">
        <v>8328</v>
      </c>
    </row>
    <row r="4014" spans="1:6" ht="30" x14ac:dyDescent="0.25">
      <c r="A4014" s="461">
        <v>38876</v>
      </c>
      <c r="B4014" s="460" t="s">
        <v>12016</v>
      </c>
      <c r="C4014" s="461" t="s">
        <v>1104</v>
      </c>
      <c r="D4014" s="461">
        <v>39.47</v>
      </c>
      <c r="E4014" s="461" t="s">
        <v>161</v>
      </c>
      <c r="F4014" s="461" t="s">
        <v>8328</v>
      </c>
    </row>
    <row r="4015" spans="1:6" ht="30" x14ac:dyDescent="0.25">
      <c r="A4015" s="461">
        <v>39000</v>
      </c>
      <c r="B4015" s="460" t="s">
        <v>12017</v>
      </c>
      <c r="C4015" s="461" t="s">
        <v>1104</v>
      </c>
      <c r="D4015" s="461">
        <v>35.35</v>
      </c>
      <c r="E4015" s="461" t="s">
        <v>161</v>
      </c>
      <c r="F4015" s="461" t="s">
        <v>8326</v>
      </c>
    </row>
    <row r="4016" spans="1:6" ht="30" x14ac:dyDescent="0.25">
      <c r="A4016" s="461">
        <v>38674</v>
      </c>
      <c r="B4016" s="460" t="s">
        <v>12018</v>
      </c>
      <c r="C4016" s="461" t="s">
        <v>1104</v>
      </c>
      <c r="D4016" s="461">
        <v>29.13</v>
      </c>
      <c r="E4016" s="461" t="s">
        <v>161</v>
      </c>
      <c r="F4016" s="461" t="s">
        <v>8326</v>
      </c>
    </row>
    <row r="4017" spans="1:6" ht="15" x14ac:dyDescent="0.25">
      <c r="A4017" s="461">
        <v>38019</v>
      </c>
      <c r="B4017" s="460" t="s">
        <v>12019</v>
      </c>
      <c r="C4017" s="461" t="s">
        <v>1104</v>
      </c>
      <c r="D4017" s="461">
        <v>6.16</v>
      </c>
      <c r="E4017" s="461" t="s">
        <v>161</v>
      </c>
      <c r="F4017" s="461" t="s">
        <v>8326</v>
      </c>
    </row>
    <row r="4018" spans="1:6" ht="15" x14ac:dyDescent="0.25">
      <c r="A4018" s="461">
        <v>38020</v>
      </c>
      <c r="B4018" s="460" t="s">
        <v>12020</v>
      </c>
      <c r="C4018" s="461" t="s">
        <v>1104</v>
      </c>
      <c r="D4018" s="461">
        <v>7.59</v>
      </c>
      <c r="E4018" s="461" t="s">
        <v>161</v>
      </c>
      <c r="F4018" s="461" t="s">
        <v>8326</v>
      </c>
    </row>
    <row r="4019" spans="1:6" ht="15" x14ac:dyDescent="0.25">
      <c r="A4019" s="461">
        <v>38454</v>
      </c>
      <c r="B4019" s="460" t="s">
        <v>12021</v>
      </c>
      <c r="C4019" s="461" t="s">
        <v>1104</v>
      </c>
      <c r="D4019" s="461">
        <v>13.25</v>
      </c>
      <c r="E4019" s="461" t="s">
        <v>161</v>
      </c>
      <c r="F4019" s="461" t="s">
        <v>8326</v>
      </c>
    </row>
    <row r="4020" spans="1:6" ht="15" x14ac:dyDescent="0.25">
      <c r="A4020" s="461">
        <v>38455</v>
      </c>
      <c r="B4020" s="460" t="s">
        <v>12022</v>
      </c>
      <c r="C4020" s="461" t="s">
        <v>1104</v>
      </c>
      <c r="D4020" s="461">
        <v>17.739999999999998</v>
      </c>
      <c r="E4020" s="461" t="s">
        <v>161</v>
      </c>
      <c r="F4020" s="461" t="s">
        <v>8326</v>
      </c>
    </row>
    <row r="4021" spans="1:6" ht="30" x14ac:dyDescent="0.25">
      <c r="A4021" s="461">
        <v>38462</v>
      </c>
      <c r="B4021" s="460" t="s">
        <v>12023</v>
      </c>
      <c r="C4021" s="461" t="s">
        <v>1104</v>
      </c>
      <c r="D4021" s="461">
        <v>286.12</v>
      </c>
      <c r="E4021" s="461" t="s">
        <v>161</v>
      </c>
      <c r="F4021" s="461" t="s">
        <v>8326</v>
      </c>
    </row>
    <row r="4022" spans="1:6" ht="30" x14ac:dyDescent="0.25">
      <c r="A4022" s="461">
        <v>36362</v>
      </c>
      <c r="B4022" s="460" t="s">
        <v>12024</v>
      </c>
      <c r="C4022" s="461" t="s">
        <v>1104</v>
      </c>
      <c r="D4022" s="461">
        <v>3.95</v>
      </c>
      <c r="E4022" s="461" t="s">
        <v>161</v>
      </c>
      <c r="F4022" s="461" t="s">
        <v>8326</v>
      </c>
    </row>
    <row r="4023" spans="1:6" ht="30" x14ac:dyDescent="0.25">
      <c r="A4023" s="461">
        <v>36298</v>
      </c>
      <c r="B4023" s="460" t="s">
        <v>12025</v>
      </c>
      <c r="C4023" s="461" t="s">
        <v>1104</v>
      </c>
      <c r="D4023" s="461">
        <v>3.4</v>
      </c>
      <c r="E4023" s="461" t="s">
        <v>161</v>
      </c>
      <c r="F4023" s="461" t="s">
        <v>8326</v>
      </c>
    </row>
    <row r="4024" spans="1:6" ht="30" x14ac:dyDescent="0.25">
      <c r="A4024" s="461">
        <v>38456</v>
      </c>
      <c r="B4024" s="460" t="s">
        <v>12026</v>
      </c>
      <c r="C4024" s="461" t="s">
        <v>1104</v>
      </c>
      <c r="D4024" s="461">
        <v>8.4600000000000009</v>
      </c>
      <c r="E4024" s="461" t="s">
        <v>161</v>
      </c>
      <c r="F4024" s="461" t="s">
        <v>8326</v>
      </c>
    </row>
    <row r="4025" spans="1:6" ht="30" x14ac:dyDescent="0.25">
      <c r="A4025" s="461">
        <v>38457</v>
      </c>
      <c r="B4025" s="460" t="s">
        <v>12027</v>
      </c>
      <c r="C4025" s="461" t="s">
        <v>1104</v>
      </c>
      <c r="D4025" s="461">
        <v>15.42</v>
      </c>
      <c r="E4025" s="461" t="s">
        <v>161</v>
      </c>
      <c r="F4025" s="461" t="s">
        <v>8326</v>
      </c>
    </row>
    <row r="4026" spans="1:6" ht="30" x14ac:dyDescent="0.25">
      <c r="A4026" s="461">
        <v>38458</v>
      </c>
      <c r="B4026" s="460" t="s">
        <v>12028</v>
      </c>
      <c r="C4026" s="461" t="s">
        <v>1104</v>
      </c>
      <c r="D4026" s="461">
        <v>29.7</v>
      </c>
      <c r="E4026" s="461" t="s">
        <v>161</v>
      </c>
      <c r="F4026" s="461" t="s">
        <v>8326</v>
      </c>
    </row>
    <row r="4027" spans="1:6" ht="30" x14ac:dyDescent="0.25">
      <c r="A4027" s="461">
        <v>38459</v>
      </c>
      <c r="B4027" s="460" t="s">
        <v>12029</v>
      </c>
      <c r="C4027" s="461" t="s">
        <v>1104</v>
      </c>
      <c r="D4027" s="461">
        <v>46.69</v>
      </c>
      <c r="E4027" s="461" t="s">
        <v>161</v>
      </c>
      <c r="F4027" s="461" t="s">
        <v>8326</v>
      </c>
    </row>
    <row r="4028" spans="1:6" ht="30" x14ac:dyDescent="0.25">
      <c r="A4028" s="461">
        <v>38460</v>
      </c>
      <c r="B4028" s="460" t="s">
        <v>12030</v>
      </c>
      <c r="C4028" s="461" t="s">
        <v>1104</v>
      </c>
      <c r="D4028" s="461">
        <v>100.16</v>
      </c>
      <c r="E4028" s="461" t="s">
        <v>161</v>
      </c>
      <c r="F4028" s="461" t="s">
        <v>8326</v>
      </c>
    </row>
    <row r="4029" spans="1:6" ht="30" x14ac:dyDescent="0.25">
      <c r="A4029" s="461">
        <v>38461</v>
      </c>
      <c r="B4029" s="460" t="s">
        <v>12031</v>
      </c>
      <c r="C4029" s="461" t="s">
        <v>1104</v>
      </c>
      <c r="D4029" s="461">
        <v>134.4</v>
      </c>
      <c r="E4029" s="461" t="s">
        <v>161</v>
      </c>
      <c r="F4029" s="461" t="s">
        <v>8326</v>
      </c>
    </row>
    <row r="4030" spans="1:6" ht="15" x14ac:dyDescent="0.25">
      <c r="A4030" s="461">
        <v>7094</v>
      </c>
      <c r="B4030" s="460" t="s">
        <v>13384</v>
      </c>
      <c r="C4030" s="461" t="s">
        <v>1104</v>
      </c>
      <c r="D4030" s="461">
        <v>12.31</v>
      </c>
      <c r="E4030" s="461" t="s">
        <v>161</v>
      </c>
      <c r="F4030" s="461" t="s">
        <v>8326</v>
      </c>
    </row>
    <row r="4031" spans="1:6" ht="15" x14ac:dyDescent="0.25">
      <c r="A4031" s="461">
        <v>7116</v>
      </c>
      <c r="B4031" s="460" t="s">
        <v>12032</v>
      </c>
      <c r="C4031" s="461" t="s">
        <v>1104</v>
      </c>
      <c r="D4031" s="461">
        <v>3.08</v>
      </c>
      <c r="E4031" s="461" t="s">
        <v>161</v>
      </c>
      <c r="F4031" s="461" t="s">
        <v>8326</v>
      </c>
    </row>
    <row r="4032" spans="1:6" ht="15" x14ac:dyDescent="0.25">
      <c r="A4032" s="461">
        <v>7118</v>
      </c>
      <c r="B4032" s="460" t="s">
        <v>12033</v>
      </c>
      <c r="C4032" s="461" t="s">
        <v>1104</v>
      </c>
      <c r="D4032" s="461">
        <v>25.31</v>
      </c>
      <c r="E4032" s="461" t="s">
        <v>161</v>
      </c>
      <c r="F4032" s="461" t="s">
        <v>8326</v>
      </c>
    </row>
    <row r="4033" spans="1:6" ht="15" x14ac:dyDescent="0.25">
      <c r="A4033" s="461">
        <v>7098</v>
      </c>
      <c r="B4033" s="460" t="s">
        <v>13385</v>
      </c>
      <c r="C4033" s="461" t="s">
        <v>1104</v>
      </c>
      <c r="D4033" s="461">
        <v>3.76</v>
      </c>
      <c r="E4033" s="461" t="s">
        <v>161</v>
      </c>
      <c r="F4033" s="461" t="s">
        <v>8326</v>
      </c>
    </row>
    <row r="4034" spans="1:6" ht="15" x14ac:dyDescent="0.25">
      <c r="A4034" s="461">
        <v>7110</v>
      </c>
      <c r="B4034" s="460" t="s">
        <v>13386</v>
      </c>
      <c r="C4034" s="461" t="s">
        <v>1104</v>
      </c>
      <c r="D4034" s="461">
        <v>48.13</v>
      </c>
      <c r="E4034" s="461" t="s">
        <v>161</v>
      </c>
      <c r="F4034" s="461" t="s">
        <v>8326</v>
      </c>
    </row>
    <row r="4035" spans="1:6" ht="15" x14ac:dyDescent="0.25">
      <c r="A4035" s="461">
        <v>7123</v>
      </c>
      <c r="B4035" s="460" t="s">
        <v>12034</v>
      </c>
      <c r="C4035" s="461" t="s">
        <v>1104</v>
      </c>
      <c r="D4035" s="461">
        <v>4.55</v>
      </c>
      <c r="E4035" s="461" t="s">
        <v>161</v>
      </c>
      <c r="F4035" s="461" t="s">
        <v>8326</v>
      </c>
    </row>
    <row r="4036" spans="1:6" ht="30" x14ac:dyDescent="0.25">
      <c r="A4036" s="461">
        <v>7121</v>
      </c>
      <c r="B4036" s="460" t="s">
        <v>12035</v>
      </c>
      <c r="C4036" s="461" t="s">
        <v>1104</v>
      </c>
      <c r="D4036" s="461">
        <v>9</v>
      </c>
      <c r="E4036" s="461" t="s">
        <v>161</v>
      </c>
      <c r="F4036" s="461" t="s">
        <v>8326</v>
      </c>
    </row>
    <row r="4037" spans="1:6" ht="30" x14ac:dyDescent="0.25">
      <c r="A4037" s="461">
        <v>7137</v>
      </c>
      <c r="B4037" s="460" t="s">
        <v>12036</v>
      </c>
      <c r="C4037" s="461" t="s">
        <v>1104</v>
      </c>
      <c r="D4037" s="461">
        <v>9.83</v>
      </c>
      <c r="E4037" s="461" t="s">
        <v>161</v>
      </c>
      <c r="F4037" s="461" t="s">
        <v>8326</v>
      </c>
    </row>
    <row r="4038" spans="1:6" ht="30" x14ac:dyDescent="0.25">
      <c r="A4038" s="461">
        <v>7122</v>
      </c>
      <c r="B4038" s="460" t="s">
        <v>12037</v>
      </c>
      <c r="C4038" s="461" t="s">
        <v>1104</v>
      </c>
      <c r="D4038" s="461">
        <v>10.82</v>
      </c>
      <c r="E4038" s="461" t="s">
        <v>161</v>
      </c>
      <c r="F4038" s="461" t="s">
        <v>8326</v>
      </c>
    </row>
    <row r="4039" spans="1:6" ht="30" x14ac:dyDescent="0.25">
      <c r="A4039" s="461">
        <v>7114</v>
      </c>
      <c r="B4039" s="460" t="s">
        <v>12038</v>
      </c>
      <c r="C4039" s="461" t="s">
        <v>1104</v>
      </c>
      <c r="D4039" s="461">
        <v>12.58</v>
      </c>
      <c r="E4039" s="461" t="s">
        <v>161</v>
      </c>
      <c r="F4039" s="461" t="s">
        <v>8326</v>
      </c>
    </row>
    <row r="4040" spans="1:6" ht="30" x14ac:dyDescent="0.25">
      <c r="A4040" s="461">
        <v>7109</v>
      </c>
      <c r="B4040" s="460" t="s">
        <v>12039</v>
      </c>
      <c r="C4040" s="461" t="s">
        <v>1104</v>
      </c>
      <c r="D4040" s="461">
        <v>2.4900000000000002</v>
      </c>
      <c r="E4040" s="461" t="s">
        <v>161</v>
      </c>
      <c r="F4040" s="461" t="s">
        <v>8326</v>
      </c>
    </row>
    <row r="4041" spans="1:6" ht="30" x14ac:dyDescent="0.25">
      <c r="A4041" s="461">
        <v>7135</v>
      </c>
      <c r="B4041" s="460" t="s">
        <v>12040</v>
      </c>
      <c r="C4041" s="461" t="s">
        <v>1104</v>
      </c>
      <c r="D4041" s="461">
        <v>5.1100000000000003</v>
      </c>
      <c r="E4041" s="461" t="s">
        <v>161</v>
      </c>
      <c r="F4041" s="461" t="s">
        <v>8326</v>
      </c>
    </row>
    <row r="4042" spans="1:6" ht="30" x14ac:dyDescent="0.25">
      <c r="A4042" s="461">
        <v>37947</v>
      </c>
      <c r="B4042" s="460" t="s">
        <v>12041</v>
      </c>
      <c r="C4042" s="461" t="s">
        <v>1104</v>
      </c>
      <c r="D4042" s="461">
        <v>4.1500000000000004</v>
      </c>
      <c r="E4042" s="461" t="s">
        <v>161</v>
      </c>
      <c r="F4042" s="461" t="s">
        <v>8326</v>
      </c>
    </row>
    <row r="4043" spans="1:6" ht="30" x14ac:dyDescent="0.25">
      <c r="A4043" s="461">
        <v>7103</v>
      </c>
      <c r="B4043" s="460" t="s">
        <v>12042</v>
      </c>
      <c r="C4043" s="461" t="s">
        <v>1104</v>
      </c>
      <c r="D4043" s="461">
        <v>13.53</v>
      </c>
      <c r="E4043" s="461" t="s">
        <v>161</v>
      </c>
      <c r="F4043" s="461" t="s">
        <v>8326</v>
      </c>
    </row>
    <row r="4044" spans="1:6" ht="15" x14ac:dyDescent="0.25">
      <c r="A4044" s="461">
        <v>40419</v>
      </c>
      <c r="B4044" s="460" t="s">
        <v>12043</v>
      </c>
      <c r="C4044" s="461" t="s">
        <v>1104</v>
      </c>
      <c r="D4044" s="461">
        <v>31.15</v>
      </c>
      <c r="E4044" s="461" t="s">
        <v>161</v>
      </c>
      <c r="F4044" s="461" t="s">
        <v>8328</v>
      </c>
    </row>
    <row r="4045" spans="1:6" ht="15" x14ac:dyDescent="0.25">
      <c r="A4045" s="461">
        <v>40420</v>
      </c>
      <c r="B4045" s="460" t="s">
        <v>12044</v>
      </c>
      <c r="C4045" s="461" t="s">
        <v>1104</v>
      </c>
      <c r="D4045" s="461">
        <v>45.45</v>
      </c>
      <c r="E4045" s="461" t="s">
        <v>161</v>
      </c>
      <c r="F4045" s="461" t="s">
        <v>8328</v>
      </c>
    </row>
    <row r="4046" spans="1:6" ht="15" x14ac:dyDescent="0.25">
      <c r="A4046" s="461">
        <v>40421</v>
      </c>
      <c r="B4046" s="460" t="s">
        <v>12045</v>
      </c>
      <c r="C4046" s="461" t="s">
        <v>1104</v>
      </c>
      <c r="D4046" s="461">
        <v>48.39</v>
      </c>
      <c r="E4046" s="461" t="s">
        <v>161</v>
      </c>
      <c r="F4046" s="461" t="s">
        <v>8328</v>
      </c>
    </row>
    <row r="4047" spans="1:6" ht="30" x14ac:dyDescent="0.25">
      <c r="A4047" s="461">
        <v>38905</v>
      </c>
      <c r="B4047" s="460" t="s">
        <v>12046</v>
      </c>
      <c r="C4047" s="461" t="s">
        <v>1104</v>
      </c>
      <c r="D4047" s="461">
        <v>18.940000000000001</v>
      </c>
      <c r="E4047" s="461" t="s">
        <v>161</v>
      </c>
      <c r="F4047" s="461" t="s">
        <v>8328</v>
      </c>
    </row>
    <row r="4048" spans="1:6" ht="30" x14ac:dyDescent="0.25">
      <c r="A4048" s="461">
        <v>38907</v>
      </c>
      <c r="B4048" s="460" t="s">
        <v>12047</v>
      </c>
      <c r="C4048" s="461" t="s">
        <v>1104</v>
      </c>
      <c r="D4048" s="461">
        <v>18.260000000000002</v>
      </c>
      <c r="E4048" s="461" t="s">
        <v>161</v>
      </c>
      <c r="F4048" s="461" t="s">
        <v>8328</v>
      </c>
    </row>
    <row r="4049" spans="1:6" ht="30" x14ac:dyDescent="0.25">
      <c r="A4049" s="461">
        <v>38910</v>
      </c>
      <c r="B4049" s="460" t="s">
        <v>12048</v>
      </c>
      <c r="C4049" s="461" t="s">
        <v>1104</v>
      </c>
      <c r="D4049" s="461">
        <v>21.36</v>
      </c>
      <c r="E4049" s="461" t="s">
        <v>161</v>
      </c>
      <c r="F4049" s="461" t="s">
        <v>8328</v>
      </c>
    </row>
    <row r="4050" spans="1:6" ht="30" x14ac:dyDescent="0.25">
      <c r="A4050" s="461">
        <v>11655</v>
      </c>
      <c r="B4050" s="460" t="s">
        <v>12049</v>
      </c>
      <c r="C4050" s="461" t="s">
        <v>1104</v>
      </c>
      <c r="D4050" s="461">
        <v>14.25</v>
      </c>
      <c r="E4050" s="461" t="s">
        <v>161</v>
      </c>
      <c r="F4050" s="461" t="s">
        <v>8326</v>
      </c>
    </row>
    <row r="4051" spans="1:6" ht="30" x14ac:dyDescent="0.25">
      <c r="A4051" s="461">
        <v>11656</v>
      </c>
      <c r="B4051" s="460" t="s">
        <v>12050</v>
      </c>
      <c r="C4051" s="461" t="s">
        <v>1104</v>
      </c>
      <c r="D4051" s="461">
        <v>16.36</v>
      </c>
      <c r="E4051" s="461" t="s">
        <v>161</v>
      </c>
      <c r="F4051" s="461" t="s">
        <v>8326</v>
      </c>
    </row>
    <row r="4052" spans="1:6" ht="15" x14ac:dyDescent="0.25">
      <c r="A4052" s="461">
        <v>7091</v>
      </c>
      <c r="B4052" s="460" t="s">
        <v>12051</v>
      </c>
      <c r="C4052" s="461" t="s">
        <v>1104</v>
      </c>
      <c r="D4052" s="461">
        <v>13.4</v>
      </c>
      <c r="E4052" s="461" t="s">
        <v>161</v>
      </c>
      <c r="F4052" s="461" t="s">
        <v>8326</v>
      </c>
    </row>
    <row r="4053" spans="1:6" ht="15" x14ac:dyDescent="0.25">
      <c r="A4053" s="461">
        <v>37948</v>
      </c>
      <c r="B4053" s="460" t="s">
        <v>12052</v>
      </c>
      <c r="C4053" s="461" t="s">
        <v>1104</v>
      </c>
      <c r="D4053" s="461">
        <v>3.1</v>
      </c>
      <c r="E4053" s="461" t="s">
        <v>161</v>
      </c>
      <c r="F4053" s="461" t="s">
        <v>8326</v>
      </c>
    </row>
    <row r="4054" spans="1:6" ht="15" x14ac:dyDescent="0.25">
      <c r="A4054" s="461">
        <v>7097</v>
      </c>
      <c r="B4054" s="460" t="s">
        <v>12053</v>
      </c>
      <c r="C4054" s="461" t="s">
        <v>1104</v>
      </c>
      <c r="D4054" s="461">
        <v>6.29</v>
      </c>
      <c r="E4054" s="461" t="s">
        <v>161</v>
      </c>
      <c r="F4054" s="461" t="s">
        <v>8326</v>
      </c>
    </row>
    <row r="4055" spans="1:6" ht="15" x14ac:dyDescent="0.25">
      <c r="A4055" s="461">
        <v>11658</v>
      </c>
      <c r="B4055" s="460" t="s">
        <v>12054</v>
      </c>
      <c r="C4055" s="461" t="s">
        <v>1104</v>
      </c>
      <c r="D4055" s="461">
        <v>13.91</v>
      </c>
      <c r="E4055" s="461" t="s">
        <v>161</v>
      </c>
      <c r="F4055" s="461" t="s">
        <v>8326</v>
      </c>
    </row>
    <row r="4056" spans="1:6" ht="15" x14ac:dyDescent="0.25">
      <c r="A4056" s="461">
        <v>7146</v>
      </c>
      <c r="B4056" s="460" t="s">
        <v>12055</v>
      </c>
      <c r="C4056" s="461" t="s">
        <v>1104</v>
      </c>
      <c r="D4056" s="461">
        <v>164.72</v>
      </c>
      <c r="E4056" s="461" t="s">
        <v>161</v>
      </c>
      <c r="F4056" s="461" t="s">
        <v>8326</v>
      </c>
    </row>
    <row r="4057" spans="1:6" ht="15" x14ac:dyDescent="0.25">
      <c r="A4057" s="461">
        <v>7138</v>
      </c>
      <c r="B4057" s="460" t="s">
        <v>12056</v>
      </c>
      <c r="C4057" s="461" t="s">
        <v>1104</v>
      </c>
      <c r="D4057" s="461">
        <v>1.04</v>
      </c>
      <c r="E4057" s="461" t="s">
        <v>161</v>
      </c>
      <c r="F4057" s="461" t="s">
        <v>8326</v>
      </c>
    </row>
    <row r="4058" spans="1:6" ht="15" x14ac:dyDescent="0.25">
      <c r="A4058" s="461">
        <v>7139</v>
      </c>
      <c r="B4058" s="460" t="s">
        <v>12057</v>
      </c>
      <c r="C4058" s="461" t="s">
        <v>1104</v>
      </c>
      <c r="D4058" s="461">
        <v>1.18</v>
      </c>
      <c r="E4058" s="461" t="s">
        <v>161</v>
      </c>
      <c r="F4058" s="461" t="s">
        <v>8326</v>
      </c>
    </row>
    <row r="4059" spans="1:6" ht="15" x14ac:dyDescent="0.25">
      <c r="A4059" s="461">
        <v>7140</v>
      </c>
      <c r="B4059" s="460" t="s">
        <v>12058</v>
      </c>
      <c r="C4059" s="461" t="s">
        <v>1104</v>
      </c>
      <c r="D4059" s="461">
        <v>3.71</v>
      </c>
      <c r="E4059" s="461" t="s">
        <v>161</v>
      </c>
      <c r="F4059" s="461" t="s">
        <v>8326</v>
      </c>
    </row>
    <row r="4060" spans="1:6" ht="15" x14ac:dyDescent="0.25">
      <c r="A4060" s="461">
        <v>7141</v>
      </c>
      <c r="B4060" s="460" t="s">
        <v>12059</v>
      </c>
      <c r="C4060" s="461" t="s">
        <v>1104</v>
      </c>
      <c r="D4060" s="461">
        <v>9.06</v>
      </c>
      <c r="E4060" s="461" t="s">
        <v>161</v>
      </c>
      <c r="F4060" s="461" t="s">
        <v>8326</v>
      </c>
    </row>
    <row r="4061" spans="1:6" ht="15" x14ac:dyDescent="0.25">
      <c r="A4061" s="461">
        <v>7143</v>
      </c>
      <c r="B4061" s="460" t="s">
        <v>12060</v>
      </c>
      <c r="C4061" s="461" t="s">
        <v>1104</v>
      </c>
      <c r="D4061" s="461">
        <v>30.41</v>
      </c>
      <c r="E4061" s="461" t="s">
        <v>161</v>
      </c>
      <c r="F4061" s="461" t="s">
        <v>8326</v>
      </c>
    </row>
    <row r="4062" spans="1:6" ht="15" x14ac:dyDescent="0.25">
      <c r="A4062" s="461">
        <v>7144</v>
      </c>
      <c r="B4062" s="460" t="s">
        <v>12061</v>
      </c>
      <c r="C4062" s="461" t="s">
        <v>1104</v>
      </c>
      <c r="D4062" s="461">
        <v>56.42</v>
      </c>
      <c r="E4062" s="461" t="s">
        <v>161</v>
      </c>
      <c r="F4062" s="461" t="s">
        <v>8326</v>
      </c>
    </row>
    <row r="4063" spans="1:6" ht="15" x14ac:dyDescent="0.25">
      <c r="A4063" s="461">
        <v>7145</v>
      </c>
      <c r="B4063" s="460" t="s">
        <v>12062</v>
      </c>
      <c r="C4063" s="461" t="s">
        <v>1104</v>
      </c>
      <c r="D4063" s="461">
        <v>76.709999999999994</v>
      </c>
      <c r="E4063" s="461" t="s">
        <v>161</v>
      </c>
      <c r="F4063" s="461" t="s">
        <v>8326</v>
      </c>
    </row>
    <row r="4064" spans="1:6" ht="15" x14ac:dyDescent="0.25">
      <c r="A4064" s="461">
        <v>7142</v>
      </c>
      <c r="B4064" s="460" t="s">
        <v>12063</v>
      </c>
      <c r="C4064" s="461" t="s">
        <v>1104</v>
      </c>
      <c r="D4064" s="461">
        <v>9.4700000000000006</v>
      </c>
      <c r="E4064" s="461" t="s">
        <v>161</v>
      </c>
      <c r="F4064" s="461" t="s">
        <v>8326</v>
      </c>
    </row>
    <row r="4065" spans="1:6" ht="15" x14ac:dyDescent="0.25">
      <c r="A4065" s="461">
        <v>3593</v>
      </c>
      <c r="B4065" s="460" t="s">
        <v>12064</v>
      </c>
      <c r="C4065" s="461" t="s">
        <v>1104</v>
      </c>
      <c r="D4065" s="461">
        <v>101.47</v>
      </c>
      <c r="E4065" s="461" t="s">
        <v>161</v>
      </c>
      <c r="F4065" s="461" t="s">
        <v>8328</v>
      </c>
    </row>
    <row r="4066" spans="1:6" ht="15" x14ac:dyDescent="0.25">
      <c r="A4066" s="461">
        <v>3588</v>
      </c>
      <c r="B4066" s="460" t="s">
        <v>12065</v>
      </c>
      <c r="C4066" s="461" t="s">
        <v>1104</v>
      </c>
      <c r="D4066" s="461">
        <v>78.209999999999994</v>
      </c>
      <c r="E4066" s="461" t="s">
        <v>161</v>
      </c>
      <c r="F4066" s="461" t="s">
        <v>8328</v>
      </c>
    </row>
    <row r="4067" spans="1:6" ht="15" x14ac:dyDescent="0.25">
      <c r="A4067" s="461">
        <v>3585</v>
      </c>
      <c r="B4067" s="460" t="s">
        <v>12066</v>
      </c>
      <c r="C4067" s="461" t="s">
        <v>1104</v>
      </c>
      <c r="D4067" s="461">
        <v>24.16</v>
      </c>
      <c r="E4067" s="461" t="s">
        <v>161</v>
      </c>
      <c r="F4067" s="461" t="s">
        <v>8328</v>
      </c>
    </row>
    <row r="4068" spans="1:6" ht="15" x14ac:dyDescent="0.25">
      <c r="A4068" s="461">
        <v>3587</v>
      </c>
      <c r="B4068" s="460" t="s">
        <v>12067</v>
      </c>
      <c r="C4068" s="461" t="s">
        <v>1104</v>
      </c>
      <c r="D4068" s="461">
        <v>48.53</v>
      </c>
      <c r="E4068" s="461" t="s">
        <v>161</v>
      </c>
      <c r="F4068" s="461" t="s">
        <v>8328</v>
      </c>
    </row>
    <row r="4069" spans="1:6" ht="15" x14ac:dyDescent="0.25">
      <c r="A4069" s="461">
        <v>3590</v>
      </c>
      <c r="B4069" s="460" t="s">
        <v>12068</v>
      </c>
      <c r="C4069" s="461" t="s">
        <v>1104</v>
      </c>
      <c r="D4069" s="461">
        <v>288.11</v>
      </c>
      <c r="E4069" s="461" t="s">
        <v>161</v>
      </c>
      <c r="F4069" s="461" t="s">
        <v>8328</v>
      </c>
    </row>
    <row r="4070" spans="1:6" ht="15" x14ac:dyDescent="0.25">
      <c r="A4070" s="461">
        <v>3589</v>
      </c>
      <c r="B4070" s="460" t="s">
        <v>12069</v>
      </c>
      <c r="C4070" s="461" t="s">
        <v>1104</v>
      </c>
      <c r="D4070" s="461">
        <v>154.63999999999999</v>
      </c>
      <c r="E4070" s="461" t="s">
        <v>161</v>
      </c>
      <c r="F4070" s="461" t="s">
        <v>8328</v>
      </c>
    </row>
    <row r="4071" spans="1:6" ht="15" x14ac:dyDescent="0.25">
      <c r="A4071" s="461">
        <v>3586</v>
      </c>
      <c r="B4071" s="460" t="s">
        <v>12070</v>
      </c>
      <c r="C4071" s="461" t="s">
        <v>1104</v>
      </c>
      <c r="D4071" s="461">
        <v>31.64</v>
      </c>
      <c r="E4071" s="461" t="s">
        <v>161</v>
      </c>
      <c r="F4071" s="461" t="s">
        <v>8328</v>
      </c>
    </row>
    <row r="4072" spans="1:6" ht="15" x14ac:dyDescent="0.25">
      <c r="A4072" s="461">
        <v>3592</v>
      </c>
      <c r="B4072" s="460" t="s">
        <v>12071</v>
      </c>
      <c r="C4072" s="461" t="s">
        <v>1104</v>
      </c>
      <c r="D4072" s="461">
        <v>455.41</v>
      </c>
      <c r="E4072" s="461" t="s">
        <v>161</v>
      </c>
      <c r="F4072" s="461" t="s">
        <v>8328</v>
      </c>
    </row>
    <row r="4073" spans="1:6" ht="15" x14ac:dyDescent="0.25">
      <c r="A4073" s="461">
        <v>3591</v>
      </c>
      <c r="B4073" s="460" t="s">
        <v>12072</v>
      </c>
      <c r="C4073" s="461" t="s">
        <v>1104</v>
      </c>
      <c r="D4073" s="461">
        <v>730.05</v>
      </c>
      <c r="E4073" s="461" t="s">
        <v>161</v>
      </c>
      <c r="F4073" s="461" t="s">
        <v>8328</v>
      </c>
    </row>
    <row r="4074" spans="1:6" ht="15" x14ac:dyDescent="0.25">
      <c r="A4074" s="461">
        <v>40396</v>
      </c>
      <c r="B4074" s="460" t="s">
        <v>12073</v>
      </c>
      <c r="C4074" s="461" t="s">
        <v>1104</v>
      </c>
      <c r="D4074" s="461">
        <v>132.28</v>
      </c>
      <c r="E4074" s="461" t="s">
        <v>161</v>
      </c>
      <c r="F4074" s="461" t="s">
        <v>8328</v>
      </c>
    </row>
    <row r="4075" spans="1:6" ht="15" x14ac:dyDescent="0.25">
      <c r="A4075" s="461">
        <v>40395</v>
      </c>
      <c r="B4075" s="460" t="s">
        <v>12074</v>
      </c>
      <c r="C4075" s="461" t="s">
        <v>1104</v>
      </c>
      <c r="D4075" s="461">
        <v>101.52</v>
      </c>
      <c r="E4075" s="461" t="s">
        <v>161</v>
      </c>
      <c r="F4075" s="461" t="s">
        <v>8328</v>
      </c>
    </row>
    <row r="4076" spans="1:6" ht="15" x14ac:dyDescent="0.25">
      <c r="A4076" s="461">
        <v>40392</v>
      </c>
      <c r="B4076" s="460" t="s">
        <v>12075</v>
      </c>
      <c r="C4076" s="461" t="s">
        <v>1104</v>
      </c>
      <c r="D4076" s="461">
        <v>32.659999999999997</v>
      </c>
      <c r="E4076" s="461" t="s">
        <v>161</v>
      </c>
      <c r="F4076" s="461" t="s">
        <v>8328</v>
      </c>
    </row>
    <row r="4077" spans="1:6" ht="15" x14ac:dyDescent="0.25">
      <c r="A4077" s="461">
        <v>40394</v>
      </c>
      <c r="B4077" s="460" t="s">
        <v>12076</v>
      </c>
      <c r="C4077" s="461" t="s">
        <v>1104</v>
      </c>
      <c r="D4077" s="461">
        <v>66.09</v>
      </c>
      <c r="E4077" s="461" t="s">
        <v>161</v>
      </c>
      <c r="F4077" s="461" t="s">
        <v>8328</v>
      </c>
    </row>
    <row r="4078" spans="1:6" ht="15" x14ac:dyDescent="0.25">
      <c r="A4078" s="461">
        <v>40398</v>
      </c>
      <c r="B4078" s="460" t="s">
        <v>12077</v>
      </c>
      <c r="C4078" s="461" t="s">
        <v>1104</v>
      </c>
      <c r="D4078" s="461">
        <v>424.39</v>
      </c>
      <c r="E4078" s="461" t="s">
        <v>161</v>
      </c>
      <c r="F4078" s="461" t="s">
        <v>8328</v>
      </c>
    </row>
    <row r="4079" spans="1:6" ht="15" x14ac:dyDescent="0.25">
      <c r="A4079" s="461">
        <v>40397</v>
      </c>
      <c r="B4079" s="460" t="s">
        <v>12078</v>
      </c>
      <c r="C4079" s="461" t="s">
        <v>1104</v>
      </c>
      <c r="D4079" s="461">
        <v>217.34</v>
      </c>
      <c r="E4079" s="461" t="s">
        <v>161</v>
      </c>
      <c r="F4079" s="461" t="s">
        <v>8328</v>
      </c>
    </row>
    <row r="4080" spans="1:6" ht="15" x14ac:dyDescent="0.25">
      <c r="A4080" s="461">
        <v>40393</v>
      </c>
      <c r="B4080" s="460" t="s">
        <v>12079</v>
      </c>
      <c r="C4080" s="461" t="s">
        <v>1104</v>
      </c>
      <c r="D4080" s="461">
        <v>42.07</v>
      </c>
      <c r="E4080" s="461" t="s">
        <v>161</v>
      </c>
      <c r="F4080" s="461" t="s">
        <v>8328</v>
      </c>
    </row>
    <row r="4081" spans="1:6" ht="15" x14ac:dyDescent="0.25">
      <c r="A4081" s="461">
        <v>40399</v>
      </c>
      <c r="B4081" s="460" t="s">
        <v>12080</v>
      </c>
      <c r="C4081" s="461" t="s">
        <v>1104</v>
      </c>
      <c r="D4081" s="461">
        <v>694.3</v>
      </c>
      <c r="E4081" s="461" t="s">
        <v>161</v>
      </c>
      <c r="F4081" s="461" t="s">
        <v>8328</v>
      </c>
    </row>
    <row r="4082" spans="1:6" ht="30" x14ac:dyDescent="0.25">
      <c r="A4082" s="461">
        <v>39322</v>
      </c>
      <c r="B4082" s="460" t="s">
        <v>12081</v>
      </c>
      <c r="C4082" s="461" t="s">
        <v>1104</v>
      </c>
      <c r="D4082" s="461">
        <v>9.01</v>
      </c>
      <c r="E4082" s="461" t="s">
        <v>161</v>
      </c>
      <c r="F4082" s="461" t="s">
        <v>8328</v>
      </c>
    </row>
    <row r="4083" spans="1:6" ht="30" x14ac:dyDescent="0.25">
      <c r="A4083" s="461">
        <v>39289</v>
      </c>
      <c r="B4083" s="460" t="s">
        <v>12082</v>
      </c>
      <c r="C4083" s="461" t="s">
        <v>1104</v>
      </c>
      <c r="D4083" s="461">
        <v>16.79</v>
      </c>
      <c r="E4083" s="461" t="s">
        <v>161</v>
      </c>
      <c r="F4083" s="461" t="s">
        <v>8328</v>
      </c>
    </row>
    <row r="4084" spans="1:6" ht="30" x14ac:dyDescent="0.25">
      <c r="A4084" s="461">
        <v>39290</v>
      </c>
      <c r="B4084" s="460" t="s">
        <v>12083</v>
      </c>
      <c r="C4084" s="461" t="s">
        <v>1104</v>
      </c>
      <c r="D4084" s="461">
        <v>28.35</v>
      </c>
      <c r="E4084" s="461" t="s">
        <v>161</v>
      </c>
      <c r="F4084" s="461" t="s">
        <v>8328</v>
      </c>
    </row>
    <row r="4085" spans="1:6" ht="30" x14ac:dyDescent="0.25">
      <c r="A4085" s="461">
        <v>39291</v>
      </c>
      <c r="B4085" s="460" t="s">
        <v>12084</v>
      </c>
      <c r="C4085" s="461" t="s">
        <v>1104</v>
      </c>
      <c r="D4085" s="461">
        <v>31.36</v>
      </c>
      <c r="E4085" s="461" t="s">
        <v>161</v>
      </c>
      <c r="F4085" s="461" t="s">
        <v>8328</v>
      </c>
    </row>
    <row r="4086" spans="1:6" ht="15" x14ac:dyDescent="0.25">
      <c r="A4086" s="461">
        <v>41892</v>
      </c>
      <c r="B4086" s="460" t="s">
        <v>12085</v>
      </c>
      <c r="C4086" s="461" t="s">
        <v>1104</v>
      </c>
      <c r="D4086" s="461">
        <v>93.75</v>
      </c>
      <c r="E4086" s="461" t="s">
        <v>161</v>
      </c>
      <c r="F4086" s="461" t="s">
        <v>8328</v>
      </c>
    </row>
    <row r="4087" spans="1:6" ht="15" x14ac:dyDescent="0.25">
      <c r="A4087" s="461">
        <v>7048</v>
      </c>
      <c r="B4087" s="460" t="s">
        <v>12086</v>
      </c>
      <c r="C4087" s="461" t="s">
        <v>1104</v>
      </c>
      <c r="D4087" s="461">
        <v>20.23</v>
      </c>
      <c r="E4087" s="461" t="s">
        <v>161</v>
      </c>
      <c r="F4087" s="461" t="s">
        <v>8328</v>
      </c>
    </row>
    <row r="4088" spans="1:6" ht="15" x14ac:dyDescent="0.25">
      <c r="A4088" s="461">
        <v>7088</v>
      </c>
      <c r="B4088" s="460" t="s">
        <v>12087</v>
      </c>
      <c r="C4088" s="461" t="s">
        <v>1104</v>
      </c>
      <c r="D4088" s="461">
        <v>44.25</v>
      </c>
      <c r="E4088" s="461" t="s">
        <v>161</v>
      </c>
      <c r="F4088" s="461" t="s">
        <v>8328</v>
      </c>
    </row>
    <row r="4089" spans="1:6" ht="15" x14ac:dyDescent="0.25">
      <c r="A4089" s="461">
        <v>20179</v>
      </c>
      <c r="B4089" s="460" t="s">
        <v>12088</v>
      </c>
      <c r="C4089" s="461" t="s">
        <v>1104</v>
      </c>
      <c r="D4089" s="461">
        <v>36.68</v>
      </c>
      <c r="E4089" s="461" t="s">
        <v>161</v>
      </c>
      <c r="F4089" s="461" t="s">
        <v>8326</v>
      </c>
    </row>
    <row r="4090" spans="1:6" ht="15" x14ac:dyDescent="0.25">
      <c r="A4090" s="461">
        <v>20178</v>
      </c>
      <c r="B4090" s="460" t="s">
        <v>12089</v>
      </c>
      <c r="C4090" s="461" t="s">
        <v>1104</v>
      </c>
      <c r="D4090" s="461">
        <v>43.97</v>
      </c>
      <c r="E4090" s="461" t="s">
        <v>161</v>
      </c>
      <c r="F4090" s="461" t="s">
        <v>8326</v>
      </c>
    </row>
    <row r="4091" spans="1:6" ht="15" x14ac:dyDescent="0.25">
      <c r="A4091" s="461">
        <v>20180</v>
      </c>
      <c r="B4091" s="460" t="s">
        <v>12090</v>
      </c>
      <c r="C4091" s="461" t="s">
        <v>1104</v>
      </c>
      <c r="D4091" s="461">
        <v>72.569999999999993</v>
      </c>
      <c r="E4091" s="461" t="s">
        <v>161</v>
      </c>
      <c r="F4091" s="461" t="s">
        <v>8326</v>
      </c>
    </row>
    <row r="4092" spans="1:6" ht="15" x14ac:dyDescent="0.25">
      <c r="A4092" s="461">
        <v>20181</v>
      </c>
      <c r="B4092" s="460" t="s">
        <v>12091</v>
      </c>
      <c r="C4092" s="461" t="s">
        <v>1104</v>
      </c>
      <c r="D4092" s="461">
        <v>97.16</v>
      </c>
      <c r="E4092" s="461" t="s">
        <v>161</v>
      </c>
      <c r="F4092" s="461" t="s">
        <v>8326</v>
      </c>
    </row>
    <row r="4093" spans="1:6" ht="15" x14ac:dyDescent="0.25">
      <c r="A4093" s="461">
        <v>20177</v>
      </c>
      <c r="B4093" s="460" t="s">
        <v>12092</v>
      </c>
      <c r="C4093" s="461" t="s">
        <v>1104</v>
      </c>
      <c r="D4093" s="461">
        <v>24.03</v>
      </c>
      <c r="E4093" s="461" t="s">
        <v>161</v>
      </c>
      <c r="F4093" s="461" t="s">
        <v>8326</v>
      </c>
    </row>
    <row r="4094" spans="1:6" ht="15" x14ac:dyDescent="0.25">
      <c r="A4094" s="461">
        <v>7070</v>
      </c>
      <c r="B4094" s="460" t="s">
        <v>12093</v>
      </c>
      <c r="C4094" s="461" t="s">
        <v>1104</v>
      </c>
      <c r="D4094" s="461">
        <v>172.46</v>
      </c>
      <c r="E4094" s="461" t="s">
        <v>161</v>
      </c>
      <c r="F4094" s="461" t="s">
        <v>8326</v>
      </c>
    </row>
    <row r="4095" spans="1:6" ht="15" x14ac:dyDescent="0.25">
      <c r="A4095" s="461">
        <v>40945</v>
      </c>
      <c r="B4095" s="460" t="s">
        <v>12094</v>
      </c>
      <c r="C4095" s="461" t="s">
        <v>1103</v>
      </c>
      <c r="D4095" s="461">
        <v>17.23</v>
      </c>
      <c r="E4095" s="461" t="s">
        <v>4455</v>
      </c>
      <c r="F4095" s="461" t="s">
        <v>8326</v>
      </c>
    </row>
    <row r="4096" spans="1:6" ht="15" x14ac:dyDescent="0.25">
      <c r="A4096" s="461">
        <v>40946</v>
      </c>
      <c r="B4096" s="460" t="s">
        <v>12095</v>
      </c>
      <c r="C4096" s="461" t="s">
        <v>1110</v>
      </c>
      <c r="D4096" s="461">
        <v>3071.04</v>
      </c>
      <c r="E4096" s="461" t="s">
        <v>4455</v>
      </c>
      <c r="F4096" s="461" t="s">
        <v>8326</v>
      </c>
    </row>
    <row r="4097" spans="1:6" ht="15" x14ac:dyDescent="0.25">
      <c r="A4097" s="461">
        <v>7153</v>
      </c>
      <c r="B4097" s="460" t="s">
        <v>12096</v>
      </c>
      <c r="C4097" s="461" t="s">
        <v>1103</v>
      </c>
      <c r="D4097" s="461">
        <v>49.02</v>
      </c>
      <c r="E4097" s="461" t="s">
        <v>4455</v>
      </c>
      <c r="F4097" s="461" t="s">
        <v>8326</v>
      </c>
    </row>
    <row r="4098" spans="1:6" ht="15" x14ac:dyDescent="0.25">
      <c r="A4098" s="461">
        <v>41089</v>
      </c>
      <c r="B4098" s="460" t="s">
        <v>12097</v>
      </c>
      <c r="C4098" s="461" t="s">
        <v>1110</v>
      </c>
      <c r="D4098" s="461">
        <v>8729.5400000000009</v>
      </c>
      <c r="E4098" s="461" t="s">
        <v>4455</v>
      </c>
      <c r="F4098" s="461" t="s">
        <v>8326</v>
      </c>
    </row>
    <row r="4099" spans="1:6" ht="15" x14ac:dyDescent="0.25">
      <c r="A4099" s="461">
        <v>40943</v>
      </c>
      <c r="B4099" s="460" t="s">
        <v>12098</v>
      </c>
      <c r="C4099" s="461" t="s">
        <v>1103</v>
      </c>
      <c r="D4099" s="461">
        <v>47.28</v>
      </c>
      <c r="E4099" s="461" t="s">
        <v>4455</v>
      </c>
      <c r="F4099" s="461" t="s">
        <v>8326</v>
      </c>
    </row>
    <row r="4100" spans="1:6" ht="15" x14ac:dyDescent="0.25">
      <c r="A4100" s="461">
        <v>40944</v>
      </c>
      <c r="B4100" s="460" t="s">
        <v>12099</v>
      </c>
      <c r="C4100" s="461" t="s">
        <v>1110</v>
      </c>
      <c r="D4100" s="461">
        <v>8418.42</v>
      </c>
      <c r="E4100" s="461" t="s">
        <v>4455</v>
      </c>
      <c r="F4100" s="461" t="s">
        <v>8326</v>
      </c>
    </row>
    <row r="4101" spans="1:6" ht="15" x14ac:dyDescent="0.25">
      <c r="A4101" s="461">
        <v>6175</v>
      </c>
      <c r="B4101" s="460" t="s">
        <v>12100</v>
      </c>
      <c r="C4101" s="461" t="s">
        <v>1103</v>
      </c>
      <c r="D4101" s="461">
        <v>31.45</v>
      </c>
      <c r="E4101" s="461" t="s">
        <v>4455</v>
      </c>
      <c r="F4101" s="461" t="s">
        <v>8326</v>
      </c>
    </row>
    <row r="4102" spans="1:6" ht="15" x14ac:dyDescent="0.25">
      <c r="A4102" s="461">
        <v>41092</v>
      </c>
      <c r="B4102" s="460" t="s">
        <v>12101</v>
      </c>
      <c r="C4102" s="461" t="s">
        <v>1110</v>
      </c>
      <c r="D4102" s="461">
        <v>5603.43</v>
      </c>
      <c r="E4102" s="461" t="s">
        <v>4455</v>
      </c>
      <c r="F4102" s="461" t="s">
        <v>8326</v>
      </c>
    </row>
    <row r="4103" spans="1:6" ht="30" x14ac:dyDescent="0.25">
      <c r="A4103" s="461">
        <v>37712</v>
      </c>
      <c r="B4103" s="460" t="s">
        <v>12102</v>
      </c>
      <c r="C4103" s="461" t="s">
        <v>1106</v>
      </c>
      <c r="D4103" s="461">
        <v>48.87</v>
      </c>
      <c r="E4103" s="461" t="s">
        <v>161</v>
      </c>
      <c r="F4103" s="461" t="s">
        <v>8326</v>
      </c>
    </row>
    <row r="4104" spans="1:6" ht="30" x14ac:dyDescent="0.25">
      <c r="A4104" s="461">
        <v>34558</v>
      </c>
      <c r="B4104" s="460" t="s">
        <v>12103</v>
      </c>
      <c r="C4104" s="461" t="s">
        <v>1107</v>
      </c>
      <c r="D4104" s="461">
        <v>2.7</v>
      </c>
      <c r="E4104" s="461" t="s">
        <v>161</v>
      </c>
      <c r="F4104" s="461" t="s">
        <v>8326</v>
      </c>
    </row>
    <row r="4105" spans="1:6" ht="30" x14ac:dyDescent="0.25">
      <c r="A4105" s="461">
        <v>34547</v>
      </c>
      <c r="B4105" s="460" t="s">
        <v>13387</v>
      </c>
      <c r="C4105" s="461" t="s">
        <v>1107</v>
      </c>
      <c r="D4105" s="461">
        <v>3.32</v>
      </c>
      <c r="E4105" s="461" t="s">
        <v>161</v>
      </c>
      <c r="F4105" s="461" t="s">
        <v>8326</v>
      </c>
    </row>
    <row r="4106" spans="1:6" ht="30" x14ac:dyDescent="0.25">
      <c r="A4106" s="461">
        <v>34548</v>
      </c>
      <c r="B4106" s="460" t="s">
        <v>13388</v>
      </c>
      <c r="C4106" s="461" t="s">
        <v>1107</v>
      </c>
      <c r="D4106" s="461">
        <v>5.44</v>
      </c>
      <c r="E4106" s="461" t="s">
        <v>161</v>
      </c>
      <c r="F4106" s="461" t="s">
        <v>8326</v>
      </c>
    </row>
    <row r="4107" spans="1:6" ht="30" x14ac:dyDescent="0.25">
      <c r="A4107" s="461">
        <v>34550</v>
      </c>
      <c r="B4107" s="460" t="s">
        <v>12104</v>
      </c>
      <c r="C4107" s="461" t="s">
        <v>1107</v>
      </c>
      <c r="D4107" s="461">
        <v>1.43</v>
      </c>
      <c r="E4107" s="461" t="s">
        <v>161</v>
      </c>
      <c r="F4107" s="461" t="s">
        <v>8326</v>
      </c>
    </row>
    <row r="4108" spans="1:6" ht="30" x14ac:dyDescent="0.25">
      <c r="A4108" s="461">
        <v>34557</v>
      </c>
      <c r="B4108" s="460" t="s">
        <v>12105</v>
      </c>
      <c r="C4108" s="461" t="s">
        <v>1107</v>
      </c>
      <c r="D4108" s="461">
        <v>2.1</v>
      </c>
      <c r="E4108" s="461" t="s">
        <v>161</v>
      </c>
      <c r="F4108" s="461" t="s">
        <v>8326</v>
      </c>
    </row>
    <row r="4109" spans="1:6" ht="30" x14ac:dyDescent="0.25">
      <c r="A4109" s="461">
        <v>37411</v>
      </c>
      <c r="B4109" s="460" t="s">
        <v>12106</v>
      </c>
      <c r="C4109" s="461" t="s">
        <v>1106</v>
      </c>
      <c r="D4109" s="461">
        <v>15.37</v>
      </c>
      <c r="E4109" s="461" t="s">
        <v>161</v>
      </c>
      <c r="F4109" s="461" t="s">
        <v>8326</v>
      </c>
    </row>
    <row r="4110" spans="1:6" ht="30" x14ac:dyDescent="0.25">
      <c r="A4110" s="461">
        <v>39508</v>
      </c>
      <c r="B4110" s="460" t="s">
        <v>12107</v>
      </c>
      <c r="C4110" s="461" t="s">
        <v>1106</v>
      </c>
      <c r="D4110" s="461">
        <v>8.6300000000000008</v>
      </c>
      <c r="E4110" s="461" t="s">
        <v>161</v>
      </c>
      <c r="F4110" s="461" t="s">
        <v>8326</v>
      </c>
    </row>
    <row r="4111" spans="1:6" ht="30" x14ac:dyDescent="0.25">
      <c r="A4111" s="461">
        <v>39507</v>
      </c>
      <c r="B4111" s="460" t="s">
        <v>12108</v>
      </c>
      <c r="C4111" s="461" t="s">
        <v>1106</v>
      </c>
      <c r="D4111" s="461">
        <v>12.88</v>
      </c>
      <c r="E4111" s="461" t="s">
        <v>161</v>
      </c>
      <c r="F4111" s="461" t="s">
        <v>8326</v>
      </c>
    </row>
    <row r="4112" spans="1:6" ht="30" x14ac:dyDescent="0.25">
      <c r="A4112" s="461">
        <v>7155</v>
      </c>
      <c r="B4112" s="460" t="s">
        <v>13389</v>
      </c>
      <c r="C4112" s="461" t="s">
        <v>1106</v>
      </c>
      <c r="D4112" s="461">
        <v>16.53</v>
      </c>
      <c r="E4112" s="461" t="s">
        <v>161</v>
      </c>
      <c r="F4112" s="461" t="s">
        <v>8326</v>
      </c>
    </row>
    <row r="4113" spans="1:6" ht="30" x14ac:dyDescent="0.25">
      <c r="A4113" s="461">
        <v>42406</v>
      </c>
      <c r="B4113" s="460" t="s">
        <v>13390</v>
      </c>
      <c r="C4113" s="461" t="s">
        <v>1106</v>
      </c>
      <c r="D4113" s="461">
        <v>18.95</v>
      </c>
      <c r="E4113" s="461" t="s">
        <v>161</v>
      </c>
      <c r="F4113" s="461" t="s">
        <v>8326</v>
      </c>
    </row>
    <row r="4114" spans="1:6" ht="30" x14ac:dyDescent="0.25">
      <c r="A4114" s="461">
        <v>7156</v>
      </c>
      <c r="B4114" s="460" t="s">
        <v>12109</v>
      </c>
      <c r="C4114" s="461" t="s">
        <v>1106</v>
      </c>
      <c r="D4114" s="461">
        <v>23.72</v>
      </c>
      <c r="E4114" s="461" t="s">
        <v>161</v>
      </c>
      <c r="F4114" s="461" t="s">
        <v>8333</v>
      </c>
    </row>
    <row r="4115" spans="1:6" ht="45" x14ac:dyDescent="0.25">
      <c r="A4115" s="461">
        <v>43127</v>
      </c>
      <c r="B4115" s="460" t="s">
        <v>12110</v>
      </c>
      <c r="C4115" s="461" t="s">
        <v>1106</v>
      </c>
      <c r="D4115" s="461">
        <v>33.94</v>
      </c>
      <c r="E4115" s="461" t="s">
        <v>161</v>
      </c>
      <c r="F4115" s="461" t="s">
        <v>8326</v>
      </c>
    </row>
    <row r="4116" spans="1:6" ht="30" x14ac:dyDescent="0.25">
      <c r="A4116" s="461">
        <v>10917</v>
      </c>
      <c r="B4116" s="460" t="s">
        <v>12111</v>
      </c>
      <c r="C4116" s="461" t="s">
        <v>1106</v>
      </c>
      <c r="D4116" s="511">
        <v>7.16</v>
      </c>
      <c r="E4116" s="461" t="s">
        <v>161</v>
      </c>
      <c r="F4116" s="461" t="s">
        <v>8326</v>
      </c>
    </row>
    <row r="4117" spans="1:6" ht="45" x14ac:dyDescent="0.25">
      <c r="A4117" s="461">
        <v>21141</v>
      </c>
      <c r="B4117" s="460" t="s">
        <v>13391</v>
      </c>
      <c r="C4117" s="461" t="s">
        <v>1106</v>
      </c>
      <c r="D4117" s="461">
        <v>11.09</v>
      </c>
      <c r="E4117" s="461" t="s">
        <v>161</v>
      </c>
      <c r="F4117" s="461" t="s">
        <v>8326</v>
      </c>
    </row>
    <row r="4118" spans="1:6" ht="30" x14ac:dyDescent="0.25">
      <c r="A4118" s="461">
        <v>39509</v>
      </c>
      <c r="B4118" s="460" t="s">
        <v>12112</v>
      </c>
      <c r="C4118" s="461" t="s">
        <v>1106</v>
      </c>
      <c r="D4118" s="511">
        <v>10.67</v>
      </c>
      <c r="E4118" s="461" t="s">
        <v>161</v>
      </c>
      <c r="F4118" s="461" t="s">
        <v>8326</v>
      </c>
    </row>
    <row r="4119" spans="1:6" ht="15" x14ac:dyDescent="0.25">
      <c r="A4119" s="461">
        <v>44529</v>
      </c>
      <c r="B4119" s="460" t="s">
        <v>12113</v>
      </c>
      <c r="C4119" s="461" t="s">
        <v>1106</v>
      </c>
      <c r="D4119" s="461">
        <v>17.96</v>
      </c>
      <c r="E4119" s="461" t="s">
        <v>161</v>
      </c>
      <c r="F4119" s="461" t="s">
        <v>8326</v>
      </c>
    </row>
    <row r="4120" spans="1:6" ht="30" x14ac:dyDescent="0.25">
      <c r="A4120" s="461">
        <v>7167</v>
      </c>
      <c r="B4120" s="460" t="s">
        <v>12114</v>
      </c>
      <c r="C4120" s="461" t="s">
        <v>1106</v>
      </c>
      <c r="D4120" s="511">
        <v>26.12</v>
      </c>
      <c r="E4120" s="461" t="s">
        <v>161</v>
      </c>
      <c r="F4120" s="461" t="s">
        <v>8326</v>
      </c>
    </row>
    <row r="4121" spans="1:6" ht="30" x14ac:dyDescent="0.25">
      <c r="A4121" s="461">
        <v>10928</v>
      </c>
      <c r="B4121" s="460" t="s">
        <v>12115</v>
      </c>
      <c r="C4121" s="461" t="s">
        <v>1106</v>
      </c>
      <c r="D4121" s="461">
        <v>15.01</v>
      </c>
      <c r="E4121" s="461" t="s">
        <v>161</v>
      </c>
      <c r="F4121" s="461" t="s">
        <v>8326</v>
      </c>
    </row>
    <row r="4122" spans="1:6" ht="30" x14ac:dyDescent="0.25">
      <c r="A4122" s="461">
        <v>10933</v>
      </c>
      <c r="B4122" s="460" t="s">
        <v>12116</v>
      </c>
      <c r="C4122" s="461" t="s">
        <v>1106</v>
      </c>
      <c r="D4122" s="511">
        <v>22.64</v>
      </c>
      <c r="E4122" s="461" t="s">
        <v>161</v>
      </c>
      <c r="F4122" s="461" t="s">
        <v>8326</v>
      </c>
    </row>
    <row r="4123" spans="1:6" ht="30" x14ac:dyDescent="0.25">
      <c r="A4123" s="461">
        <v>7158</v>
      </c>
      <c r="B4123" s="460" t="s">
        <v>12117</v>
      </c>
      <c r="C4123" s="461" t="s">
        <v>1106</v>
      </c>
      <c r="D4123" s="461">
        <v>38.4</v>
      </c>
      <c r="E4123" s="461" t="s">
        <v>161</v>
      </c>
      <c r="F4123" s="461" t="s">
        <v>8333</v>
      </c>
    </row>
    <row r="4124" spans="1:6" ht="30" x14ac:dyDescent="0.25">
      <c r="A4124" s="461">
        <v>10927</v>
      </c>
      <c r="B4124" s="460" t="s">
        <v>12118</v>
      </c>
      <c r="C4124" s="461" t="s">
        <v>1106</v>
      </c>
      <c r="D4124" s="461">
        <v>24.56</v>
      </c>
      <c r="E4124" s="461" t="s">
        <v>161</v>
      </c>
      <c r="F4124" s="461" t="s">
        <v>8326</v>
      </c>
    </row>
    <row r="4125" spans="1:6" ht="30" x14ac:dyDescent="0.25">
      <c r="A4125" s="461">
        <v>7162</v>
      </c>
      <c r="B4125" s="460" t="s">
        <v>12119</v>
      </c>
      <c r="C4125" s="461" t="s">
        <v>1106</v>
      </c>
      <c r="D4125" s="461">
        <v>60.09</v>
      </c>
      <c r="E4125" s="461" t="s">
        <v>161</v>
      </c>
      <c r="F4125" s="461" t="s">
        <v>8326</v>
      </c>
    </row>
    <row r="4126" spans="1:6" ht="30" x14ac:dyDescent="0.25">
      <c r="A4126" s="461">
        <v>10932</v>
      </c>
      <c r="B4126" s="460" t="s">
        <v>12120</v>
      </c>
      <c r="C4126" s="461" t="s">
        <v>1106</v>
      </c>
      <c r="D4126" s="461">
        <v>104.52</v>
      </c>
      <c r="E4126" s="461" t="s">
        <v>161</v>
      </c>
      <c r="F4126" s="461" t="s">
        <v>8326</v>
      </c>
    </row>
    <row r="4127" spans="1:6" ht="30" x14ac:dyDescent="0.25">
      <c r="A4127" s="461">
        <v>10937</v>
      </c>
      <c r="B4127" s="460" t="s">
        <v>12121</v>
      </c>
      <c r="C4127" s="461" t="s">
        <v>1106</v>
      </c>
      <c r="D4127" s="461">
        <v>26.86</v>
      </c>
      <c r="E4127" s="461" t="s">
        <v>161</v>
      </c>
      <c r="F4127" s="461" t="s">
        <v>8326</v>
      </c>
    </row>
    <row r="4128" spans="1:6" ht="30" x14ac:dyDescent="0.25">
      <c r="A4128" s="461">
        <v>10935</v>
      </c>
      <c r="B4128" s="460" t="s">
        <v>12122</v>
      </c>
      <c r="C4128" s="461" t="s">
        <v>1106</v>
      </c>
      <c r="D4128" s="461">
        <v>46.59</v>
      </c>
      <c r="E4128" s="461" t="s">
        <v>161</v>
      </c>
      <c r="F4128" s="461" t="s">
        <v>8326</v>
      </c>
    </row>
    <row r="4129" spans="1:6" ht="30" x14ac:dyDescent="0.25">
      <c r="A4129" s="461">
        <v>10931</v>
      </c>
      <c r="B4129" s="460" t="s">
        <v>12123</v>
      </c>
      <c r="C4129" s="461" t="s">
        <v>1106</v>
      </c>
      <c r="D4129" s="461">
        <v>13.1</v>
      </c>
      <c r="E4129" s="461" t="s">
        <v>161</v>
      </c>
      <c r="F4129" s="461" t="s">
        <v>8326</v>
      </c>
    </row>
    <row r="4130" spans="1:6" ht="15" x14ac:dyDescent="0.25">
      <c r="A4130" s="461">
        <v>7164</v>
      </c>
      <c r="B4130" s="460" t="s">
        <v>12124</v>
      </c>
      <c r="C4130" s="461" t="s">
        <v>1106</v>
      </c>
      <c r="D4130" s="461">
        <v>43.37</v>
      </c>
      <c r="E4130" s="461" t="s">
        <v>161</v>
      </c>
      <c r="F4130" s="461" t="s">
        <v>8326</v>
      </c>
    </row>
    <row r="4131" spans="1:6" ht="15" x14ac:dyDescent="0.25">
      <c r="A4131" s="461">
        <v>36887</v>
      </c>
      <c r="B4131" s="460" t="s">
        <v>12125</v>
      </c>
      <c r="C4131" s="461" t="s">
        <v>1106</v>
      </c>
      <c r="D4131" s="461">
        <v>11.59</v>
      </c>
      <c r="E4131" s="461" t="s">
        <v>161</v>
      </c>
      <c r="F4131" s="461" t="s">
        <v>8326</v>
      </c>
    </row>
    <row r="4132" spans="1:6" ht="45" x14ac:dyDescent="0.25">
      <c r="A4132" s="461">
        <v>34630</v>
      </c>
      <c r="B4132" s="460" t="s">
        <v>12126</v>
      </c>
      <c r="C4132" s="461" t="s">
        <v>1104</v>
      </c>
      <c r="D4132" s="461">
        <v>794.37</v>
      </c>
      <c r="E4132" s="461" t="s">
        <v>161</v>
      </c>
      <c r="F4132" s="461" t="s">
        <v>8326</v>
      </c>
    </row>
    <row r="4133" spans="1:6" ht="15" x14ac:dyDescent="0.25">
      <c r="A4133" s="461">
        <v>7161</v>
      </c>
      <c r="B4133" s="460" t="s">
        <v>12127</v>
      </c>
      <c r="C4133" s="461" t="s">
        <v>1106</v>
      </c>
      <c r="D4133" s="461">
        <v>5.39</v>
      </c>
      <c r="E4133" s="461" t="s">
        <v>161</v>
      </c>
      <c r="F4133" s="461" t="s">
        <v>8326</v>
      </c>
    </row>
    <row r="4134" spans="1:6" ht="30" x14ac:dyDescent="0.25">
      <c r="A4134" s="461">
        <v>7170</v>
      </c>
      <c r="B4134" s="460" t="s">
        <v>12128</v>
      </c>
      <c r="C4134" s="461" t="s">
        <v>1106</v>
      </c>
      <c r="D4134" s="461">
        <v>2.8</v>
      </c>
      <c r="E4134" s="461" t="s">
        <v>161</v>
      </c>
      <c r="F4134" s="461" t="s">
        <v>8326</v>
      </c>
    </row>
    <row r="4135" spans="1:6" ht="30" x14ac:dyDescent="0.25">
      <c r="A4135" s="461">
        <v>37524</v>
      </c>
      <c r="B4135" s="460" t="s">
        <v>12129</v>
      </c>
      <c r="C4135" s="461" t="s">
        <v>1107</v>
      </c>
      <c r="D4135" s="461">
        <v>2.56</v>
      </c>
      <c r="E4135" s="461" t="s">
        <v>161</v>
      </c>
      <c r="F4135" s="461" t="s">
        <v>8333</v>
      </c>
    </row>
    <row r="4136" spans="1:6" ht="30" x14ac:dyDescent="0.25">
      <c r="A4136" s="461">
        <v>37525</v>
      </c>
      <c r="B4136" s="460" t="s">
        <v>12130</v>
      </c>
      <c r="C4136" s="461" t="s">
        <v>1107</v>
      </c>
      <c r="D4136" s="461">
        <v>3.5</v>
      </c>
      <c r="E4136" s="461" t="s">
        <v>161</v>
      </c>
      <c r="F4136" s="461" t="s">
        <v>8326</v>
      </c>
    </row>
    <row r="4137" spans="1:6" ht="30" x14ac:dyDescent="0.25">
      <c r="A4137" s="461">
        <v>36789</v>
      </c>
      <c r="B4137" s="460" t="s">
        <v>12131</v>
      </c>
      <c r="C4137" s="461" t="s">
        <v>1104</v>
      </c>
      <c r="D4137" s="461">
        <v>2.21</v>
      </c>
      <c r="E4137" s="461" t="s">
        <v>161</v>
      </c>
      <c r="F4137" s="461" t="s">
        <v>8326</v>
      </c>
    </row>
    <row r="4138" spans="1:6" ht="45" x14ac:dyDescent="0.25">
      <c r="A4138" s="461">
        <v>7173</v>
      </c>
      <c r="B4138" s="460" t="s">
        <v>12132</v>
      </c>
      <c r="C4138" s="461" t="s">
        <v>1113</v>
      </c>
      <c r="D4138" s="461">
        <v>1432.33</v>
      </c>
      <c r="E4138" s="461" t="s">
        <v>161</v>
      </c>
      <c r="F4138" s="461" t="s">
        <v>8333</v>
      </c>
    </row>
    <row r="4139" spans="1:6" ht="45" x14ac:dyDescent="0.25">
      <c r="A4139" s="461">
        <v>7175</v>
      </c>
      <c r="B4139" s="460" t="s">
        <v>13392</v>
      </c>
      <c r="C4139" s="461" t="s">
        <v>1104</v>
      </c>
      <c r="D4139" s="461">
        <v>1.62</v>
      </c>
      <c r="E4139" s="461" t="s">
        <v>161</v>
      </c>
      <c r="F4139" s="461" t="s">
        <v>8326</v>
      </c>
    </row>
    <row r="4140" spans="1:6" ht="30" x14ac:dyDescent="0.25">
      <c r="A4140" s="461">
        <v>40741</v>
      </c>
      <c r="B4140" s="460" t="s">
        <v>13393</v>
      </c>
      <c r="C4140" s="461" t="s">
        <v>1104</v>
      </c>
      <c r="D4140" s="461">
        <v>3.35</v>
      </c>
      <c r="E4140" s="461" t="s">
        <v>161</v>
      </c>
      <c r="F4140" s="461" t="s">
        <v>8326</v>
      </c>
    </row>
    <row r="4141" spans="1:6" ht="15" x14ac:dyDescent="0.25">
      <c r="A4141" s="461">
        <v>7184</v>
      </c>
      <c r="B4141" s="460" t="s">
        <v>12133</v>
      </c>
      <c r="C4141" s="461" t="s">
        <v>1106</v>
      </c>
      <c r="D4141" s="461">
        <v>52.54</v>
      </c>
      <c r="E4141" s="461" t="s">
        <v>161</v>
      </c>
      <c r="F4141" s="461" t="s">
        <v>8328</v>
      </c>
    </row>
    <row r="4142" spans="1:6" ht="15" x14ac:dyDescent="0.25">
      <c r="A4142" s="461">
        <v>34458</v>
      </c>
      <c r="B4142" s="460" t="s">
        <v>12134</v>
      </c>
      <c r="C4142" s="461" t="s">
        <v>1104</v>
      </c>
      <c r="D4142" s="461">
        <v>148.33000000000001</v>
      </c>
      <c r="E4142" s="461" t="s">
        <v>161</v>
      </c>
      <c r="F4142" s="461" t="s">
        <v>8326</v>
      </c>
    </row>
    <row r="4143" spans="1:6" ht="15" x14ac:dyDescent="0.25">
      <c r="A4143" s="461">
        <v>34464</v>
      </c>
      <c r="B4143" s="460" t="s">
        <v>12135</v>
      </c>
      <c r="C4143" s="461" t="s">
        <v>1104</v>
      </c>
      <c r="D4143" s="461">
        <v>220.79</v>
      </c>
      <c r="E4143" s="461" t="s">
        <v>161</v>
      </c>
      <c r="F4143" s="461" t="s">
        <v>8326</v>
      </c>
    </row>
    <row r="4144" spans="1:6" ht="15" x14ac:dyDescent="0.25">
      <c r="A4144" s="461">
        <v>34468</v>
      </c>
      <c r="B4144" s="460" t="s">
        <v>12136</v>
      </c>
      <c r="C4144" s="461" t="s">
        <v>1104</v>
      </c>
      <c r="D4144" s="461">
        <v>278.36</v>
      </c>
      <c r="E4144" s="461" t="s">
        <v>161</v>
      </c>
      <c r="F4144" s="461" t="s">
        <v>8326</v>
      </c>
    </row>
    <row r="4145" spans="1:6" ht="15" x14ac:dyDescent="0.25">
      <c r="A4145" s="461">
        <v>34473</v>
      </c>
      <c r="B4145" s="460" t="s">
        <v>12137</v>
      </c>
      <c r="C4145" s="461" t="s">
        <v>1104</v>
      </c>
      <c r="D4145" s="461">
        <v>168.86</v>
      </c>
      <c r="E4145" s="461" t="s">
        <v>161</v>
      </c>
      <c r="F4145" s="461" t="s">
        <v>8326</v>
      </c>
    </row>
    <row r="4146" spans="1:6" ht="15" x14ac:dyDescent="0.25">
      <c r="A4146" s="461">
        <v>34480</v>
      </c>
      <c r="B4146" s="460" t="s">
        <v>12138</v>
      </c>
      <c r="C4146" s="461" t="s">
        <v>1104</v>
      </c>
      <c r="D4146" s="461">
        <v>312.06</v>
      </c>
      <c r="E4146" s="461" t="s">
        <v>161</v>
      </c>
      <c r="F4146" s="461" t="s">
        <v>8326</v>
      </c>
    </row>
    <row r="4147" spans="1:6" ht="15" x14ac:dyDescent="0.25">
      <c r="A4147" s="461">
        <v>34486</v>
      </c>
      <c r="B4147" s="460" t="s">
        <v>12139</v>
      </c>
      <c r="C4147" s="461" t="s">
        <v>1104</v>
      </c>
      <c r="D4147" s="461">
        <v>369.47</v>
      </c>
      <c r="E4147" s="461" t="s">
        <v>161</v>
      </c>
      <c r="F4147" s="461" t="s">
        <v>8326</v>
      </c>
    </row>
    <row r="4148" spans="1:6" ht="15" x14ac:dyDescent="0.25">
      <c r="A4148" s="461">
        <v>7190</v>
      </c>
      <c r="B4148" s="460" t="s">
        <v>12140</v>
      </c>
      <c r="C4148" s="461" t="s">
        <v>1104</v>
      </c>
      <c r="D4148" s="461">
        <v>12.33</v>
      </c>
      <c r="E4148" s="461" t="s">
        <v>161</v>
      </c>
      <c r="F4148" s="461" t="s">
        <v>8326</v>
      </c>
    </row>
    <row r="4149" spans="1:6" ht="15" x14ac:dyDescent="0.25">
      <c r="A4149" s="461">
        <v>34417</v>
      </c>
      <c r="B4149" s="460" t="s">
        <v>12141</v>
      </c>
      <c r="C4149" s="461" t="s">
        <v>1104</v>
      </c>
      <c r="D4149" s="461">
        <v>19.739999999999998</v>
      </c>
      <c r="E4149" s="461" t="s">
        <v>161</v>
      </c>
      <c r="F4149" s="461" t="s">
        <v>8326</v>
      </c>
    </row>
    <row r="4150" spans="1:6" ht="15" x14ac:dyDescent="0.25">
      <c r="A4150" s="461">
        <v>7213</v>
      </c>
      <c r="B4150" s="460" t="s">
        <v>12142</v>
      </c>
      <c r="C4150" s="461" t="s">
        <v>1106</v>
      </c>
      <c r="D4150" s="461">
        <v>18.100000000000001</v>
      </c>
      <c r="E4150" s="461" t="s">
        <v>161</v>
      </c>
      <c r="F4150" s="461" t="s">
        <v>8326</v>
      </c>
    </row>
    <row r="4151" spans="1:6" ht="15" x14ac:dyDescent="0.25">
      <c r="A4151" s="461">
        <v>7195</v>
      </c>
      <c r="B4151" s="460" t="s">
        <v>12143</v>
      </c>
      <c r="C4151" s="461" t="s">
        <v>1104</v>
      </c>
      <c r="D4151" s="461">
        <v>53.15</v>
      </c>
      <c r="E4151" s="461" t="s">
        <v>161</v>
      </c>
      <c r="F4151" s="461" t="s">
        <v>8326</v>
      </c>
    </row>
    <row r="4152" spans="1:6" ht="15" x14ac:dyDescent="0.25">
      <c r="A4152" s="461">
        <v>7186</v>
      </c>
      <c r="B4152" s="460" t="s">
        <v>12144</v>
      </c>
      <c r="C4152" s="461" t="s">
        <v>1104</v>
      </c>
      <c r="D4152" s="461">
        <v>57.9</v>
      </c>
      <c r="E4152" s="461" t="s">
        <v>161</v>
      </c>
      <c r="F4152" s="461" t="s">
        <v>8333</v>
      </c>
    </row>
    <row r="4153" spans="1:6" ht="15" x14ac:dyDescent="0.25">
      <c r="A4153" s="461">
        <v>7194</v>
      </c>
      <c r="B4153" s="460" t="s">
        <v>12145</v>
      </c>
      <c r="C4153" s="461" t="s">
        <v>1106</v>
      </c>
      <c r="D4153" s="461">
        <v>26.69</v>
      </c>
      <c r="E4153" s="461" t="s">
        <v>161</v>
      </c>
      <c r="F4153" s="461" t="s">
        <v>8326</v>
      </c>
    </row>
    <row r="4154" spans="1:6" ht="15" x14ac:dyDescent="0.25">
      <c r="A4154" s="461">
        <v>7197</v>
      </c>
      <c r="B4154" s="460" t="s">
        <v>12146</v>
      </c>
      <c r="C4154" s="461" t="s">
        <v>1104</v>
      </c>
      <c r="D4154" s="461">
        <v>112.67</v>
      </c>
      <c r="E4154" s="461" t="s">
        <v>161</v>
      </c>
      <c r="F4154" s="461" t="s">
        <v>8326</v>
      </c>
    </row>
    <row r="4155" spans="1:6" ht="15" x14ac:dyDescent="0.25">
      <c r="A4155" s="461">
        <v>7192</v>
      </c>
      <c r="B4155" s="460" t="s">
        <v>12147</v>
      </c>
      <c r="C4155" s="461" t="s">
        <v>1104</v>
      </c>
      <c r="D4155" s="461">
        <v>100.94</v>
      </c>
      <c r="E4155" s="461" t="s">
        <v>161</v>
      </c>
      <c r="F4155" s="461" t="s">
        <v>8326</v>
      </c>
    </row>
    <row r="4156" spans="1:6" ht="15" x14ac:dyDescent="0.25">
      <c r="A4156" s="461">
        <v>7193</v>
      </c>
      <c r="B4156" s="460" t="s">
        <v>12148</v>
      </c>
      <c r="C4156" s="461" t="s">
        <v>1104</v>
      </c>
      <c r="D4156" s="461">
        <v>113.65</v>
      </c>
      <c r="E4156" s="461" t="s">
        <v>161</v>
      </c>
      <c r="F4156" s="461" t="s">
        <v>8326</v>
      </c>
    </row>
    <row r="4157" spans="1:6" ht="15" x14ac:dyDescent="0.25">
      <c r="A4157" s="461">
        <v>7189</v>
      </c>
      <c r="B4157" s="460" t="s">
        <v>12149</v>
      </c>
      <c r="C4157" s="461" t="s">
        <v>1104</v>
      </c>
      <c r="D4157" s="461">
        <v>132.07</v>
      </c>
      <c r="E4157" s="461" t="s">
        <v>161</v>
      </c>
      <c r="F4157" s="461" t="s">
        <v>8326</v>
      </c>
    </row>
    <row r="4158" spans="1:6" ht="15" x14ac:dyDescent="0.25">
      <c r="A4158" s="461">
        <v>34402</v>
      </c>
      <c r="B4158" s="460" t="s">
        <v>12150</v>
      </c>
      <c r="C4158" s="461" t="s">
        <v>1104</v>
      </c>
      <c r="D4158" s="511">
        <v>186.46</v>
      </c>
      <c r="E4158" s="461" t="s">
        <v>161</v>
      </c>
      <c r="F4158" s="461" t="s">
        <v>8326</v>
      </c>
    </row>
    <row r="4159" spans="1:6" ht="15" x14ac:dyDescent="0.25">
      <c r="A4159" s="461">
        <v>7245</v>
      </c>
      <c r="B4159" s="460" t="s">
        <v>12151</v>
      </c>
      <c r="C4159" s="461" t="s">
        <v>1104</v>
      </c>
      <c r="D4159" s="461">
        <v>48.36</v>
      </c>
      <c r="E4159" s="461" t="s">
        <v>161</v>
      </c>
      <c r="F4159" s="461" t="s">
        <v>8326</v>
      </c>
    </row>
    <row r="4160" spans="1:6" ht="15" x14ac:dyDescent="0.25">
      <c r="A4160" s="461">
        <v>34425</v>
      </c>
      <c r="B4160" s="460" t="s">
        <v>12152</v>
      </c>
      <c r="C4160" s="461" t="s">
        <v>1104</v>
      </c>
      <c r="D4160" s="461">
        <v>119.78</v>
      </c>
      <c r="E4160" s="461" t="s">
        <v>161</v>
      </c>
      <c r="F4160" s="461" t="s">
        <v>8326</v>
      </c>
    </row>
    <row r="4161" spans="1:6" ht="15" x14ac:dyDescent="0.25">
      <c r="A4161" s="461">
        <v>7223</v>
      </c>
      <c r="B4161" s="460" t="s">
        <v>12153</v>
      </c>
      <c r="C4161" s="461" t="s">
        <v>1104</v>
      </c>
      <c r="D4161" s="461">
        <v>133.47999999999999</v>
      </c>
      <c r="E4161" s="461" t="s">
        <v>161</v>
      </c>
      <c r="F4161" s="461" t="s">
        <v>8326</v>
      </c>
    </row>
    <row r="4162" spans="1:6" ht="15" x14ac:dyDescent="0.25">
      <c r="A4162" s="461">
        <v>7234</v>
      </c>
      <c r="B4162" s="460" t="s">
        <v>12154</v>
      </c>
      <c r="C4162" s="461" t="s">
        <v>1104</v>
      </c>
      <c r="D4162" s="461">
        <v>201.43</v>
      </c>
      <c r="E4162" s="461" t="s">
        <v>161</v>
      </c>
      <c r="F4162" s="461" t="s">
        <v>8326</v>
      </c>
    </row>
    <row r="4163" spans="1:6" ht="15" x14ac:dyDescent="0.25">
      <c r="A4163" s="461">
        <v>7224</v>
      </c>
      <c r="B4163" s="460" t="s">
        <v>12155</v>
      </c>
      <c r="C4163" s="461" t="s">
        <v>1104</v>
      </c>
      <c r="D4163" s="461">
        <v>245.39</v>
      </c>
      <c r="E4163" s="461" t="s">
        <v>161</v>
      </c>
      <c r="F4163" s="461" t="s">
        <v>8326</v>
      </c>
    </row>
    <row r="4164" spans="1:6" ht="15" x14ac:dyDescent="0.25">
      <c r="A4164" s="461">
        <v>7225</v>
      </c>
      <c r="B4164" s="460" t="s">
        <v>12156</v>
      </c>
      <c r="C4164" s="461" t="s">
        <v>1104</v>
      </c>
      <c r="D4164" s="461">
        <v>263.12</v>
      </c>
      <c r="E4164" s="461" t="s">
        <v>161</v>
      </c>
      <c r="F4164" s="461" t="s">
        <v>8326</v>
      </c>
    </row>
    <row r="4165" spans="1:6" ht="15" x14ac:dyDescent="0.25">
      <c r="A4165" s="461">
        <v>7226</v>
      </c>
      <c r="B4165" s="460" t="s">
        <v>12157</v>
      </c>
      <c r="C4165" s="461" t="s">
        <v>1104</v>
      </c>
      <c r="D4165" s="461">
        <v>280.79000000000002</v>
      </c>
      <c r="E4165" s="461" t="s">
        <v>161</v>
      </c>
      <c r="F4165" s="461" t="s">
        <v>8326</v>
      </c>
    </row>
    <row r="4166" spans="1:6" ht="15" x14ac:dyDescent="0.25">
      <c r="A4166" s="461">
        <v>7227</v>
      </c>
      <c r="B4166" s="460" t="s">
        <v>12158</v>
      </c>
      <c r="C4166" s="461" t="s">
        <v>1104</v>
      </c>
      <c r="D4166" s="461">
        <v>319.61</v>
      </c>
      <c r="E4166" s="461" t="s">
        <v>161</v>
      </c>
      <c r="F4166" s="461" t="s">
        <v>8326</v>
      </c>
    </row>
    <row r="4167" spans="1:6" ht="15" x14ac:dyDescent="0.25">
      <c r="A4167" s="461">
        <v>7212</v>
      </c>
      <c r="B4167" s="460" t="s">
        <v>12159</v>
      </c>
      <c r="C4167" s="461" t="s">
        <v>1104</v>
      </c>
      <c r="D4167" s="461">
        <v>351.17</v>
      </c>
      <c r="E4167" s="461" t="s">
        <v>161</v>
      </c>
      <c r="F4167" s="461" t="s">
        <v>8326</v>
      </c>
    </row>
    <row r="4168" spans="1:6" ht="15" x14ac:dyDescent="0.25">
      <c r="A4168" s="461">
        <v>7229</v>
      </c>
      <c r="B4168" s="460" t="s">
        <v>12160</v>
      </c>
      <c r="C4168" s="461" t="s">
        <v>1104</v>
      </c>
      <c r="D4168" s="461">
        <v>222.6</v>
      </c>
      <c r="E4168" s="461" t="s">
        <v>161</v>
      </c>
      <c r="F4168" s="461" t="s">
        <v>8326</v>
      </c>
    </row>
    <row r="4169" spans="1:6" ht="15" x14ac:dyDescent="0.25">
      <c r="A4169" s="461">
        <v>7230</v>
      </c>
      <c r="B4169" s="460" t="s">
        <v>12161</v>
      </c>
      <c r="C4169" s="461" t="s">
        <v>1104</v>
      </c>
      <c r="D4169" s="461">
        <v>370.58</v>
      </c>
      <c r="E4169" s="461" t="s">
        <v>161</v>
      </c>
      <c r="F4169" s="461" t="s">
        <v>8326</v>
      </c>
    </row>
    <row r="4170" spans="1:6" ht="15" x14ac:dyDescent="0.25">
      <c r="A4170" s="461">
        <v>7231</v>
      </c>
      <c r="B4170" s="460" t="s">
        <v>12162</v>
      </c>
      <c r="C4170" s="461" t="s">
        <v>1104</v>
      </c>
      <c r="D4170" s="461">
        <v>525.70000000000005</v>
      </c>
      <c r="E4170" s="461" t="s">
        <v>161</v>
      </c>
      <c r="F4170" s="461" t="s">
        <v>8326</v>
      </c>
    </row>
    <row r="4171" spans="1:6" ht="15" x14ac:dyDescent="0.25">
      <c r="A4171" s="461">
        <v>7220</v>
      </c>
      <c r="B4171" s="460" t="s">
        <v>12163</v>
      </c>
      <c r="C4171" s="461" t="s">
        <v>1104</v>
      </c>
      <c r="D4171" s="461">
        <v>648.91999999999996</v>
      </c>
      <c r="E4171" s="461" t="s">
        <v>161</v>
      </c>
      <c r="F4171" s="461" t="s">
        <v>8326</v>
      </c>
    </row>
    <row r="4172" spans="1:6" ht="15" x14ac:dyDescent="0.25">
      <c r="A4172" s="461">
        <v>34447</v>
      </c>
      <c r="B4172" s="460" t="s">
        <v>12164</v>
      </c>
      <c r="C4172" s="461" t="s">
        <v>1104</v>
      </c>
      <c r="D4172" s="461">
        <v>725.59</v>
      </c>
      <c r="E4172" s="461" t="s">
        <v>161</v>
      </c>
      <c r="F4172" s="461" t="s">
        <v>8326</v>
      </c>
    </row>
    <row r="4173" spans="1:6" ht="15" x14ac:dyDescent="0.25">
      <c r="A4173" s="461">
        <v>7233</v>
      </c>
      <c r="B4173" s="460" t="s">
        <v>12165</v>
      </c>
      <c r="C4173" s="461" t="s">
        <v>1104</v>
      </c>
      <c r="D4173" s="461">
        <v>832.37</v>
      </c>
      <c r="E4173" s="461" t="s">
        <v>161</v>
      </c>
      <c r="F4173" s="461" t="s">
        <v>8326</v>
      </c>
    </row>
    <row r="4174" spans="1:6" ht="60" x14ac:dyDescent="0.25">
      <c r="A4174" s="461">
        <v>40740</v>
      </c>
      <c r="B4174" s="460" t="s">
        <v>12166</v>
      </c>
      <c r="C4174" s="461" t="s">
        <v>1106</v>
      </c>
      <c r="D4174" s="461">
        <v>148.52000000000001</v>
      </c>
      <c r="E4174" s="461" t="s">
        <v>161</v>
      </c>
      <c r="F4174" s="461" t="s">
        <v>8328</v>
      </c>
    </row>
    <row r="4175" spans="1:6" ht="30" x14ac:dyDescent="0.25">
      <c r="A4175" s="461">
        <v>25007</v>
      </c>
      <c r="B4175" s="460" t="s">
        <v>12167</v>
      </c>
      <c r="C4175" s="461" t="s">
        <v>1106</v>
      </c>
      <c r="D4175" s="461">
        <v>42.5</v>
      </c>
      <c r="E4175" s="461" t="s">
        <v>161</v>
      </c>
      <c r="F4175" s="461" t="s">
        <v>8328</v>
      </c>
    </row>
    <row r="4176" spans="1:6" ht="60" x14ac:dyDescent="0.25">
      <c r="A4176" s="461">
        <v>43071</v>
      </c>
      <c r="B4176" s="460" t="s">
        <v>12168</v>
      </c>
      <c r="C4176" s="461" t="s">
        <v>1106</v>
      </c>
      <c r="D4176" s="461">
        <v>167.24</v>
      </c>
      <c r="E4176" s="461" t="s">
        <v>161</v>
      </c>
      <c r="F4176" s="461" t="s">
        <v>8328</v>
      </c>
    </row>
    <row r="4177" spans="1:6" ht="60" x14ac:dyDescent="0.25">
      <c r="A4177" s="461">
        <v>39520</v>
      </c>
      <c r="B4177" s="460" t="s">
        <v>12169</v>
      </c>
      <c r="C4177" s="461" t="s">
        <v>1106</v>
      </c>
      <c r="D4177" s="461">
        <v>136.44</v>
      </c>
      <c r="E4177" s="461" t="s">
        <v>161</v>
      </c>
      <c r="F4177" s="461" t="s">
        <v>8328</v>
      </c>
    </row>
    <row r="4178" spans="1:6" ht="60" x14ac:dyDescent="0.25">
      <c r="A4178" s="461">
        <v>39521</v>
      </c>
      <c r="B4178" s="460" t="s">
        <v>12170</v>
      </c>
      <c r="C4178" s="461" t="s">
        <v>1106</v>
      </c>
      <c r="D4178" s="461">
        <v>140.9</v>
      </c>
      <c r="E4178" s="461" t="s">
        <v>161</v>
      </c>
      <c r="F4178" s="461" t="s">
        <v>8328</v>
      </c>
    </row>
    <row r="4179" spans="1:6" ht="60" x14ac:dyDescent="0.25">
      <c r="A4179" s="461">
        <v>39522</v>
      </c>
      <c r="B4179" s="460" t="s">
        <v>12171</v>
      </c>
      <c r="C4179" s="461" t="s">
        <v>1106</v>
      </c>
      <c r="D4179" s="461">
        <v>145.49</v>
      </c>
      <c r="E4179" s="461" t="s">
        <v>161</v>
      </c>
      <c r="F4179" s="461" t="s">
        <v>8328</v>
      </c>
    </row>
    <row r="4180" spans="1:6" ht="30" x14ac:dyDescent="0.25">
      <c r="A4180" s="461">
        <v>7243</v>
      </c>
      <c r="B4180" s="460" t="s">
        <v>12172</v>
      </c>
      <c r="C4180" s="461" t="s">
        <v>1106</v>
      </c>
      <c r="D4180" s="461">
        <v>44.41</v>
      </c>
      <c r="E4180" s="461" t="s">
        <v>161</v>
      </c>
      <c r="F4180" s="461" t="s">
        <v>8328</v>
      </c>
    </row>
    <row r="4181" spans="1:6" ht="30" x14ac:dyDescent="0.25">
      <c r="A4181" s="461">
        <v>11067</v>
      </c>
      <c r="B4181" s="460" t="s">
        <v>12173</v>
      </c>
      <c r="C4181" s="461" t="s">
        <v>1104</v>
      </c>
      <c r="D4181" s="461">
        <v>379.55</v>
      </c>
      <c r="E4181" s="461" t="s">
        <v>161</v>
      </c>
      <c r="F4181" s="461" t="s">
        <v>8328</v>
      </c>
    </row>
    <row r="4182" spans="1:6" ht="30" x14ac:dyDescent="0.25">
      <c r="A4182" s="461">
        <v>11068</v>
      </c>
      <c r="B4182" s="460" t="s">
        <v>12174</v>
      </c>
      <c r="C4182" s="461" t="s">
        <v>1104</v>
      </c>
      <c r="D4182" s="461">
        <v>479.5</v>
      </c>
      <c r="E4182" s="461" t="s">
        <v>161</v>
      </c>
      <c r="F4182" s="461" t="s">
        <v>8328</v>
      </c>
    </row>
    <row r="4183" spans="1:6" ht="15" x14ac:dyDescent="0.25">
      <c r="A4183" s="461">
        <v>7246</v>
      </c>
      <c r="B4183" s="460" t="s">
        <v>12175</v>
      </c>
      <c r="C4183" s="461" t="s">
        <v>1104</v>
      </c>
      <c r="D4183" s="461">
        <v>53.4</v>
      </c>
      <c r="E4183" s="461" t="s">
        <v>161</v>
      </c>
      <c r="F4183" s="461" t="s">
        <v>8326</v>
      </c>
    </row>
    <row r="4184" spans="1:6" ht="15" x14ac:dyDescent="0.25">
      <c r="A4184" s="461">
        <v>12869</v>
      </c>
      <c r="B4184" s="460" t="s">
        <v>13394</v>
      </c>
      <c r="C4184" s="461" t="s">
        <v>1103</v>
      </c>
      <c r="D4184" s="461">
        <v>21.56</v>
      </c>
      <c r="E4184" s="461" t="s">
        <v>4455</v>
      </c>
      <c r="F4184" s="461" t="s">
        <v>8326</v>
      </c>
    </row>
    <row r="4185" spans="1:6" ht="15" x14ac:dyDescent="0.25">
      <c r="A4185" s="461">
        <v>41097</v>
      </c>
      <c r="B4185" s="460" t="s">
        <v>13395</v>
      </c>
      <c r="C4185" s="461" t="s">
        <v>1110</v>
      </c>
      <c r="D4185" s="461">
        <v>3840.57</v>
      </c>
      <c r="E4185" s="461" t="s">
        <v>4455</v>
      </c>
      <c r="F4185" s="461" t="s">
        <v>8326</v>
      </c>
    </row>
    <row r="4186" spans="1:6" ht="30" x14ac:dyDescent="0.25">
      <c r="A4186" s="461">
        <v>1574</v>
      </c>
      <c r="B4186" s="460" t="s">
        <v>12176</v>
      </c>
      <c r="C4186" s="461" t="s">
        <v>1104</v>
      </c>
      <c r="D4186" s="461">
        <v>1.73</v>
      </c>
      <c r="E4186" s="461" t="s">
        <v>161</v>
      </c>
      <c r="F4186" s="461" t="s">
        <v>8326</v>
      </c>
    </row>
    <row r="4187" spans="1:6" ht="30" x14ac:dyDescent="0.25">
      <c r="A4187" s="461">
        <v>1581</v>
      </c>
      <c r="B4187" s="460" t="s">
        <v>12177</v>
      </c>
      <c r="C4187" s="461" t="s">
        <v>1104</v>
      </c>
      <c r="D4187" s="461">
        <v>12.04</v>
      </c>
      <c r="E4187" s="461" t="s">
        <v>161</v>
      </c>
      <c r="F4187" s="461" t="s">
        <v>8326</v>
      </c>
    </row>
    <row r="4188" spans="1:6" ht="30" x14ac:dyDescent="0.25">
      <c r="A4188" s="461">
        <v>1575</v>
      </c>
      <c r="B4188" s="460" t="s">
        <v>12178</v>
      </c>
      <c r="C4188" s="461" t="s">
        <v>1104</v>
      </c>
      <c r="D4188" s="461">
        <v>2.06</v>
      </c>
      <c r="E4188" s="461" t="s">
        <v>161</v>
      </c>
      <c r="F4188" s="461" t="s">
        <v>8326</v>
      </c>
    </row>
    <row r="4189" spans="1:6" ht="30" x14ac:dyDescent="0.25">
      <c r="A4189" s="461">
        <v>1570</v>
      </c>
      <c r="B4189" s="460" t="s">
        <v>12179</v>
      </c>
      <c r="C4189" s="461" t="s">
        <v>1104</v>
      </c>
      <c r="D4189" s="461">
        <v>1.03</v>
      </c>
      <c r="E4189" s="461" t="s">
        <v>161</v>
      </c>
      <c r="F4189" s="461" t="s">
        <v>8326</v>
      </c>
    </row>
    <row r="4190" spans="1:6" ht="30" x14ac:dyDescent="0.25">
      <c r="A4190" s="461">
        <v>1576</v>
      </c>
      <c r="B4190" s="460" t="s">
        <v>12180</v>
      </c>
      <c r="C4190" s="461" t="s">
        <v>1104</v>
      </c>
      <c r="D4190" s="461">
        <v>2.85</v>
      </c>
      <c r="E4190" s="461" t="s">
        <v>161</v>
      </c>
      <c r="F4190" s="461" t="s">
        <v>8326</v>
      </c>
    </row>
    <row r="4191" spans="1:6" ht="30" x14ac:dyDescent="0.25">
      <c r="A4191" s="461">
        <v>1577</v>
      </c>
      <c r="B4191" s="460" t="s">
        <v>12181</v>
      </c>
      <c r="C4191" s="461" t="s">
        <v>1104</v>
      </c>
      <c r="D4191" s="461">
        <v>3.21</v>
      </c>
      <c r="E4191" s="461" t="s">
        <v>161</v>
      </c>
      <c r="F4191" s="461" t="s">
        <v>8326</v>
      </c>
    </row>
    <row r="4192" spans="1:6" ht="30" x14ac:dyDescent="0.25">
      <c r="A4192" s="461">
        <v>1571</v>
      </c>
      <c r="B4192" s="460" t="s">
        <v>12182</v>
      </c>
      <c r="C4192" s="461" t="s">
        <v>1104</v>
      </c>
      <c r="D4192" s="461">
        <v>1.34</v>
      </c>
      <c r="E4192" s="461" t="s">
        <v>161</v>
      </c>
      <c r="F4192" s="461" t="s">
        <v>8326</v>
      </c>
    </row>
    <row r="4193" spans="1:6" ht="30" x14ac:dyDescent="0.25">
      <c r="A4193" s="461">
        <v>1578</v>
      </c>
      <c r="B4193" s="460" t="s">
        <v>12183</v>
      </c>
      <c r="C4193" s="461" t="s">
        <v>1104</v>
      </c>
      <c r="D4193" s="461">
        <v>5.58</v>
      </c>
      <c r="E4193" s="461" t="s">
        <v>161</v>
      </c>
      <c r="F4193" s="461" t="s">
        <v>8326</v>
      </c>
    </row>
    <row r="4194" spans="1:6" ht="30" x14ac:dyDescent="0.25">
      <c r="A4194" s="461">
        <v>1573</v>
      </c>
      <c r="B4194" s="460" t="s">
        <v>12184</v>
      </c>
      <c r="C4194" s="461" t="s">
        <v>1104</v>
      </c>
      <c r="D4194" s="461">
        <v>1.6</v>
      </c>
      <c r="E4194" s="461" t="s">
        <v>161</v>
      </c>
      <c r="F4194" s="461" t="s">
        <v>8326</v>
      </c>
    </row>
    <row r="4195" spans="1:6" ht="30" x14ac:dyDescent="0.25">
      <c r="A4195" s="461">
        <v>1579</v>
      </c>
      <c r="B4195" s="460" t="s">
        <v>12185</v>
      </c>
      <c r="C4195" s="461" t="s">
        <v>1104</v>
      </c>
      <c r="D4195" s="461">
        <v>6.95</v>
      </c>
      <c r="E4195" s="461" t="s">
        <v>161</v>
      </c>
      <c r="F4195" s="461" t="s">
        <v>8326</v>
      </c>
    </row>
    <row r="4196" spans="1:6" ht="30" x14ac:dyDescent="0.25">
      <c r="A4196" s="461">
        <v>1580</v>
      </c>
      <c r="B4196" s="460" t="s">
        <v>12186</v>
      </c>
      <c r="C4196" s="461" t="s">
        <v>1104</v>
      </c>
      <c r="D4196" s="461">
        <v>8.56</v>
      </c>
      <c r="E4196" s="461" t="s">
        <v>161</v>
      </c>
      <c r="F4196" s="461" t="s">
        <v>8326</v>
      </c>
    </row>
    <row r="4197" spans="1:6" ht="15" x14ac:dyDescent="0.25">
      <c r="A4197" s="461">
        <v>39321</v>
      </c>
      <c r="B4197" s="460" t="s">
        <v>12187</v>
      </c>
      <c r="C4197" s="461" t="s">
        <v>1104</v>
      </c>
      <c r="D4197" s="461">
        <v>18.38</v>
      </c>
      <c r="E4197" s="461" t="s">
        <v>161</v>
      </c>
      <c r="F4197" s="461" t="s">
        <v>8326</v>
      </c>
    </row>
    <row r="4198" spans="1:6" ht="15" x14ac:dyDescent="0.25">
      <c r="A4198" s="461">
        <v>39319</v>
      </c>
      <c r="B4198" s="460" t="s">
        <v>12188</v>
      </c>
      <c r="C4198" s="461" t="s">
        <v>1104</v>
      </c>
      <c r="D4198" s="461">
        <v>7.65</v>
      </c>
      <c r="E4198" s="461" t="s">
        <v>161</v>
      </c>
      <c r="F4198" s="461" t="s">
        <v>8326</v>
      </c>
    </row>
    <row r="4199" spans="1:6" ht="15" x14ac:dyDescent="0.25">
      <c r="A4199" s="461">
        <v>39320</v>
      </c>
      <c r="B4199" s="460" t="s">
        <v>12189</v>
      </c>
      <c r="C4199" s="461" t="s">
        <v>1104</v>
      </c>
      <c r="D4199" s="461">
        <v>14.7</v>
      </c>
      <c r="E4199" s="461" t="s">
        <v>161</v>
      </c>
      <c r="F4199" s="461" t="s">
        <v>8326</v>
      </c>
    </row>
    <row r="4200" spans="1:6" ht="15" x14ac:dyDescent="0.25">
      <c r="A4200" s="461">
        <v>1591</v>
      </c>
      <c r="B4200" s="460" t="s">
        <v>12190</v>
      </c>
      <c r="C4200" s="461" t="s">
        <v>1104</v>
      </c>
      <c r="D4200" s="461">
        <v>26.55</v>
      </c>
      <c r="E4200" s="461" t="s">
        <v>161</v>
      </c>
      <c r="F4200" s="461" t="s">
        <v>8326</v>
      </c>
    </row>
    <row r="4201" spans="1:6" ht="30" x14ac:dyDescent="0.25">
      <c r="A4201" s="461">
        <v>1547</v>
      </c>
      <c r="B4201" s="460" t="s">
        <v>12191</v>
      </c>
      <c r="C4201" s="461" t="s">
        <v>1104</v>
      </c>
      <c r="D4201" s="461">
        <v>139.11000000000001</v>
      </c>
      <c r="E4201" s="461" t="s">
        <v>161</v>
      </c>
      <c r="F4201" s="461" t="s">
        <v>8326</v>
      </c>
    </row>
    <row r="4202" spans="1:6" ht="15" x14ac:dyDescent="0.25">
      <c r="A4202" s="461">
        <v>38196</v>
      </c>
      <c r="B4202" s="460" t="s">
        <v>12192</v>
      </c>
      <c r="C4202" s="461" t="s">
        <v>1104</v>
      </c>
      <c r="D4202" s="461">
        <v>27.09</v>
      </c>
      <c r="E4202" s="461" t="s">
        <v>161</v>
      </c>
      <c r="F4202" s="461" t="s">
        <v>8326</v>
      </c>
    </row>
    <row r="4203" spans="1:6" ht="30" x14ac:dyDescent="0.25">
      <c r="A4203" s="461">
        <v>1543</v>
      </c>
      <c r="B4203" s="460" t="s">
        <v>12193</v>
      </c>
      <c r="C4203" s="461" t="s">
        <v>1104</v>
      </c>
      <c r="D4203" s="461">
        <v>28.79</v>
      </c>
      <c r="E4203" s="461" t="s">
        <v>161</v>
      </c>
      <c r="F4203" s="461" t="s">
        <v>8326</v>
      </c>
    </row>
    <row r="4204" spans="1:6" ht="15" x14ac:dyDescent="0.25">
      <c r="A4204" s="461">
        <v>1585</v>
      </c>
      <c r="B4204" s="460" t="s">
        <v>12194</v>
      </c>
      <c r="C4204" s="461" t="s">
        <v>1104</v>
      </c>
      <c r="D4204" s="511">
        <v>5.58</v>
      </c>
      <c r="E4204" s="461" t="s">
        <v>161</v>
      </c>
      <c r="F4204" s="461" t="s">
        <v>8326</v>
      </c>
    </row>
    <row r="4205" spans="1:6" ht="15" x14ac:dyDescent="0.25">
      <c r="A4205" s="461">
        <v>1593</v>
      </c>
      <c r="B4205" s="460" t="s">
        <v>12195</v>
      </c>
      <c r="C4205" s="461" t="s">
        <v>1104</v>
      </c>
      <c r="D4205" s="461">
        <v>29.61</v>
      </c>
      <c r="E4205" s="461" t="s">
        <v>161</v>
      </c>
      <c r="F4205" s="461" t="s">
        <v>8326</v>
      </c>
    </row>
    <row r="4206" spans="1:6" ht="15" x14ac:dyDescent="0.25">
      <c r="A4206" s="461">
        <v>11838</v>
      </c>
      <c r="B4206" s="460" t="s">
        <v>12196</v>
      </c>
      <c r="C4206" s="461" t="s">
        <v>1104</v>
      </c>
      <c r="D4206" s="461">
        <v>39.07</v>
      </c>
      <c r="E4206" s="461" t="s">
        <v>161</v>
      </c>
      <c r="F4206" s="461" t="s">
        <v>8326</v>
      </c>
    </row>
    <row r="4207" spans="1:6" ht="30" x14ac:dyDescent="0.25">
      <c r="A4207" s="461">
        <v>1594</v>
      </c>
      <c r="B4207" s="460" t="s">
        <v>12197</v>
      </c>
      <c r="C4207" s="461" t="s">
        <v>1104</v>
      </c>
      <c r="D4207" s="461">
        <v>39.5</v>
      </c>
      <c r="E4207" s="461" t="s">
        <v>161</v>
      </c>
      <c r="F4207" s="461" t="s">
        <v>8326</v>
      </c>
    </row>
    <row r="4208" spans="1:6" ht="15" x14ac:dyDescent="0.25">
      <c r="A4208" s="461">
        <v>1586</v>
      </c>
      <c r="B4208" s="460" t="s">
        <v>12198</v>
      </c>
      <c r="C4208" s="461" t="s">
        <v>1104</v>
      </c>
      <c r="D4208" s="461">
        <v>7.05</v>
      </c>
      <c r="E4208" s="461" t="s">
        <v>161</v>
      </c>
      <c r="F4208" s="461" t="s">
        <v>8326</v>
      </c>
    </row>
    <row r="4209" spans="1:6" ht="15" x14ac:dyDescent="0.25">
      <c r="A4209" s="461">
        <v>11839</v>
      </c>
      <c r="B4209" s="460" t="s">
        <v>12199</v>
      </c>
      <c r="C4209" s="461" t="s">
        <v>1104</v>
      </c>
      <c r="D4209" s="461">
        <v>56.85</v>
      </c>
      <c r="E4209" s="461" t="s">
        <v>161</v>
      </c>
      <c r="F4209" s="461" t="s">
        <v>8326</v>
      </c>
    </row>
    <row r="4210" spans="1:6" ht="15" x14ac:dyDescent="0.25">
      <c r="A4210" s="461">
        <v>1587</v>
      </c>
      <c r="B4210" s="460" t="s">
        <v>12200</v>
      </c>
      <c r="C4210" s="461" t="s">
        <v>1104</v>
      </c>
      <c r="D4210" s="461">
        <v>7.18</v>
      </c>
      <c r="E4210" s="461" t="s">
        <v>161</v>
      </c>
      <c r="F4210" s="461" t="s">
        <v>8326</v>
      </c>
    </row>
    <row r="4211" spans="1:6" ht="30" x14ac:dyDescent="0.25">
      <c r="A4211" s="461">
        <v>1545</v>
      </c>
      <c r="B4211" s="460" t="s">
        <v>12201</v>
      </c>
      <c r="C4211" s="461" t="s">
        <v>1104</v>
      </c>
      <c r="D4211" s="461">
        <v>68.22</v>
      </c>
      <c r="E4211" s="461" t="s">
        <v>161</v>
      </c>
      <c r="F4211" s="461" t="s">
        <v>8326</v>
      </c>
    </row>
    <row r="4212" spans="1:6" ht="15" x14ac:dyDescent="0.25">
      <c r="A4212" s="461">
        <v>1588</v>
      </c>
      <c r="B4212" s="460" t="s">
        <v>12202</v>
      </c>
      <c r="C4212" s="461" t="s">
        <v>1104</v>
      </c>
      <c r="D4212" s="461">
        <v>9.86</v>
      </c>
      <c r="E4212" s="461" t="s">
        <v>161</v>
      </c>
      <c r="F4212" s="461" t="s">
        <v>8326</v>
      </c>
    </row>
    <row r="4213" spans="1:6" ht="30" x14ac:dyDescent="0.25">
      <c r="A4213" s="461">
        <v>1535</v>
      </c>
      <c r="B4213" s="460" t="s">
        <v>12203</v>
      </c>
      <c r="C4213" s="461" t="s">
        <v>1104</v>
      </c>
      <c r="D4213" s="461">
        <v>5.68</v>
      </c>
      <c r="E4213" s="461" t="s">
        <v>161</v>
      </c>
      <c r="F4213" s="461" t="s">
        <v>8326</v>
      </c>
    </row>
    <row r="4214" spans="1:6" ht="15" x14ac:dyDescent="0.25">
      <c r="A4214" s="461">
        <v>1589</v>
      </c>
      <c r="B4214" s="460" t="s">
        <v>12204</v>
      </c>
      <c r="C4214" s="461" t="s">
        <v>1104</v>
      </c>
      <c r="D4214" s="461">
        <v>10.17</v>
      </c>
      <c r="E4214" s="461" t="s">
        <v>161</v>
      </c>
      <c r="F4214" s="461" t="s">
        <v>8326</v>
      </c>
    </row>
    <row r="4215" spans="1:6" ht="30" x14ac:dyDescent="0.25">
      <c r="A4215" s="461">
        <v>1546</v>
      </c>
      <c r="B4215" s="460" t="s">
        <v>12205</v>
      </c>
      <c r="C4215" s="461" t="s">
        <v>1104</v>
      </c>
      <c r="D4215" s="461">
        <v>115.11</v>
      </c>
      <c r="E4215" s="461" t="s">
        <v>161</v>
      </c>
      <c r="F4215" s="461" t="s">
        <v>8326</v>
      </c>
    </row>
    <row r="4216" spans="1:6" ht="15" x14ac:dyDescent="0.25">
      <c r="A4216" s="461">
        <v>1590</v>
      </c>
      <c r="B4216" s="460" t="s">
        <v>12206</v>
      </c>
      <c r="C4216" s="461" t="s">
        <v>1104</v>
      </c>
      <c r="D4216" s="461">
        <v>17.899999999999999</v>
      </c>
      <c r="E4216" s="461" t="s">
        <v>161</v>
      </c>
      <c r="F4216" s="461" t="s">
        <v>8326</v>
      </c>
    </row>
    <row r="4217" spans="1:6" ht="30" x14ac:dyDescent="0.25">
      <c r="A4217" s="461">
        <v>1542</v>
      </c>
      <c r="B4217" s="460" t="s">
        <v>12207</v>
      </c>
      <c r="C4217" s="461" t="s">
        <v>1104</v>
      </c>
      <c r="D4217" s="461">
        <v>23.72</v>
      </c>
      <c r="E4217" s="461" t="s">
        <v>161</v>
      </c>
      <c r="F4217" s="461" t="s">
        <v>8326</v>
      </c>
    </row>
    <row r="4218" spans="1:6" ht="30" x14ac:dyDescent="0.25">
      <c r="A4218" s="461">
        <v>38415</v>
      </c>
      <c r="B4218" s="460" t="s">
        <v>12208</v>
      </c>
      <c r="C4218" s="461" t="s">
        <v>1104</v>
      </c>
      <c r="D4218" s="461">
        <v>1140.6600000000001</v>
      </c>
      <c r="E4218" s="461" t="s">
        <v>161</v>
      </c>
      <c r="F4218" s="461" t="s">
        <v>8326</v>
      </c>
    </row>
    <row r="4219" spans="1:6" ht="30" x14ac:dyDescent="0.25">
      <c r="A4219" s="461">
        <v>38414</v>
      </c>
      <c r="B4219" s="460" t="s">
        <v>12209</v>
      </c>
      <c r="C4219" s="461" t="s">
        <v>1104</v>
      </c>
      <c r="D4219" s="461">
        <v>1600.92</v>
      </c>
      <c r="E4219" s="461" t="s">
        <v>161</v>
      </c>
      <c r="F4219" s="461" t="s">
        <v>8326</v>
      </c>
    </row>
    <row r="4220" spans="1:6" ht="15" x14ac:dyDescent="0.25">
      <c r="A4220" s="461">
        <v>38128</v>
      </c>
      <c r="B4220" s="460" t="s">
        <v>12210</v>
      </c>
      <c r="C4220" s="461" t="s">
        <v>1108</v>
      </c>
      <c r="D4220" s="461">
        <v>0.7</v>
      </c>
      <c r="E4220" s="461" t="s">
        <v>161</v>
      </c>
      <c r="F4220" s="461" t="s">
        <v>8333</v>
      </c>
    </row>
    <row r="4221" spans="1:6" ht="15" x14ac:dyDescent="0.25">
      <c r="A4221" s="461">
        <v>7253</v>
      </c>
      <c r="B4221" s="460" t="s">
        <v>12211</v>
      </c>
      <c r="C4221" s="461" t="s">
        <v>1105</v>
      </c>
      <c r="D4221" s="461">
        <v>150</v>
      </c>
      <c r="E4221" s="461" t="s">
        <v>161</v>
      </c>
      <c r="F4221" s="461" t="s">
        <v>8326</v>
      </c>
    </row>
    <row r="4222" spans="1:6" ht="15" x14ac:dyDescent="0.25">
      <c r="A4222" s="461">
        <v>4806</v>
      </c>
      <c r="B4222" s="460" t="s">
        <v>12212</v>
      </c>
      <c r="C4222" s="461" t="s">
        <v>1107</v>
      </c>
      <c r="D4222" s="461">
        <v>19.64</v>
      </c>
      <c r="E4222" s="461" t="s">
        <v>161</v>
      </c>
      <c r="F4222" s="461" t="s">
        <v>8326</v>
      </c>
    </row>
    <row r="4223" spans="1:6" ht="15" x14ac:dyDescent="0.25">
      <c r="A4223" s="461">
        <v>34401</v>
      </c>
      <c r="B4223" s="460" t="s">
        <v>12213</v>
      </c>
      <c r="C4223" s="461" t="s">
        <v>1104</v>
      </c>
      <c r="D4223" s="461">
        <v>1.86</v>
      </c>
      <c r="E4223" s="461" t="s">
        <v>161</v>
      </c>
      <c r="F4223" s="461" t="s">
        <v>8326</v>
      </c>
    </row>
    <row r="4224" spans="1:6" ht="15" x14ac:dyDescent="0.25">
      <c r="A4224" s="461">
        <v>7260</v>
      </c>
      <c r="B4224" s="460" t="s">
        <v>12214</v>
      </c>
      <c r="C4224" s="461" t="s">
        <v>1104</v>
      </c>
      <c r="D4224" s="461">
        <v>1.65</v>
      </c>
      <c r="E4224" s="461" t="s">
        <v>161</v>
      </c>
      <c r="F4224" s="461" t="s">
        <v>8326</v>
      </c>
    </row>
    <row r="4225" spans="1:6" ht="15" x14ac:dyDescent="0.25">
      <c r="A4225" s="461">
        <v>7256</v>
      </c>
      <c r="B4225" s="460" t="s">
        <v>13396</v>
      </c>
      <c r="C4225" s="461" t="s">
        <v>1104</v>
      </c>
      <c r="D4225" s="461">
        <v>1.63</v>
      </c>
      <c r="E4225" s="461" t="s">
        <v>161</v>
      </c>
      <c r="F4225" s="461" t="s">
        <v>8326</v>
      </c>
    </row>
    <row r="4226" spans="1:6" ht="15" x14ac:dyDescent="0.25">
      <c r="A4226" s="461">
        <v>7258</v>
      </c>
      <c r="B4226" s="460" t="s">
        <v>12215</v>
      </c>
      <c r="C4226" s="461" t="s">
        <v>1104</v>
      </c>
      <c r="D4226" s="461">
        <v>0.67</v>
      </c>
      <c r="E4226" s="461" t="s">
        <v>161</v>
      </c>
      <c r="F4226" s="461" t="s">
        <v>8326</v>
      </c>
    </row>
    <row r="4227" spans="1:6" ht="15" x14ac:dyDescent="0.25">
      <c r="A4227" s="461">
        <v>34400</v>
      </c>
      <c r="B4227" s="460" t="s">
        <v>12216</v>
      </c>
      <c r="C4227" s="461" t="s">
        <v>1104</v>
      </c>
      <c r="D4227" s="461">
        <v>2.87</v>
      </c>
      <c r="E4227" s="461" t="s">
        <v>161</v>
      </c>
      <c r="F4227" s="461" t="s">
        <v>8326</v>
      </c>
    </row>
    <row r="4228" spans="1:6" ht="15" x14ac:dyDescent="0.25">
      <c r="A4228" s="461">
        <v>10617</v>
      </c>
      <c r="B4228" s="460" t="s">
        <v>12217</v>
      </c>
      <c r="C4228" s="461" t="s">
        <v>1104</v>
      </c>
      <c r="D4228" s="461">
        <v>5.48</v>
      </c>
      <c r="E4228" s="461" t="s">
        <v>161</v>
      </c>
      <c r="F4228" s="461" t="s">
        <v>8326</v>
      </c>
    </row>
    <row r="4229" spans="1:6" ht="15" x14ac:dyDescent="0.25">
      <c r="A4229" s="461">
        <v>44261</v>
      </c>
      <c r="B4229" s="460" t="s">
        <v>12218</v>
      </c>
      <c r="C4229" s="461" t="s">
        <v>1104</v>
      </c>
      <c r="D4229" s="461">
        <v>122.11</v>
      </c>
      <c r="E4229" s="461" t="s">
        <v>161</v>
      </c>
      <c r="F4229" s="461" t="s">
        <v>8326</v>
      </c>
    </row>
    <row r="4230" spans="1:6" ht="30" x14ac:dyDescent="0.25">
      <c r="A4230" s="461">
        <v>7274</v>
      </c>
      <c r="B4230" s="460" t="s">
        <v>12219</v>
      </c>
      <c r="C4230" s="461" t="s">
        <v>1104</v>
      </c>
      <c r="D4230" s="461">
        <v>59.11</v>
      </c>
      <c r="E4230" s="461" t="s">
        <v>161</v>
      </c>
      <c r="F4230" s="461" t="s">
        <v>8326</v>
      </c>
    </row>
    <row r="4231" spans="1:6" ht="30" x14ac:dyDescent="0.25">
      <c r="A4231" s="461">
        <v>44326</v>
      </c>
      <c r="B4231" s="460" t="s">
        <v>12220</v>
      </c>
      <c r="C4231" s="461" t="s">
        <v>1104</v>
      </c>
      <c r="D4231" s="461">
        <v>1276.77</v>
      </c>
      <c r="E4231" s="461" t="s">
        <v>161</v>
      </c>
      <c r="F4231" s="461" t="s">
        <v>8326</v>
      </c>
    </row>
    <row r="4232" spans="1:6" ht="15" x14ac:dyDescent="0.25">
      <c r="A4232" s="461">
        <v>154</v>
      </c>
      <c r="B4232" s="460" t="s">
        <v>12221</v>
      </c>
      <c r="C4232" s="461" t="s">
        <v>1109</v>
      </c>
      <c r="D4232" s="461">
        <v>81.209999999999994</v>
      </c>
      <c r="E4232" s="461" t="s">
        <v>161</v>
      </c>
      <c r="F4232" s="461" t="s">
        <v>8326</v>
      </c>
    </row>
    <row r="4233" spans="1:6" ht="30" x14ac:dyDescent="0.25">
      <c r="A4233" s="461">
        <v>38121</v>
      </c>
      <c r="B4233" s="460" t="s">
        <v>12222</v>
      </c>
      <c r="C4233" s="461" t="s">
        <v>1109</v>
      </c>
      <c r="D4233" s="461">
        <v>21.16</v>
      </c>
      <c r="E4233" s="461" t="s">
        <v>161</v>
      </c>
      <c r="F4233" s="461" t="s">
        <v>8326</v>
      </c>
    </row>
    <row r="4234" spans="1:6" ht="15" x14ac:dyDescent="0.25">
      <c r="A4234" s="461">
        <v>43776</v>
      </c>
      <c r="B4234" s="460" t="s">
        <v>12223</v>
      </c>
      <c r="C4234" s="461" t="s">
        <v>1109</v>
      </c>
      <c r="D4234" s="461">
        <v>29.28</v>
      </c>
      <c r="E4234" s="461" t="s">
        <v>161</v>
      </c>
      <c r="F4234" s="461" t="s">
        <v>8326</v>
      </c>
    </row>
    <row r="4235" spans="1:6" ht="30" x14ac:dyDescent="0.25">
      <c r="A4235" s="461">
        <v>7343</v>
      </c>
      <c r="B4235" s="460" t="s">
        <v>12224</v>
      </c>
      <c r="C4235" s="461" t="s">
        <v>1109</v>
      </c>
      <c r="D4235" s="461">
        <v>18.72</v>
      </c>
      <c r="E4235" s="461" t="s">
        <v>161</v>
      </c>
      <c r="F4235" s="461" t="s">
        <v>8326</v>
      </c>
    </row>
    <row r="4236" spans="1:6" ht="15" x14ac:dyDescent="0.25">
      <c r="A4236" s="461">
        <v>7348</v>
      </c>
      <c r="B4236" s="460" t="s">
        <v>12225</v>
      </c>
      <c r="C4236" s="461" t="s">
        <v>1109</v>
      </c>
      <c r="D4236" s="461">
        <v>21.96</v>
      </c>
      <c r="E4236" s="461" t="s">
        <v>161</v>
      </c>
      <c r="F4236" s="461" t="s">
        <v>8326</v>
      </c>
    </row>
    <row r="4237" spans="1:6" ht="30" x14ac:dyDescent="0.25">
      <c r="A4237" s="461">
        <v>7313</v>
      </c>
      <c r="B4237" s="460" t="s">
        <v>12226</v>
      </c>
      <c r="C4237" s="461" t="s">
        <v>1109</v>
      </c>
      <c r="D4237" s="461">
        <v>23.56</v>
      </c>
      <c r="E4237" s="461" t="s">
        <v>161</v>
      </c>
      <c r="F4237" s="461" t="s">
        <v>8326</v>
      </c>
    </row>
    <row r="4238" spans="1:6" ht="30" x14ac:dyDescent="0.25">
      <c r="A4238" s="461">
        <v>7319</v>
      </c>
      <c r="B4238" s="460" t="s">
        <v>12227</v>
      </c>
      <c r="C4238" s="461" t="s">
        <v>1109</v>
      </c>
      <c r="D4238" s="511">
        <v>13.48</v>
      </c>
      <c r="E4238" s="461" t="s">
        <v>161</v>
      </c>
      <c r="F4238" s="461" t="s">
        <v>8326</v>
      </c>
    </row>
    <row r="4239" spans="1:6" ht="15" x14ac:dyDescent="0.25">
      <c r="A4239" s="461">
        <v>7314</v>
      </c>
      <c r="B4239" s="460" t="s">
        <v>12228</v>
      </c>
      <c r="C4239" s="461" t="s">
        <v>1109</v>
      </c>
      <c r="D4239" s="511">
        <v>83.79</v>
      </c>
      <c r="E4239" s="461" t="s">
        <v>161</v>
      </c>
      <c r="F4239" s="461" t="s">
        <v>8326</v>
      </c>
    </row>
    <row r="4240" spans="1:6" ht="15" x14ac:dyDescent="0.25">
      <c r="A4240" s="461">
        <v>7304</v>
      </c>
      <c r="B4240" s="460" t="s">
        <v>12229</v>
      </c>
      <c r="C4240" s="461" t="s">
        <v>1109</v>
      </c>
      <c r="D4240" s="461">
        <v>86.77</v>
      </c>
      <c r="E4240" s="461" t="s">
        <v>161</v>
      </c>
      <c r="F4240" s="461" t="s">
        <v>8326</v>
      </c>
    </row>
    <row r="4241" spans="1:6" ht="15" x14ac:dyDescent="0.25">
      <c r="A4241" s="461">
        <v>43649</v>
      </c>
      <c r="B4241" s="460" t="s">
        <v>12230</v>
      </c>
      <c r="C4241" s="461" t="s">
        <v>1109</v>
      </c>
      <c r="D4241" s="461">
        <v>44.88</v>
      </c>
      <c r="E4241" s="461" t="s">
        <v>161</v>
      </c>
      <c r="F4241" s="461" t="s">
        <v>8326</v>
      </c>
    </row>
    <row r="4242" spans="1:6" ht="15" x14ac:dyDescent="0.25">
      <c r="A4242" s="461">
        <v>43650</v>
      </c>
      <c r="B4242" s="460" t="s">
        <v>12231</v>
      </c>
      <c r="C4242" s="461" t="s">
        <v>1109</v>
      </c>
      <c r="D4242" s="461">
        <v>42.41</v>
      </c>
      <c r="E4242" s="461" t="s">
        <v>161</v>
      </c>
      <c r="F4242" s="461" t="s">
        <v>8326</v>
      </c>
    </row>
    <row r="4243" spans="1:6" ht="15" x14ac:dyDescent="0.25">
      <c r="A4243" s="461">
        <v>7311</v>
      </c>
      <c r="B4243" s="460" t="s">
        <v>12232</v>
      </c>
      <c r="C4243" s="461" t="s">
        <v>1109</v>
      </c>
      <c r="D4243" s="461">
        <v>43.44</v>
      </c>
      <c r="E4243" s="461" t="s">
        <v>161</v>
      </c>
      <c r="F4243" s="461" t="s">
        <v>8326</v>
      </c>
    </row>
    <row r="4244" spans="1:6" ht="15" x14ac:dyDescent="0.25">
      <c r="A4244" s="461">
        <v>7292</v>
      </c>
      <c r="B4244" s="460" t="s">
        <v>12233</v>
      </c>
      <c r="C4244" s="461" t="s">
        <v>1109</v>
      </c>
      <c r="D4244" s="461">
        <v>42.06</v>
      </c>
      <c r="E4244" s="461" t="s">
        <v>161</v>
      </c>
      <c r="F4244" s="461" t="s">
        <v>8333</v>
      </c>
    </row>
    <row r="4245" spans="1:6" ht="30" x14ac:dyDescent="0.25">
      <c r="A4245" s="461">
        <v>7293</v>
      </c>
      <c r="B4245" s="460" t="s">
        <v>12234</v>
      </c>
      <c r="C4245" s="461" t="s">
        <v>1109</v>
      </c>
      <c r="D4245" s="461">
        <v>46.53</v>
      </c>
      <c r="E4245" s="461" t="s">
        <v>161</v>
      </c>
      <c r="F4245" s="461" t="s">
        <v>8326</v>
      </c>
    </row>
    <row r="4246" spans="1:6" ht="30" x14ac:dyDescent="0.25">
      <c r="A4246" s="461">
        <v>7306</v>
      </c>
      <c r="B4246" s="460" t="s">
        <v>12235</v>
      </c>
      <c r="C4246" s="461" t="s">
        <v>1109</v>
      </c>
      <c r="D4246" s="461">
        <v>51.35</v>
      </c>
      <c r="E4246" s="461" t="s">
        <v>161</v>
      </c>
      <c r="F4246" s="461" t="s">
        <v>8326</v>
      </c>
    </row>
    <row r="4247" spans="1:6" ht="15" x14ac:dyDescent="0.25">
      <c r="A4247" s="461">
        <v>7288</v>
      </c>
      <c r="B4247" s="460" t="s">
        <v>12236</v>
      </c>
      <c r="C4247" s="461" t="s">
        <v>1109</v>
      </c>
      <c r="D4247" s="461">
        <v>42.64</v>
      </c>
      <c r="E4247" s="461" t="s">
        <v>161</v>
      </c>
      <c r="F4247" s="461" t="s">
        <v>8326</v>
      </c>
    </row>
    <row r="4248" spans="1:6" ht="15" x14ac:dyDescent="0.25">
      <c r="A4248" s="461">
        <v>43625</v>
      </c>
      <c r="B4248" s="460" t="s">
        <v>12237</v>
      </c>
      <c r="C4248" s="461" t="s">
        <v>1109</v>
      </c>
      <c r="D4248" s="461">
        <v>34.43</v>
      </c>
      <c r="E4248" s="461" t="s">
        <v>161</v>
      </c>
      <c r="F4248" s="461" t="s">
        <v>8326</v>
      </c>
    </row>
    <row r="4249" spans="1:6" ht="15" x14ac:dyDescent="0.25">
      <c r="A4249" s="461">
        <v>43647</v>
      </c>
      <c r="B4249" s="460" t="s">
        <v>12238</v>
      </c>
      <c r="C4249" s="461" t="s">
        <v>1109</v>
      </c>
      <c r="D4249" s="461">
        <v>31.27</v>
      </c>
      <c r="E4249" s="461" t="s">
        <v>161</v>
      </c>
      <c r="F4249" s="461" t="s">
        <v>8326</v>
      </c>
    </row>
    <row r="4250" spans="1:6" ht="15" x14ac:dyDescent="0.25">
      <c r="A4250" s="461">
        <v>43648</v>
      </c>
      <c r="B4250" s="460" t="s">
        <v>12239</v>
      </c>
      <c r="C4250" s="461" t="s">
        <v>1109</v>
      </c>
      <c r="D4250" s="461">
        <v>30.18</v>
      </c>
      <c r="E4250" s="461" t="s">
        <v>161</v>
      </c>
      <c r="F4250" s="461" t="s">
        <v>8326</v>
      </c>
    </row>
    <row r="4251" spans="1:6" ht="15" x14ac:dyDescent="0.25">
      <c r="A4251" s="461">
        <v>35693</v>
      </c>
      <c r="B4251" s="460" t="s">
        <v>12240</v>
      </c>
      <c r="C4251" s="461" t="s">
        <v>1109</v>
      </c>
      <c r="D4251" s="511">
        <v>13.66</v>
      </c>
      <c r="E4251" s="461" t="s">
        <v>161</v>
      </c>
      <c r="F4251" s="461" t="s">
        <v>8326</v>
      </c>
    </row>
    <row r="4252" spans="1:6" ht="15" x14ac:dyDescent="0.25">
      <c r="A4252" s="461">
        <v>7356</v>
      </c>
      <c r="B4252" s="460" t="s">
        <v>12241</v>
      </c>
      <c r="C4252" s="461" t="s">
        <v>1109</v>
      </c>
      <c r="D4252" s="461">
        <v>32.75</v>
      </c>
      <c r="E4252" s="461" t="s">
        <v>161</v>
      </c>
      <c r="F4252" s="461" t="s">
        <v>8333</v>
      </c>
    </row>
    <row r="4253" spans="1:6" ht="15" x14ac:dyDescent="0.25">
      <c r="A4253" s="461">
        <v>35692</v>
      </c>
      <c r="B4253" s="460" t="s">
        <v>12242</v>
      </c>
      <c r="C4253" s="461" t="s">
        <v>1109</v>
      </c>
      <c r="D4253" s="461">
        <v>21.43</v>
      </c>
      <c r="E4253" s="461" t="s">
        <v>161</v>
      </c>
      <c r="F4253" s="461" t="s">
        <v>8326</v>
      </c>
    </row>
    <row r="4254" spans="1:6" ht="15" x14ac:dyDescent="0.25">
      <c r="A4254" s="461">
        <v>43624</v>
      </c>
      <c r="B4254" s="460" t="s">
        <v>12243</v>
      </c>
      <c r="C4254" s="461" t="s">
        <v>1109</v>
      </c>
      <c r="D4254" s="461">
        <v>39.92</v>
      </c>
      <c r="E4254" s="461" t="s">
        <v>161</v>
      </c>
      <c r="F4254" s="461" t="s">
        <v>8326</v>
      </c>
    </row>
    <row r="4255" spans="1:6" ht="15" x14ac:dyDescent="0.25">
      <c r="A4255" s="461">
        <v>7342</v>
      </c>
      <c r="B4255" s="460" t="s">
        <v>12244</v>
      </c>
      <c r="C4255" s="461" t="s">
        <v>1108</v>
      </c>
      <c r="D4255" s="461">
        <v>2.58</v>
      </c>
      <c r="E4255" s="461" t="s">
        <v>161</v>
      </c>
      <c r="F4255" s="461" t="s">
        <v>8326</v>
      </c>
    </row>
    <row r="4256" spans="1:6" ht="15" x14ac:dyDescent="0.25">
      <c r="A4256" s="461">
        <v>7350</v>
      </c>
      <c r="B4256" s="460" t="s">
        <v>12245</v>
      </c>
      <c r="C4256" s="461" t="s">
        <v>1109</v>
      </c>
      <c r="D4256" s="461">
        <v>47.27</v>
      </c>
      <c r="E4256" s="461" t="s">
        <v>161</v>
      </c>
      <c r="F4256" s="461" t="s">
        <v>8326</v>
      </c>
    </row>
    <row r="4257" spans="1:6" ht="30" x14ac:dyDescent="0.25">
      <c r="A4257" s="461">
        <v>39574</v>
      </c>
      <c r="B4257" s="460" t="s">
        <v>12246</v>
      </c>
      <c r="C4257" s="461" t="s">
        <v>1104</v>
      </c>
      <c r="D4257" s="461">
        <v>4</v>
      </c>
      <c r="E4257" s="461" t="s">
        <v>161</v>
      </c>
      <c r="F4257" s="461" t="s">
        <v>8326</v>
      </c>
    </row>
    <row r="4258" spans="1:6" ht="30" x14ac:dyDescent="0.25">
      <c r="A4258" s="461">
        <v>11060</v>
      </c>
      <c r="B4258" s="460" t="s">
        <v>13397</v>
      </c>
      <c r="C4258" s="461" t="s">
        <v>1104</v>
      </c>
      <c r="D4258" s="461">
        <v>47.16</v>
      </c>
      <c r="E4258" s="461" t="s">
        <v>161</v>
      </c>
      <c r="F4258" s="461" t="s">
        <v>8328</v>
      </c>
    </row>
    <row r="4259" spans="1:6" ht="15" x14ac:dyDescent="0.25">
      <c r="A4259" s="461">
        <v>37401</v>
      </c>
      <c r="B4259" s="460" t="s">
        <v>12247</v>
      </c>
      <c r="C4259" s="461" t="s">
        <v>1104</v>
      </c>
      <c r="D4259" s="461">
        <v>40.46</v>
      </c>
      <c r="E4259" s="461" t="s">
        <v>161</v>
      </c>
      <c r="F4259" s="461" t="s">
        <v>8326</v>
      </c>
    </row>
    <row r="4260" spans="1:6" ht="15" x14ac:dyDescent="0.25">
      <c r="A4260" s="461">
        <v>7525</v>
      </c>
      <c r="B4260" s="460" t="s">
        <v>12248</v>
      </c>
      <c r="C4260" s="461" t="s">
        <v>1104</v>
      </c>
      <c r="D4260" s="461">
        <v>58.59</v>
      </c>
      <c r="E4260" s="461" t="s">
        <v>161</v>
      </c>
      <c r="F4260" s="461" t="s">
        <v>8326</v>
      </c>
    </row>
    <row r="4261" spans="1:6" ht="15" x14ac:dyDescent="0.25">
      <c r="A4261" s="461">
        <v>7524</v>
      </c>
      <c r="B4261" s="460" t="s">
        <v>12249</v>
      </c>
      <c r="C4261" s="461" t="s">
        <v>1104</v>
      </c>
      <c r="D4261" s="461">
        <v>55.21</v>
      </c>
      <c r="E4261" s="461" t="s">
        <v>161</v>
      </c>
      <c r="F4261" s="461" t="s">
        <v>8326</v>
      </c>
    </row>
    <row r="4262" spans="1:6" ht="15" x14ac:dyDescent="0.25">
      <c r="A4262" s="461">
        <v>38105</v>
      </c>
      <c r="B4262" s="460" t="s">
        <v>12250</v>
      </c>
      <c r="C4262" s="461" t="s">
        <v>1104</v>
      </c>
      <c r="D4262" s="461">
        <v>14.18</v>
      </c>
      <c r="E4262" s="461" t="s">
        <v>161</v>
      </c>
      <c r="F4262" s="461" t="s">
        <v>8326</v>
      </c>
    </row>
    <row r="4263" spans="1:6" ht="30" x14ac:dyDescent="0.25">
      <c r="A4263" s="461">
        <v>38084</v>
      </c>
      <c r="B4263" s="460" t="s">
        <v>12251</v>
      </c>
      <c r="C4263" s="461" t="s">
        <v>1104</v>
      </c>
      <c r="D4263" s="461">
        <v>20.14</v>
      </c>
      <c r="E4263" s="461" t="s">
        <v>161</v>
      </c>
      <c r="F4263" s="461" t="s">
        <v>8326</v>
      </c>
    </row>
    <row r="4264" spans="1:6" ht="15" x14ac:dyDescent="0.25">
      <c r="A4264" s="461">
        <v>38103</v>
      </c>
      <c r="B4264" s="460" t="s">
        <v>12252</v>
      </c>
      <c r="C4264" s="461" t="s">
        <v>1104</v>
      </c>
      <c r="D4264" s="461">
        <v>21.29</v>
      </c>
      <c r="E4264" s="461" t="s">
        <v>161</v>
      </c>
      <c r="F4264" s="461" t="s">
        <v>8326</v>
      </c>
    </row>
    <row r="4265" spans="1:6" ht="30" x14ac:dyDescent="0.25">
      <c r="A4265" s="461">
        <v>38082</v>
      </c>
      <c r="B4265" s="460" t="s">
        <v>12253</v>
      </c>
      <c r="C4265" s="461" t="s">
        <v>1104</v>
      </c>
      <c r="D4265" s="461">
        <v>26.23</v>
      </c>
      <c r="E4265" s="461" t="s">
        <v>161</v>
      </c>
      <c r="F4265" s="461" t="s">
        <v>8326</v>
      </c>
    </row>
    <row r="4266" spans="1:6" ht="15" x14ac:dyDescent="0.25">
      <c r="A4266" s="461">
        <v>38104</v>
      </c>
      <c r="B4266" s="460" t="s">
        <v>12254</v>
      </c>
      <c r="C4266" s="461" t="s">
        <v>1104</v>
      </c>
      <c r="D4266" s="461">
        <v>41.69</v>
      </c>
      <c r="E4266" s="461" t="s">
        <v>161</v>
      </c>
      <c r="F4266" s="461" t="s">
        <v>8326</v>
      </c>
    </row>
    <row r="4267" spans="1:6" ht="30" x14ac:dyDescent="0.25">
      <c r="A4267" s="461">
        <v>38083</v>
      </c>
      <c r="B4267" s="460" t="s">
        <v>12255</v>
      </c>
      <c r="C4267" s="461" t="s">
        <v>1104</v>
      </c>
      <c r="D4267" s="461">
        <v>46.29</v>
      </c>
      <c r="E4267" s="461" t="s">
        <v>161</v>
      </c>
      <c r="F4267" s="461" t="s">
        <v>8326</v>
      </c>
    </row>
    <row r="4268" spans="1:6" ht="15" x14ac:dyDescent="0.25">
      <c r="A4268" s="461">
        <v>38101</v>
      </c>
      <c r="B4268" s="460" t="s">
        <v>13398</v>
      </c>
      <c r="C4268" s="461" t="s">
        <v>1104</v>
      </c>
      <c r="D4268" s="461">
        <v>10.130000000000001</v>
      </c>
      <c r="E4268" s="461" t="s">
        <v>161</v>
      </c>
      <c r="F4268" s="461" t="s">
        <v>8326</v>
      </c>
    </row>
    <row r="4269" spans="1:6" ht="30" x14ac:dyDescent="0.25">
      <c r="A4269" s="461">
        <v>7528</v>
      </c>
      <c r="B4269" s="460" t="s">
        <v>12256</v>
      </c>
      <c r="C4269" s="461" t="s">
        <v>1104</v>
      </c>
      <c r="D4269" s="461">
        <v>11.9</v>
      </c>
      <c r="E4269" s="461" t="s">
        <v>161</v>
      </c>
      <c r="F4269" s="461" t="s">
        <v>8333</v>
      </c>
    </row>
    <row r="4270" spans="1:6" ht="30" x14ac:dyDescent="0.25">
      <c r="A4270" s="461">
        <v>12147</v>
      </c>
      <c r="B4270" s="460" t="s">
        <v>12257</v>
      </c>
      <c r="C4270" s="461" t="s">
        <v>1104</v>
      </c>
      <c r="D4270" s="461">
        <v>18.14</v>
      </c>
      <c r="E4270" s="461" t="s">
        <v>161</v>
      </c>
      <c r="F4270" s="461" t="s">
        <v>8326</v>
      </c>
    </row>
    <row r="4271" spans="1:6" ht="30" x14ac:dyDescent="0.25">
      <c r="A4271" s="461">
        <v>38075</v>
      </c>
      <c r="B4271" s="460" t="s">
        <v>12258</v>
      </c>
      <c r="C4271" s="461" t="s">
        <v>1104</v>
      </c>
      <c r="D4271" s="461">
        <v>20.61</v>
      </c>
      <c r="E4271" s="461" t="s">
        <v>161</v>
      </c>
      <c r="F4271" s="461" t="s">
        <v>8326</v>
      </c>
    </row>
    <row r="4272" spans="1:6" ht="15" x14ac:dyDescent="0.25">
      <c r="A4272" s="461">
        <v>38102</v>
      </c>
      <c r="B4272" s="460" t="s">
        <v>13399</v>
      </c>
      <c r="C4272" s="461" t="s">
        <v>1104</v>
      </c>
      <c r="D4272" s="461">
        <v>12.95</v>
      </c>
      <c r="E4272" s="461" t="s">
        <v>161</v>
      </c>
      <c r="F4272" s="461" t="s">
        <v>8326</v>
      </c>
    </row>
    <row r="4273" spans="1:6" ht="30" x14ac:dyDescent="0.25">
      <c r="A4273" s="461">
        <v>38076</v>
      </c>
      <c r="B4273" s="460" t="s">
        <v>12259</v>
      </c>
      <c r="C4273" s="461" t="s">
        <v>1104</v>
      </c>
      <c r="D4273" s="461">
        <v>23.11</v>
      </c>
      <c r="E4273" s="461" t="s">
        <v>161</v>
      </c>
      <c r="F4273" s="461" t="s">
        <v>8326</v>
      </c>
    </row>
    <row r="4274" spans="1:6" ht="15" x14ac:dyDescent="0.25">
      <c r="A4274" s="461">
        <v>7592</v>
      </c>
      <c r="B4274" s="460" t="s">
        <v>12260</v>
      </c>
      <c r="C4274" s="461" t="s">
        <v>1103</v>
      </c>
      <c r="D4274" s="461">
        <v>21.83</v>
      </c>
      <c r="E4274" s="461" t="s">
        <v>4455</v>
      </c>
      <c r="F4274" s="461" t="s">
        <v>8333</v>
      </c>
    </row>
    <row r="4275" spans="1:6" ht="15" x14ac:dyDescent="0.25">
      <c r="A4275" s="461">
        <v>40820</v>
      </c>
      <c r="B4275" s="460" t="s">
        <v>12261</v>
      </c>
      <c r="C4275" s="461" t="s">
        <v>1110</v>
      </c>
      <c r="D4275" s="461">
        <v>3886.77</v>
      </c>
      <c r="E4275" s="461" t="s">
        <v>4455</v>
      </c>
      <c r="F4275" s="461" t="s">
        <v>8326</v>
      </c>
    </row>
    <row r="4276" spans="1:6" ht="30" x14ac:dyDescent="0.25">
      <c r="A4276" s="461">
        <v>11826</v>
      </c>
      <c r="B4276" s="460" t="s">
        <v>12262</v>
      </c>
      <c r="C4276" s="461" t="s">
        <v>1104</v>
      </c>
      <c r="D4276" s="461">
        <v>107.26</v>
      </c>
      <c r="E4276" s="461" t="s">
        <v>161</v>
      </c>
      <c r="F4276" s="461" t="s">
        <v>8326</v>
      </c>
    </row>
    <row r="4277" spans="1:6" ht="30" x14ac:dyDescent="0.25">
      <c r="A4277" s="461">
        <v>7606</v>
      </c>
      <c r="B4277" s="460" t="s">
        <v>12263</v>
      </c>
      <c r="C4277" s="461" t="s">
        <v>1104</v>
      </c>
      <c r="D4277" s="461">
        <v>128.97999999999999</v>
      </c>
      <c r="E4277" s="461" t="s">
        <v>161</v>
      </c>
      <c r="F4277" s="461" t="s">
        <v>8326</v>
      </c>
    </row>
    <row r="4278" spans="1:6" ht="30" x14ac:dyDescent="0.25">
      <c r="A4278" s="461">
        <v>11763</v>
      </c>
      <c r="B4278" s="460" t="s">
        <v>12264</v>
      </c>
      <c r="C4278" s="461" t="s">
        <v>1104</v>
      </c>
      <c r="D4278" s="461">
        <v>281.67</v>
      </c>
      <c r="E4278" s="461" t="s">
        <v>161</v>
      </c>
      <c r="F4278" s="461" t="s">
        <v>8326</v>
      </c>
    </row>
    <row r="4279" spans="1:6" ht="30" x14ac:dyDescent="0.25">
      <c r="A4279" s="461">
        <v>11764</v>
      </c>
      <c r="B4279" s="460" t="s">
        <v>12265</v>
      </c>
      <c r="C4279" s="461" t="s">
        <v>1104</v>
      </c>
      <c r="D4279" s="461">
        <v>231.09</v>
      </c>
      <c r="E4279" s="461" t="s">
        <v>161</v>
      </c>
      <c r="F4279" s="461" t="s">
        <v>8326</v>
      </c>
    </row>
    <row r="4280" spans="1:6" ht="30" x14ac:dyDescent="0.25">
      <c r="A4280" s="461">
        <v>11829</v>
      </c>
      <c r="B4280" s="460" t="s">
        <v>12266</v>
      </c>
      <c r="C4280" s="461" t="s">
        <v>1104</v>
      </c>
      <c r="D4280" s="461">
        <v>55.85</v>
      </c>
      <c r="E4280" s="461" t="s">
        <v>161</v>
      </c>
      <c r="F4280" s="461" t="s">
        <v>8326</v>
      </c>
    </row>
    <row r="4281" spans="1:6" ht="30" x14ac:dyDescent="0.25">
      <c r="A4281" s="461">
        <v>11830</v>
      </c>
      <c r="B4281" s="460" t="s">
        <v>12267</v>
      </c>
      <c r="C4281" s="461" t="s">
        <v>1104</v>
      </c>
      <c r="D4281" s="461">
        <v>60.31</v>
      </c>
      <c r="E4281" s="461" t="s">
        <v>161</v>
      </c>
      <c r="F4281" s="461" t="s">
        <v>8326</v>
      </c>
    </row>
    <row r="4282" spans="1:6" ht="30" x14ac:dyDescent="0.25">
      <c r="A4282" s="461">
        <v>11825</v>
      </c>
      <c r="B4282" s="460" t="s">
        <v>12268</v>
      </c>
      <c r="C4282" s="461" t="s">
        <v>1104</v>
      </c>
      <c r="D4282" s="461">
        <v>135.69</v>
      </c>
      <c r="E4282" s="461" t="s">
        <v>161</v>
      </c>
      <c r="F4282" s="461" t="s">
        <v>8326</v>
      </c>
    </row>
    <row r="4283" spans="1:6" ht="30" x14ac:dyDescent="0.25">
      <c r="A4283" s="461">
        <v>11767</v>
      </c>
      <c r="B4283" s="460" t="s">
        <v>12269</v>
      </c>
      <c r="C4283" s="461" t="s">
        <v>1104</v>
      </c>
      <c r="D4283" s="461">
        <v>361.39</v>
      </c>
      <c r="E4283" s="461" t="s">
        <v>161</v>
      </c>
      <c r="F4283" s="461" t="s">
        <v>8326</v>
      </c>
    </row>
    <row r="4284" spans="1:6" ht="30" x14ac:dyDescent="0.25">
      <c r="A4284" s="461">
        <v>11766</v>
      </c>
      <c r="B4284" s="460" t="s">
        <v>12270</v>
      </c>
      <c r="C4284" s="461" t="s">
        <v>1104</v>
      </c>
      <c r="D4284" s="461">
        <v>84.24</v>
      </c>
      <c r="E4284" s="461" t="s">
        <v>161</v>
      </c>
      <c r="F4284" s="461" t="s">
        <v>8326</v>
      </c>
    </row>
    <row r="4285" spans="1:6" ht="30" x14ac:dyDescent="0.25">
      <c r="A4285" s="461">
        <v>11765</v>
      </c>
      <c r="B4285" s="460" t="s">
        <v>12271</v>
      </c>
      <c r="C4285" s="461" t="s">
        <v>1104</v>
      </c>
      <c r="D4285" s="461">
        <v>154.01</v>
      </c>
      <c r="E4285" s="461" t="s">
        <v>161</v>
      </c>
      <c r="F4285" s="461" t="s">
        <v>8326</v>
      </c>
    </row>
    <row r="4286" spans="1:6" ht="30" x14ac:dyDescent="0.25">
      <c r="A4286" s="461">
        <v>11824</v>
      </c>
      <c r="B4286" s="460" t="s">
        <v>12272</v>
      </c>
      <c r="C4286" s="461" t="s">
        <v>1104</v>
      </c>
      <c r="D4286" s="461">
        <v>99.09</v>
      </c>
      <c r="E4286" s="461" t="s">
        <v>161</v>
      </c>
      <c r="F4286" s="461" t="s">
        <v>8326</v>
      </c>
    </row>
    <row r="4287" spans="1:6" ht="30" x14ac:dyDescent="0.25">
      <c r="A4287" s="461">
        <v>44045</v>
      </c>
      <c r="B4287" s="460" t="s">
        <v>12273</v>
      </c>
      <c r="C4287" s="461" t="s">
        <v>1104</v>
      </c>
      <c r="D4287" s="461">
        <v>311.18</v>
      </c>
      <c r="E4287" s="461" t="s">
        <v>161</v>
      </c>
      <c r="F4287" s="461" t="s">
        <v>8326</v>
      </c>
    </row>
    <row r="4288" spans="1:6" ht="30" x14ac:dyDescent="0.25">
      <c r="A4288" s="461">
        <v>39702</v>
      </c>
      <c r="B4288" s="460" t="s">
        <v>12274</v>
      </c>
      <c r="C4288" s="461" t="s">
        <v>1104</v>
      </c>
      <c r="D4288" s="461">
        <v>2066.65</v>
      </c>
      <c r="E4288" s="461" t="s">
        <v>161</v>
      </c>
      <c r="F4288" s="461" t="s">
        <v>8326</v>
      </c>
    </row>
    <row r="4289" spans="1:6" ht="30" x14ac:dyDescent="0.25">
      <c r="A4289" s="461">
        <v>13415</v>
      </c>
      <c r="B4289" s="460" t="s">
        <v>13400</v>
      </c>
      <c r="C4289" s="461" t="s">
        <v>1104</v>
      </c>
      <c r="D4289" s="461">
        <v>67.849999999999994</v>
      </c>
      <c r="E4289" s="461" t="s">
        <v>161</v>
      </c>
      <c r="F4289" s="461" t="s">
        <v>8333</v>
      </c>
    </row>
    <row r="4290" spans="1:6" ht="45" x14ac:dyDescent="0.25">
      <c r="A4290" s="461">
        <v>7602</v>
      </c>
      <c r="B4290" s="460" t="s">
        <v>13401</v>
      </c>
      <c r="C4290" s="461" t="s">
        <v>1104</v>
      </c>
      <c r="D4290" s="461">
        <v>43.3</v>
      </c>
      <c r="E4290" s="461" t="s">
        <v>161</v>
      </c>
      <c r="F4290" s="461" t="s">
        <v>8326</v>
      </c>
    </row>
    <row r="4291" spans="1:6" ht="30" x14ac:dyDescent="0.25">
      <c r="A4291" s="461">
        <v>7603</v>
      </c>
      <c r="B4291" s="460" t="s">
        <v>13402</v>
      </c>
      <c r="C4291" s="461" t="s">
        <v>1104</v>
      </c>
      <c r="D4291" s="461">
        <v>36.729999999999997</v>
      </c>
      <c r="E4291" s="461" t="s">
        <v>161</v>
      </c>
      <c r="F4291" s="461" t="s">
        <v>8326</v>
      </c>
    </row>
    <row r="4292" spans="1:6" ht="30" x14ac:dyDescent="0.25">
      <c r="A4292" s="461">
        <v>11777</v>
      </c>
      <c r="B4292" s="460" t="s">
        <v>12275</v>
      </c>
      <c r="C4292" s="461" t="s">
        <v>1104</v>
      </c>
      <c r="D4292" s="461">
        <v>181.93</v>
      </c>
      <c r="E4292" s="461" t="s">
        <v>161</v>
      </c>
      <c r="F4292" s="461" t="s">
        <v>8326</v>
      </c>
    </row>
    <row r="4293" spans="1:6" ht="30" x14ac:dyDescent="0.25">
      <c r="A4293" s="461">
        <v>13417</v>
      </c>
      <c r="B4293" s="460" t="s">
        <v>13403</v>
      </c>
      <c r="C4293" s="461" t="s">
        <v>1104</v>
      </c>
      <c r="D4293" s="461">
        <v>88.37</v>
      </c>
      <c r="E4293" s="461" t="s">
        <v>161</v>
      </c>
      <c r="F4293" s="461" t="s">
        <v>8326</v>
      </c>
    </row>
    <row r="4294" spans="1:6" ht="30" x14ac:dyDescent="0.25">
      <c r="A4294" s="461">
        <v>36791</v>
      </c>
      <c r="B4294" s="460" t="s">
        <v>12276</v>
      </c>
      <c r="C4294" s="461" t="s">
        <v>1104</v>
      </c>
      <c r="D4294" s="461">
        <v>132.63</v>
      </c>
      <c r="E4294" s="461" t="s">
        <v>161</v>
      </c>
      <c r="F4294" s="461" t="s">
        <v>8326</v>
      </c>
    </row>
    <row r="4295" spans="1:6" ht="30" x14ac:dyDescent="0.25">
      <c r="A4295" s="461">
        <v>36795</v>
      </c>
      <c r="B4295" s="460" t="s">
        <v>12277</v>
      </c>
      <c r="C4295" s="461" t="s">
        <v>1104</v>
      </c>
      <c r="D4295" s="511">
        <v>1676.9</v>
      </c>
      <c r="E4295" s="461" t="s">
        <v>161</v>
      </c>
      <c r="F4295" s="461" t="s">
        <v>8326</v>
      </c>
    </row>
    <row r="4296" spans="1:6" ht="30" x14ac:dyDescent="0.25">
      <c r="A4296" s="461">
        <v>36796</v>
      </c>
      <c r="B4296" s="460" t="s">
        <v>12278</v>
      </c>
      <c r="C4296" s="461" t="s">
        <v>1104</v>
      </c>
      <c r="D4296" s="461">
        <v>139.35</v>
      </c>
      <c r="E4296" s="461" t="s">
        <v>161</v>
      </c>
      <c r="F4296" s="461" t="s">
        <v>8326</v>
      </c>
    </row>
    <row r="4297" spans="1:6" ht="30" x14ac:dyDescent="0.25">
      <c r="A4297" s="461">
        <v>36792</v>
      </c>
      <c r="B4297" s="460" t="s">
        <v>12279</v>
      </c>
      <c r="C4297" s="461" t="s">
        <v>1104</v>
      </c>
      <c r="D4297" s="461">
        <v>176.52</v>
      </c>
      <c r="E4297" s="461" t="s">
        <v>161</v>
      </c>
      <c r="F4297" s="461" t="s">
        <v>8326</v>
      </c>
    </row>
    <row r="4298" spans="1:6" ht="30" x14ac:dyDescent="0.25">
      <c r="A4298" s="461">
        <v>11773</v>
      </c>
      <c r="B4298" s="460" t="s">
        <v>13404</v>
      </c>
      <c r="C4298" s="461" t="s">
        <v>1104</v>
      </c>
      <c r="D4298" s="461">
        <v>117.5</v>
      </c>
      <c r="E4298" s="461" t="s">
        <v>161</v>
      </c>
      <c r="F4298" s="461" t="s">
        <v>8326</v>
      </c>
    </row>
    <row r="4299" spans="1:6" ht="30" x14ac:dyDescent="0.25">
      <c r="A4299" s="461">
        <v>11762</v>
      </c>
      <c r="B4299" s="460" t="s">
        <v>13405</v>
      </c>
      <c r="C4299" s="461" t="s">
        <v>1104</v>
      </c>
      <c r="D4299" s="461">
        <v>55.73</v>
      </c>
      <c r="E4299" s="461" t="s">
        <v>161</v>
      </c>
      <c r="F4299" s="461" t="s">
        <v>8326</v>
      </c>
    </row>
    <row r="4300" spans="1:6" ht="30" x14ac:dyDescent="0.25">
      <c r="A4300" s="461">
        <v>7604</v>
      </c>
      <c r="B4300" s="460" t="s">
        <v>13406</v>
      </c>
      <c r="C4300" s="461" t="s">
        <v>1104</v>
      </c>
      <c r="D4300" s="461">
        <v>47.19</v>
      </c>
      <c r="E4300" s="461" t="s">
        <v>161</v>
      </c>
      <c r="F4300" s="461" t="s">
        <v>8326</v>
      </c>
    </row>
    <row r="4301" spans="1:6" ht="30" x14ac:dyDescent="0.25">
      <c r="A4301" s="461">
        <v>13984</v>
      </c>
      <c r="B4301" s="460" t="s">
        <v>13407</v>
      </c>
      <c r="C4301" s="461" t="s">
        <v>1104</v>
      </c>
      <c r="D4301" s="461">
        <v>68.58</v>
      </c>
      <c r="E4301" s="461" t="s">
        <v>161</v>
      </c>
      <c r="F4301" s="461" t="s">
        <v>8326</v>
      </c>
    </row>
    <row r="4302" spans="1:6" ht="30" x14ac:dyDescent="0.25">
      <c r="A4302" s="461">
        <v>11772</v>
      </c>
      <c r="B4302" s="460" t="s">
        <v>13408</v>
      </c>
      <c r="C4302" s="461" t="s">
        <v>1104</v>
      </c>
      <c r="D4302" s="461">
        <v>117.87</v>
      </c>
      <c r="E4302" s="461" t="s">
        <v>161</v>
      </c>
      <c r="F4302" s="461" t="s">
        <v>8326</v>
      </c>
    </row>
    <row r="4303" spans="1:6" ht="30" x14ac:dyDescent="0.25">
      <c r="A4303" s="461">
        <v>13983</v>
      </c>
      <c r="B4303" s="460" t="s">
        <v>13409</v>
      </c>
      <c r="C4303" s="461" t="s">
        <v>1104</v>
      </c>
      <c r="D4303" s="461">
        <v>89.27</v>
      </c>
      <c r="E4303" s="461" t="s">
        <v>161</v>
      </c>
      <c r="F4303" s="461" t="s">
        <v>8326</v>
      </c>
    </row>
    <row r="4304" spans="1:6" ht="30" x14ac:dyDescent="0.25">
      <c r="A4304" s="461">
        <v>13416</v>
      </c>
      <c r="B4304" s="460" t="s">
        <v>13410</v>
      </c>
      <c r="C4304" s="461" t="s">
        <v>1104</v>
      </c>
      <c r="D4304" s="461">
        <v>79.290000000000006</v>
      </c>
      <c r="E4304" s="461" t="s">
        <v>161</v>
      </c>
      <c r="F4304" s="461" t="s">
        <v>8326</v>
      </c>
    </row>
    <row r="4305" spans="1:6" ht="30" x14ac:dyDescent="0.25">
      <c r="A4305" s="461">
        <v>40329</v>
      </c>
      <c r="B4305" s="460" t="s">
        <v>12280</v>
      </c>
      <c r="C4305" s="461" t="s">
        <v>1104</v>
      </c>
      <c r="D4305" s="461">
        <v>35</v>
      </c>
      <c r="E4305" s="461" t="s">
        <v>161</v>
      </c>
      <c r="F4305" s="461" t="s">
        <v>8333</v>
      </c>
    </row>
    <row r="4306" spans="1:6" ht="30" x14ac:dyDescent="0.25">
      <c r="A4306" s="461">
        <v>11823</v>
      </c>
      <c r="B4306" s="460" t="s">
        <v>13411</v>
      </c>
      <c r="C4306" s="461" t="s">
        <v>1104</v>
      </c>
      <c r="D4306" s="461">
        <v>14.74</v>
      </c>
      <c r="E4306" s="461" t="s">
        <v>161</v>
      </c>
      <c r="F4306" s="461" t="s">
        <v>8326</v>
      </c>
    </row>
    <row r="4307" spans="1:6" ht="15" x14ac:dyDescent="0.25">
      <c r="A4307" s="461">
        <v>11822</v>
      </c>
      <c r="B4307" s="460" t="s">
        <v>13412</v>
      </c>
      <c r="C4307" s="461" t="s">
        <v>1104</v>
      </c>
      <c r="D4307" s="461">
        <v>28.29</v>
      </c>
      <c r="E4307" s="461" t="s">
        <v>161</v>
      </c>
      <c r="F4307" s="461" t="s">
        <v>8326</v>
      </c>
    </row>
    <row r="4308" spans="1:6" ht="15" x14ac:dyDescent="0.25">
      <c r="A4308" s="461">
        <v>11831</v>
      </c>
      <c r="B4308" s="460" t="s">
        <v>13413</v>
      </c>
      <c r="C4308" s="461" t="s">
        <v>1104</v>
      </c>
      <c r="D4308" s="511">
        <v>17.03</v>
      </c>
      <c r="E4308" s="461" t="s">
        <v>161</v>
      </c>
      <c r="F4308" s="461" t="s">
        <v>8326</v>
      </c>
    </row>
    <row r="4309" spans="1:6" ht="45" x14ac:dyDescent="0.25">
      <c r="A4309" s="461">
        <v>7613</v>
      </c>
      <c r="B4309" s="460" t="s">
        <v>12281</v>
      </c>
      <c r="C4309" s="461" t="s">
        <v>1104</v>
      </c>
      <c r="D4309" s="461">
        <v>120102.67</v>
      </c>
      <c r="E4309" s="461" t="s">
        <v>1497</v>
      </c>
      <c r="F4309" s="461" t="s">
        <v>8328</v>
      </c>
    </row>
    <row r="4310" spans="1:6" ht="45" x14ac:dyDescent="0.25">
      <c r="A4310" s="461">
        <v>7619</v>
      </c>
      <c r="B4310" s="460" t="s">
        <v>12282</v>
      </c>
      <c r="C4310" s="461" t="s">
        <v>1104</v>
      </c>
      <c r="D4310" s="461">
        <v>18565.3</v>
      </c>
      <c r="E4310" s="461" t="s">
        <v>1497</v>
      </c>
      <c r="F4310" s="461" t="s">
        <v>8328</v>
      </c>
    </row>
    <row r="4311" spans="1:6" ht="45" x14ac:dyDescent="0.25">
      <c r="A4311" s="461">
        <v>12076</v>
      </c>
      <c r="B4311" s="460" t="s">
        <v>12283</v>
      </c>
      <c r="C4311" s="461" t="s">
        <v>1104</v>
      </c>
      <c r="D4311" s="461">
        <v>8516.19</v>
      </c>
      <c r="E4311" s="461" t="s">
        <v>1497</v>
      </c>
      <c r="F4311" s="461" t="s">
        <v>8328</v>
      </c>
    </row>
    <row r="4312" spans="1:6" ht="45" x14ac:dyDescent="0.25">
      <c r="A4312" s="461">
        <v>7614</v>
      </c>
      <c r="B4312" s="460" t="s">
        <v>12284</v>
      </c>
      <c r="C4312" s="461" t="s">
        <v>1104</v>
      </c>
      <c r="D4312" s="461">
        <v>23415.27</v>
      </c>
      <c r="E4312" s="461" t="s">
        <v>1497</v>
      </c>
      <c r="F4312" s="461" t="s">
        <v>8328</v>
      </c>
    </row>
    <row r="4313" spans="1:6" ht="45" x14ac:dyDescent="0.25">
      <c r="A4313" s="461">
        <v>7618</v>
      </c>
      <c r="B4313" s="460" t="s">
        <v>12285</v>
      </c>
      <c r="C4313" s="461" t="s">
        <v>1104</v>
      </c>
      <c r="D4313" s="461">
        <v>151865.64000000001</v>
      </c>
      <c r="E4313" s="461" t="s">
        <v>1497</v>
      </c>
      <c r="F4313" s="461" t="s">
        <v>8328</v>
      </c>
    </row>
    <row r="4314" spans="1:6" ht="45" x14ac:dyDescent="0.25">
      <c r="A4314" s="461">
        <v>7620</v>
      </c>
      <c r="B4314" s="460" t="s">
        <v>12286</v>
      </c>
      <c r="C4314" s="461" t="s">
        <v>1104</v>
      </c>
      <c r="D4314" s="461">
        <v>32848.17</v>
      </c>
      <c r="E4314" s="461" t="s">
        <v>1497</v>
      </c>
      <c r="F4314" s="461" t="s">
        <v>8328</v>
      </c>
    </row>
    <row r="4315" spans="1:6" ht="45" x14ac:dyDescent="0.25">
      <c r="A4315" s="461">
        <v>7610</v>
      </c>
      <c r="B4315" s="460" t="s">
        <v>12287</v>
      </c>
      <c r="C4315" s="461" t="s">
        <v>1104</v>
      </c>
      <c r="D4315" s="511">
        <v>10401.92</v>
      </c>
      <c r="E4315" s="461" t="s">
        <v>1497</v>
      </c>
      <c r="F4315" s="461" t="s">
        <v>8328</v>
      </c>
    </row>
    <row r="4316" spans="1:6" ht="45" x14ac:dyDescent="0.25">
      <c r="A4316" s="461">
        <v>7615</v>
      </c>
      <c r="B4316" s="460" t="s">
        <v>12288</v>
      </c>
      <c r="C4316" s="461" t="s">
        <v>1104</v>
      </c>
      <c r="D4316" s="461">
        <v>38322.870000000003</v>
      </c>
      <c r="E4316" s="461" t="s">
        <v>1497</v>
      </c>
      <c r="F4316" s="461" t="s">
        <v>8328</v>
      </c>
    </row>
    <row r="4317" spans="1:6" ht="45" x14ac:dyDescent="0.25">
      <c r="A4317" s="461">
        <v>7617</v>
      </c>
      <c r="B4317" s="460" t="s">
        <v>12289</v>
      </c>
      <c r="C4317" s="461" t="s">
        <v>1104</v>
      </c>
      <c r="D4317" s="461">
        <v>11618.52</v>
      </c>
      <c r="E4317" s="461" t="s">
        <v>1497</v>
      </c>
      <c r="F4317" s="461" t="s">
        <v>8328</v>
      </c>
    </row>
    <row r="4318" spans="1:6" ht="45" x14ac:dyDescent="0.25">
      <c r="A4318" s="461">
        <v>7616</v>
      </c>
      <c r="B4318" s="460" t="s">
        <v>12290</v>
      </c>
      <c r="C4318" s="461" t="s">
        <v>1104</v>
      </c>
      <c r="D4318" s="461">
        <v>62536.84</v>
      </c>
      <c r="E4318" s="461" t="s">
        <v>1497</v>
      </c>
      <c r="F4318" s="461" t="s">
        <v>8328</v>
      </c>
    </row>
    <row r="4319" spans="1:6" ht="45" x14ac:dyDescent="0.25">
      <c r="A4319" s="461">
        <v>7611</v>
      </c>
      <c r="B4319" s="460" t="s">
        <v>12291</v>
      </c>
      <c r="C4319" s="461" t="s">
        <v>1104</v>
      </c>
      <c r="D4319" s="461">
        <v>15025</v>
      </c>
      <c r="E4319" s="461" t="s">
        <v>1497</v>
      </c>
      <c r="F4319" s="461" t="s">
        <v>8328</v>
      </c>
    </row>
    <row r="4320" spans="1:6" ht="45" x14ac:dyDescent="0.25">
      <c r="A4320" s="461">
        <v>7612</v>
      </c>
      <c r="B4320" s="460" t="s">
        <v>12292</v>
      </c>
      <c r="C4320" s="461" t="s">
        <v>1104</v>
      </c>
      <c r="D4320" s="461">
        <v>85779.97</v>
      </c>
      <c r="E4320" s="461" t="s">
        <v>1497</v>
      </c>
      <c r="F4320" s="461" t="s">
        <v>8328</v>
      </c>
    </row>
    <row r="4321" spans="1:6" ht="15" x14ac:dyDescent="0.25">
      <c r="A4321" s="461">
        <v>37371</v>
      </c>
      <c r="B4321" s="460" t="s">
        <v>12293</v>
      </c>
      <c r="C4321" s="461" t="s">
        <v>1103</v>
      </c>
      <c r="D4321" s="461">
        <v>1.5</v>
      </c>
      <c r="E4321" s="461" t="s">
        <v>4455</v>
      </c>
      <c r="F4321" s="461" t="s">
        <v>8333</v>
      </c>
    </row>
    <row r="4322" spans="1:6" ht="15" x14ac:dyDescent="0.25">
      <c r="A4322" s="461">
        <v>40861</v>
      </c>
      <c r="B4322" s="460" t="s">
        <v>12294</v>
      </c>
      <c r="C4322" s="461" t="s">
        <v>1110</v>
      </c>
      <c r="D4322" s="461">
        <v>282.98</v>
      </c>
      <c r="E4322" s="461" t="s">
        <v>4455</v>
      </c>
      <c r="F4322" s="461" t="s">
        <v>8333</v>
      </c>
    </row>
    <row r="4323" spans="1:6" ht="30" x14ac:dyDescent="0.25">
      <c r="A4323" s="461">
        <v>36510</v>
      </c>
      <c r="B4323" s="460" t="s">
        <v>12295</v>
      </c>
      <c r="C4323" s="461" t="s">
        <v>1104</v>
      </c>
      <c r="D4323" s="461">
        <v>1041590.17</v>
      </c>
      <c r="E4323" s="461" t="s">
        <v>1497</v>
      </c>
      <c r="F4323" s="461" t="s">
        <v>8328</v>
      </c>
    </row>
    <row r="4324" spans="1:6" ht="30" x14ac:dyDescent="0.25">
      <c r="A4324" s="461">
        <v>25020</v>
      </c>
      <c r="B4324" s="460" t="s">
        <v>12296</v>
      </c>
      <c r="C4324" s="461" t="s">
        <v>1104</v>
      </c>
      <c r="D4324" s="461">
        <v>4290985.04</v>
      </c>
      <c r="E4324" s="461" t="s">
        <v>1497</v>
      </c>
      <c r="F4324" s="461" t="s">
        <v>8328</v>
      </c>
    </row>
    <row r="4325" spans="1:6" ht="30" x14ac:dyDescent="0.25">
      <c r="A4325" s="461">
        <v>7622</v>
      </c>
      <c r="B4325" s="460" t="s">
        <v>12297</v>
      </c>
      <c r="C4325" s="461" t="s">
        <v>1104</v>
      </c>
      <c r="D4325" s="461">
        <v>1010494.7</v>
      </c>
      <c r="E4325" s="461" t="s">
        <v>1497</v>
      </c>
      <c r="F4325" s="461" t="s">
        <v>8328</v>
      </c>
    </row>
    <row r="4326" spans="1:6" ht="30" x14ac:dyDescent="0.25">
      <c r="A4326" s="461">
        <v>7624</v>
      </c>
      <c r="B4326" s="460" t="s">
        <v>12298</v>
      </c>
      <c r="C4326" s="461" t="s">
        <v>1104</v>
      </c>
      <c r="D4326" s="461">
        <v>1310000</v>
      </c>
      <c r="E4326" s="461" t="s">
        <v>1497</v>
      </c>
      <c r="F4326" s="461" t="s">
        <v>8328</v>
      </c>
    </row>
    <row r="4327" spans="1:6" ht="30" x14ac:dyDescent="0.25">
      <c r="A4327" s="461">
        <v>7625</v>
      </c>
      <c r="B4327" s="460" t="s">
        <v>12299</v>
      </c>
      <c r="C4327" s="461" t="s">
        <v>1104</v>
      </c>
      <c r="D4327" s="461">
        <v>1301987.6399999999</v>
      </c>
      <c r="E4327" s="461" t="s">
        <v>1497</v>
      </c>
      <c r="F4327" s="461" t="s">
        <v>8328</v>
      </c>
    </row>
    <row r="4328" spans="1:6" ht="30" x14ac:dyDescent="0.25">
      <c r="A4328" s="461">
        <v>7623</v>
      </c>
      <c r="B4328" s="460" t="s">
        <v>12300</v>
      </c>
      <c r="C4328" s="461" t="s">
        <v>1104</v>
      </c>
      <c r="D4328" s="461">
        <v>4290985.04</v>
      </c>
      <c r="E4328" s="461" t="s">
        <v>1497</v>
      </c>
      <c r="F4328" s="461" t="s">
        <v>8328</v>
      </c>
    </row>
    <row r="4329" spans="1:6" ht="30" x14ac:dyDescent="0.25">
      <c r="A4329" s="461">
        <v>36508</v>
      </c>
      <c r="B4329" s="460" t="s">
        <v>12301</v>
      </c>
      <c r="C4329" s="461" t="s">
        <v>1104</v>
      </c>
      <c r="D4329" s="511">
        <v>1929826.23</v>
      </c>
      <c r="E4329" s="461" t="s">
        <v>1497</v>
      </c>
      <c r="F4329" s="461" t="s">
        <v>8328</v>
      </c>
    </row>
    <row r="4330" spans="1:6" ht="30" x14ac:dyDescent="0.25">
      <c r="A4330" s="461">
        <v>36509</v>
      </c>
      <c r="B4330" s="460" t="s">
        <v>12302</v>
      </c>
      <c r="C4330" s="461" t="s">
        <v>1104</v>
      </c>
      <c r="D4330" s="511">
        <v>1057614.6100000001</v>
      </c>
      <c r="E4330" s="461" t="s">
        <v>1497</v>
      </c>
      <c r="F4330" s="461" t="s">
        <v>8328</v>
      </c>
    </row>
    <row r="4331" spans="1:6" ht="30" x14ac:dyDescent="0.25">
      <c r="A4331" s="461">
        <v>13238</v>
      </c>
      <c r="B4331" s="460" t="s">
        <v>12303</v>
      </c>
      <c r="C4331" s="461" t="s">
        <v>1104</v>
      </c>
      <c r="D4331" s="511">
        <v>292266.98</v>
      </c>
      <c r="E4331" s="461" t="s">
        <v>1497</v>
      </c>
      <c r="F4331" s="461" t="s">
        <v>8328</v>
      </c>
    </row>
    <row r="4332" spans="1:6" ht="30" x14ac:dyDescent="0.25">
      <c r="A4332" s="461">
        <v>36511</v>
      </c>
      <c r="B4332" s="460" t="s">
        <v>12304</v>
      </c>
      <c r="C4332" s="461" t="s">
        <v>1104</v>
      </c>
      <c r="D4332" s="511">
        <v>338658.57</v>
      </c>
      <c r="E4332" s="461" t="s">
        <v>1497</v>
      </c>
      <c r="F4332" s="461" t="s">
        <v>8328</v>
      </c>
    </row>
    <row r="4333" spans="1:6" ht="15" x14ac:dyDescent="0.25">
      <c r="A4333" s="461">
        <v>36515</v>
      </c>
      <c r="B4333" s="460" t="s">
        <v>12305</v>
      </c>
      <c r="C4333" s="461" t="s">
        <v>1104</v>
      </c>
      <c r="D4333" s="511">
        <v>99741.9</v>
      </c>
      <c r="E4333" s="461" t="s">
        <v>1497</v>
      </c>
      <c r="F4333" s="461" t="s">
        <v>8328</v>
      </c>
    </row>
    <row r="4334" spans="1:6" ht="30" x14ac:dyDescent="0.25">
      <c r="A4334" s="461">
        <v>10598</v>
      </c>
      <c r="B4334" s="460" t="s">
        <v>12306</v>
      </c>
      <c r="C4334" s="461" t="s">
        <v>1104</v>
      </c>
      <c r="D4334" s="511">
        <v>161746.57</v>
      </c>
      <c r="E4334" s="461" t="s">
        <v>1497</v>
      </c>
      <c r="F4334" s="461" t="s">
        <v>8328</v>
      </c>
    </row>
    <row r="4335" spans="1:6" ht="30" x14ac:dyDescent="0.25">
      <c r="A4335" s="461">
        <v>7640</v>
      </c>
      <c r="B4335" s="460" t="s">
        <v>12307</v>
      </c>
      <c r="C4335" s="461" t="s">
        <v>1104</v>
      </c>
      <c r="D4335" s="511">
        <v>248195</v>
      </c>
      <c r="E4335" s="461" t="s">
        <v>1497</v>
      </c>
      <c r="F4335" s="461" t="s">
        <v>8328</v>
      </c>
    </row>
    <row r="4336" spans="1:6" ht="15" x14ac:dyDescent="0.25">
      <c r="A4336" s="461">
        <v>36513</v>
      </c>
      <c r="B4336" s="460" t="s">
        <v>13414</v>
      </c>
      <c r="C4336" s="461" t="s">
        <v>1104</v>
      </c>
      <c r="D4336" s="511">
        <v>239090.63</v>
      </c>
      <c r="E4336" s="461" t="s">
        <v>1497</v>
      </c>
      <c r="F4336" s="461" t="s">
        <v>8328</v>
      </c>
    </row>
    <row r="4337" spans="1:6" ht="15" x14ac:dyDescent="0.25">
      <c r="A4337" s="461">
        <v>36514</v>
      </c>
      <c r="B4337" s="460" t="s">
        <v>12308</v>
      </c>
      <c r="C4337" s="461" t="s">
        <v>1104</v>
      </c>
      <c r="D4337" s="511">
        <v>266751.62</v>
      </c>
      <c r="E4337" s="461" t="s">
        <v>1497</v>
      </c>
      <c r="F4337" s="461" t="s">
        <v>8328</v>
      </c>
    </row>
    <row r="4338" spans="1:6" ht="15" x14ac:dyDescent="0.25">
      <c r="A4338" s="461">
        <v>11572</v>
      </c>
      <c r="B4338" s="460" t="s">
        <v>12309</v>
      </c>
      <c r="C4338" s="461" t="s">
        <v>1104</v>
      </c>
      <c r="D4338" s="511">
        <v>28.79</v>
      </c>
      <c r="E4338" s="461" t="s">
        <v>161</v>
      </c>
      <c r="F4338" s="461" t="s">
        <v>8326</v>
      </c>
    </row>
    <row r="4339" spans="1:6" ht="30" x14ac:dyDescent="0.25">
      <c r="A4339" s="461">
        <v>36149</v>
      </c>
      <c r="B4339" s="460" t="s">
        <v>12310</v>
      </c>
      <c r="C4339" s="461" t="s">
        <v>1104</v>
      </c>
      <c r="D4339" s="511">
        <v>182.12</v>
      </c>
      <c r="E4339" s="461" t="s">
        <v>161</v>
      </c>
      <c r="F4339" s="461" t="s">
        <v>8326</v>
      </c>
    </row>
    <row r="4340" spans="1:6" ht="30" x14ac:dyDescent="0.25">
      <c r="A4340" s="461">
        <v>42407</v>
      </c>
      <c r="B4340" s="460" t="s">
        <v>12311</v>
      </c>
      <c r="C4340" s="461" t="s">
        <v>1107</v>
      </c>
      <c r="D4340" s="511">
        <v>5.41</v>
      </c>
      <c r="E4340" s="461" t="s">
        <v>161</v>
      </c>
      <c r="F4340" s="461" t="s">
        <v>8326</v>
      </c>
    </row>
    <row r="4341" spans="1:6" ht="30" x14ac:dyDescent="0.25">
      <c r="A4341" s="461">
        <v>11581</v>
      </c>
      <c r="B4341" s="460" t="s">
        <v>12312</v>
      </c>
      <c r="C4341" s="461" t="s">
        <v>1107</v>
      </c>
      <c r="D4341" s="461">
        <v>19</v>
      </c>
      <c r="E4341" s="461" t="s">
        <v>161</v>
      </c>
      <c r="F4341" s="461" t="s">
        <v>8326</v>
      </c>
    </row>
    <row r="4342" spans="1:6" ht="30" x14ac:dyDescent="0.25">
      <c r="A4342" s="461">
        <v>43605</v>
      </c>
      <c r="B4342" s="460" t="s">
        <v>12313</v>
      </c>
      <c r="C4342" s="461" t="s">
        <v>1107</v>
      </c>
      <c r="D4342" s="461">
        <v>38.880000000000003</v>
      </c>
      <c r="E4342" s="461" t="s">
        <v>161</v>
      </c>
      <c r="F4342" s="461" t="s">
        <v>8326</v>
      </c>
    </row>
    <row r="4343" spans="1:6" ht="30" x14ac:dyDescent="0.25">
      <c r="A4343" s="461">
        <v>11580</v>
      </c>
      <c r="B4343" s="460" t="s">
        <v>12314</v>
      </c>
      <c r="C4343" s="461" t="s">
        <v>1107</v>
      </c>
      <c r="D4343" s="511">
        <v>7.62</v>
      </c>
      <c r="E4343" s="461" t="s">
        <v>161</v>
      </c>
      <c r="F4343" s="461" t="s">
        <v>8326</v>
      </c>
    </row>
    <row r="4344" spans="1:6" ht="15" x14ac:dyDescent="0.25">
      <c r="A4344" s="461">
        <v>10743</v>
      </c>
      <c r="B4344" s="460" t="s">
        <v>12315</v>
      </c>
      <c r="C4344" s="461" t="s">
        <v>1104</v>
      </c>
      <c r="D4344" s="511">
        <v>590.33000000000004</v>
      </c>
      <c r="E4344" s="461" t="s">
        <v>161</v>
      </c>
      <c r="F4344" s="461" t="s">
        <v>8328</v>
      </c>
    </row>
    <row r="4345" spans="1:6" ht="30" x14ac:dyDescent="0.25">
      <c r="A4345" s="461">
        <v>39848</v>
      </c>
      <c r="B4345" s="460" t="s">
        <v>12316</v>
      </c>
      <c r="C4345" s="461" t="s">
        <v>1107</v>
      </c>
      <c r="D4345" s="511">
        <v>1.78</v>
      </c>
      <c r="E4345" s="461" t="s">
        <v>161</v>
      </c>
      <c r="F4345" s="461" t="s">
        <v>8328</v>
      </c>
    </row>
    <row r="4346" spans="1:6" ht="30" x14ac:dyDescent="0.25">
      <c r="A4346" s="461">
        <v>20999</v>
      </c>
      <c r="B4346" s="460" t="s">
        <v>12317</v>
      </c>
      <c r="C4346" s="461" t="s">
        <v>1107</v>
      </c>
      <c r="D4346" s="511">
        <v>7.86</v>
      </c>
      <c r="E4346" s="461" t="s">
        <v>161</v>
      </c>
      <c r="F4346" s="461" t="s">
        <v>8326</v>
      </c>
    </row>
    <row r="4347" spans="1:6" ht="30" x14ac:dyDescent="0.25">
      <c r="A4347" s="461">
        <v>21001</v>
      </c>
      <c r="B4347" s="460" t="s">
        <v>12318</v>
      </c>
      <c r="C4347" s="461" t="s">
        <v>1107</v>
      </c>
      <c r="D4347" s="511">
        <v>14.67</v>
      </c>
      <c r="E4347" s="461" t="s">
        <v>161</v>
      </c>
      <c r="F4347" s="461" t="s">
        <v>8333</v>
      </c>
    </row>
    <row r="4348" spans="1:6" ht="30" x14ac:dyDescent="0.25">
      <c r="A4348" s="461">
        <v>21003</v>
      </c>
      <c r="B4348" s="460" t="s">
        <v>12319</v>
      </c>
      <c r="C4348" s="461" t="s">
        <v>1107</v>
      </c>
      <c r="D4348" s="511">
        <v>24.1</v>
      </c>
      <c r="E4348" s="461" t="s">
        <v>161</v>
      </c>
      <c r="F4348" s="461" t="s">
        <v>8326</v>
      </c>
    </row>
    <row r="4349" spans="1:6" ht="30" x14ac:dyDescent="0.25">
      <c r="A4349" s="461">
        <v>21006</v>
      </c>
      <c r="B4349" s="460" t="s">
        <v>12320</v>
      </c>
      <c r="C4349" s="461" t="s">
        <v>1107</v>
      </c>
      <c r="D4349" s="511">
        <v>51.16</v>
      </c>
      <c r="E4349" s="461" t="s">
        <v>161</v>
      </c>
      <c r="F4349" s="461" t="s">
        <v>8326</v>
      </c>
    </row>
    <row r="4350" spans="1:6" ht="30" x14ac:dyDescent="0.25">
      <c r="A4350" s="461">
        <v>21019</v>
      </c>
      <c r="B4350" s="460" t="s">
        <v>12321</v>
      </c>
      <c r="C4350" s="461" t="s">
        <v>1107</v>
      </c>
      <c r="D4350" s="511">
        <v>17.78</v>
      </c>
      <c r="E4350" s="461" t="s">
        <v>161</v>
      </c>
      <c r="F4350" s="461" t="s">
        <v>8326</v>
      </c>
    </row>
    <row r="4351" spans="1:6" ht="30" x14ac:dyDescent="0.25">
      <c r="A4351" s="461">
        <v>21021</v>
      </c>
      <c r="B4351" s="460" t="s">
        <v>12322</v>
      </c>
      <c r="C4351" s="461" t="s">
        <v>1107</v>
      </c>
      <c r="D4351" s="511">
        <v>28.11</v>
      </c>
      <c r="E4351" s="461" t="s">
        <v>161</v>
      </c>
      <c r="F4351" s="461" t="s">
        <v>8326</v>
      </c>
    </row>
    <row r="4352" spans="1:6" ht="30" x14ac:dyDescent="0.25">
      <c r="A4352" s="461">
        <v>21024</v>
      </c>
      <c r="B4352" s="460" t="s">
        <v>12323</v>
      </c>
      <c r="C4352" s="461" t="s">
        <v>1107</v>
      </c>
      <c r="D4352" s="511">
        <v>60.23</v>
      </c>
      <c r="E4352" s="461" t="s">
        <v>161</v>
      </c>
      <c r="F4352" s="461" t="s">
        <v>8326</v>
      </c>
    </row>
    <row r="4353" spans="1:6" ht="15" x14ac:dyDescent="0.25">
      <c r="A4353" s="461">
        <v>40624</v>
      </c>
      <c r="B4353" s="460" t="s">
        <v>12324</v>
      </c>
      <c r="C4353" s="461" t="s">
        <v>1107</v>
      </c>
      <c r="D4353" s="511">
        <v>88.81</v>
      </c>
      <c r="E4353" s="461" t="s">
        <v>161</v>
      </c>
      <c r="F4353" s="461" t="s">
        <v>8328</v>
      </c>
    </row>
    <row r="4354" spans="1:6" ht="15" x14ac:dyDescent="0.25">
      <c r="A4354" s="461">
        <v>42575</v>
      </c>
      <c r="B4354" s="460" t="s">
        <v>12325</v>
      </c>
      <c r="C4354" s="461" t="s">
        <v>1107</v>
      </c>
      <c r="D4354" s="511">
        <v>81.489999999999995</v>
      </c>
      <c r="E4354" s="461" t="s">
        <v>161</v>
      </c>
      <c r="F4354" s="461" t="s">
        <v>8328</v>
      </c>
    </row>
    <row r="4355" spans="1:6" ht="15" x14ac:dyDescent="0.25">
      <c r="A4355" s="461">
        <v>13127</v>
      </c>
      <c r="B4355" s="460" t="s">
        <v>12326</v>
      </c>
      <c r="C4355" s="461" t="s">
        <v>1107</v>
      </c>
      <c r="D4355" s="511">
        <v>39.61</v>
      </c>
      <c r="E4355" s="461" t="s">
        <v>161</v>
      </c>
      <c r="F4355" s="461" t="s">
        <v>8328</v>
      </c>
    </row>
    <row r="4356" spans="1:6" ht="15" x14ac:dyDescent="0.25">
      <c r="A4356" s="461">
        <v>13137</v>
      </c>
      <c r="B4356" s="460" t="s">
        <v>12327</v>
      </c>
      <c r="C4356" s="461" t="s">
        <v>1107</v>
      </c>
      <c r="D4356" s="511">
        <v>52.56</v>
      </c>
      <c r="E4356" s="461" t="s">
        <v>161</v>
      </c>
      <c r="F4356" s="461" t="s">
        <v>8328</v>
      </c>
    </row>
    <row r="4357" spans="1:6" ht="15" x14ac:dyDescent="0.25">
      <c r="A4357" s="461">
        <v>42574</v>
      </c>
      <c r="B4357" s="460" t="s">
        <v>12328</v>
      </c>
      <c r="C4357" s="461" t="s">
        <v>1107</v>
      </c>
      <c r="D4357" s="511">
        <v>60.81</v>
      </c>
      <c r="E4357" s="461" t="s">
        <v>161</v>
      </c>
      <c r="F4357" s="461" t="s">
        <v>8328</v>
      </c>
    </row>
    <row r="4358" spans="1:6" ht="15" x14ac:dyDescent="0.25">
      <c r="A4358" s="461">
        <v>20989</v>
      </c>
      <c r="B4358" s="460" t="s">
        <v>12329</v>
      </c>
      <c r="C4358" s="461" t="s">
        <v>1107</v>
      </c>
      <c r="D4358" s="461">
        <v>1883.2</v>
      </c>
      <c r="E4358" s="461" t="s">
        <v>161</v>
      </c>
      <c r="F4358" s="461" t="s">
        <v>8328</v>
      </c>
    </row>
    <row r="4359" spans="1:6" ht="15" x14ac:dyDescent="0.25">
      <c r="A4359" s="461">
        <v>21147</v>
      </c>
      <c r="B4359" s="460" t="s">
        <v>12330</v>
      </c>
      <c r="C4359" s="461" t="s">
        <v>1107</v>
      </c>
      <c r="D4359" s="461">
        <v>176.57</v>
      </c>
      <c r="E4359" s="461" t="s">
        <v>161</v>
      </c>
      <c r="F4359" s="461" t="s">
        <v>8328</v>
      </c>
    </row>
    <row r="4360" spans="1:6" ht="15" x14ac:dyDescent="0.25">
      <c r="A4360" s="461">
        <v>21148</v>
      </c>
      <c r="B4360" s="460" t="s">
        <v>12331</v>
      </c>
      <c r="C4360" s="461" t="s">
        <v>1107</v>
      </c>
      <c r="D4360" s="461">
        <v>108.98</v>
      </c>
      <c r="E4360" s="461" t="s">
        <v>161</v>
      </c>
      <c r="F4360" s="461" t="s">
        <v>8328</v>
      </c>
    </row>
    <row r="4361" spans="1:6" ht="15" x14ac:dyDescent="0.25">
      <c r="A4361" s="461">
        <v>20984</v>
      </c>
      <c r="B4361" s="460" t="s">
        <v>12332</v>
      </c>
      <c r="C4361" s="461" t="s">
        <v>1107</v>
      </c>
      <c r="D4361" s="461">
        <v>3613.49</v>
      </c>
      <c r="E4361" s="461" t="s">
        <v>161</v>
      </c>
      <c r="F4361" s="461" t="s">
        <v>8328</v>
      </c>
    </row>
    <row r="4362" spans="1:6" ht="15" x14ac:dyDescent="0.25">
      <c r="A4362" s="461">
        <v>13042</v>
      </c>
      <c r="B4362" s="460" t="s">
        <v>13415</v>
      </c>
      <c r="C4362" s="461" t="s">
        <v>1107</v>
      </c>
      <c r="D4362" s="461">
        <v>2002.41</v>
      </c>
      <c r="E4362" s="461" t="s">
        <v>161</v>
      </c>
      <c r="F4362" s="461" t="s">
        <v>8328</v>
      </c>
    </row>
    <row r="4363" spans="1:6" ht="15" x14ac:dyDescent="0.25">
      <c r="A4363" s="461">
        <v>21150</v>
      </c>
      <c r="B4363" s="460" t="s">
        <v>12333</v>
      </c>
      <c r="C4363" s="461" t="s">
        <v>1107</v>
      </c>
      <c r="D4363" s="461">
        <v>54.04</v>
      </c>
      <c r="E4363" s="461" t="s">
        <v>161</v>
      </c>
      <c r="F4363" s="461" t="s">
        <v>8328</v>
      </c>
    </row>
    <row r="4364" spans="1:6" ht="15" x14ac:dyDescent="0.25">
      <c r="A4364" s="461">
        <v>13141</v>
      </c>
      <c r="B4364" s="460" t="s">
        <v>12334</v>
      </c>
      <c r="C4364" s="461" t="s">
        <v>1107</v>
      </c>
      <c r="D4364" s="461">
        <v>68.08</v>
      </c>
      <c r="E4364" s="461" t="s">
        <v>161</v>
      </c>
      <c r="F4364" s="461" t="s">
        <v>8328</v>
      </c>
    </row>
    <row r="4365" spans="1:6" ht="15" x14ac:dyDescent="0.25">
      <c r="A4365" s="461">
        <v>42576</v>
      </c>
      <c r="B4365" s="460" t="s">
        <v>12335</v>
      </c>
      <c r="C4365" s="461" t="s">
        <v>1107</v>
      </c>
      <c r="D4365" s="461">
        <v>222.3</v>
      </c>
      <c r="E4365" s="461" t="s">
        <v>161</v>
      </c>
      <c r="F4365" s="461" t="s">
        <v>8328</v>
      </c>
    </row>
    <row r="4366" spans="1:6" ht="15" x14ac:dyDescent="0.25">
      <c r="A4366" s="461">
        <v>21151</v>
      </c>
      <c r="B4366" s="460" t="s">
        <v>12336</v>
      </c>
      <c r="C4366" s="461" t="s">
        <v>1107</v>
      </c>
      <c r="D4366" s="461">
        <v>323.45</v>
      </c>
      <c r="E4366" s="461" t="s">
        <v>161</v>
      </c>
      <c r="F4366" s="461" t="s">
        <v>8328</v>
      </c>
    </row>
    <row r="4367" spans="1:6" ht="15" x14ac:dyDescent="0.25">
      <c r="A4367" s="461">
        <v>13142</v>
      </c>
      <c r="B4367" s="460" t="s">
        <v>12337</v>
      </c>
      <c r="C4367" s="461" t="s">
        <v>1107</v>
      </c>
      <c r="D4367" s="461">
        <v>462.4</v>
      </c>
      <c r="E4367" s="461" t="s">
        <v>161</v>
      </c>
      <c r="F4367" s="461" t="s">
        <v>8328</v>
      </c>
    </row>
    <row r="4368" spans="1:6" ht="15" x14ac:dyDescent="0.25">
      <c r="A4368" s="461">
        <v>42577</v>
      </c>
      <c r="B4368" s="460" t="s">
        <v>12338</v>
      </c>
      <c r="C4368" s="461" t="s">
        <v>1107</v>
      </c>
      <c r="D4368" s="461">
        <v>507.38</v>
      </c>
      <c r="E4368" s="461" t="s">
        <v>161</v>
      </c>
      <c r="F4368" s="461" t="s">
        <v>8328</v>
      </c>
    </row>
    <row r="4369" spans="1:6" ht="15" x14ac:dyDescent="0.25">
      <c r="A4369" s="461">
        <v>20994</v>
      </c>
      <c r="B4369" s="460" t="s">
        <v>12339</v>
      </c>
      <c r="C4369" s="461" t="s">
        <v>1107</v>
      </c>
      <c r="D4369" s="461">
        <v>871.83</v>
      </c>
      <c r="E4369" s="461" t="s">
        <v>161</v>
      </c>
      <c r="F4369" s="461" t="s">
        <v>8328</v>
      </c>
    </row>
    <row r="4370" spans="1:6" ht="15" x14ac:dyDescent="0.25">
      <c r="A4370" s="461">
        <v>7672</v>
      </c>
      <c r="B4370" s="460" t="s">
        <v>13416</v>
      </c>
      <c r="C4370" s="461" t="s">
        <v>1107</v>
      </c>
      <c r="D4370" s="461">
        <v>571.14</v>
      </c>
      <c r="E4370" s="461" t="s">
        <v>161</v>
      </c>
      <c r="F4370" s="461" t="s">
        <v>8328</v>
      </c>
    </row>
    <row r="4371" spans="1:6" ht="15" x14ac:dyDescent="0.25">
      <c r="A4371" s="461">
        <v>20995</v>
      </c>
      <c r="B4371" s="460" t="s">
        <v>12340</v>
      </c>
      <c r="C4371" s="461" t="s">
        <v>1107</v>
      </c>
      <c r="D4371" s="461">
        <v>1145.74</v>
      </c>
      <c r="E4371" s="461" t="s">
        <v>161</v>
      </c>
      <c r="F4371" s="461" t="s">
        <v>8328</v>
      </c>
    </row>
    <row r="4372" spans="1:6" ht="15" x14ac:dyDescent="0.25">
      <c r="A4372" s="461">
        <v>7690</v>
      </c>
      <c r="B4372" s="460" t="s">
        <v>13417</v>
      </c>
      <c r="C4372" s="461" t="s">
        <v>1107</v>
      </c>
      <c r="D4372" s="461">
        <v>662.66</v>
      </c>
      <c r="E4372" s="461" t="s">
        <v>161</v>
      </c>
      <c r="F4372" s="461" t="s">
        <v>8328</v>
      </c>
    </row>
    <row r="4373" spans="1:6" ht="15" x14ac:dyDescent="0.25">
      <c r="A4373" s="461">
        <v>20980</v>
      </c>
      <c r="B4373" s="460" t="s">
        <v>12341</v>
      </c>
      <c r="C4373" s="461" t="s">
        <v>1107</v>
      </c>
      <c r="D4373" s="461">
        <v>722.9</v>
      </c>
      <c r="E4373" s="461" t="s">
        <v>161</v>
      </c>
      <c r="F4373" s="461" t="s">
        <v>8328</v>
      </c>
    </row>
    <row r="4374" spans="1:6" ht="15" x14ac:dyDescent="0.25">
      <c r="A4374" s="461">
        <v>7661</v>
      </c>
      <c r="B4374" s="460" t="s">
        <v>12342</v>
      </c>
      <c r="C4374" s="461" t="s">
        <v>1107</v>
      </c>
      <c r="D4374" s="461">
        <v>859.95</v>
      </c>
      <c r="E4374" s="461" t="s">
        <v>161</v>
      </c>
      <c r="F4374" s="461" t="s">
        <v>8328</v>
      </c>
    </row>
    <row r="4375" spans="1:6" ht="30" x14ac:dyDescent="0.25">
      <c r="A4375" s="461">
        <v>21016</v>
      </c>
      <c r="B4375" s="460" t="s">
        <v>13418</v>
      </c>
      <c r="C4375" s="461" t="s">
        <v>1107</v>
      </c>
      <c r="D4375" s="461">
        <v>163.25</v>
      </c>
      <c r="E4375" s="461" t="s">
        <v>161</v>
      </c>
      <c r="F4375" s="461" t="s">
        <v>8328</v>
      </c>
    </row>
    <row r="4376" spans="1:6" ht="30" x14ac:dyDescent="0.25">
      <c r="A4376" s="461">
        <v>21008</v>
      </c>
      <c r="B4376" s="460" t="s">
        <v>13419</v>
      </c>
      <c r="C4376" s="461" t="s">
        <v>1107</v>
      </c>
      <c r="D4376" s="461">
        <v>19.07</v>
      </c>
      <c r="E4376" s="461" t="s">
        <v>161</v>
      </c>
      <c r="F4376" s="461" t="s">
        <v>8328</v>
      </c>
    </row>
    <row r="4377" spans="1:6" ht="30" x14ac:dyDescent="0.25">
      <c r="A4377" s="461">
        <v>21009</v>
      </c>
      <c r="B4377" s="460" t="s">
        <v>13420</v>
      </c>
      <c r="C4377" s="461" t="s">
        <v>1107</v>
      </c>
      <c r="D4377" s="461">
        <v>24.83</v>
      </c>
      <c r="E4377" s="461" t="s">
        <v>161</v>
      </c>
      <c r="F4377" s="461" t="s">
        <v>8328</v>
      </c>
    </row>
    <row r="4378" spans="1:6" ht="30" x14ac:dyDescent="0.25">
      <c r="A4378" s="461">
        <v>21010</v>
      </c>
      <c r="B4378" s="460" t="s">
        <v>13421</v>
      </c>
      <c r="C4378" s="461" t="s">
        <v>1107</v>
      </c>
      <c r="D4378" s="511">
        <v>33.340000000000003</v>
      </c>
      <c r="E4378" s="461" t="s">
        <v>161</v>
      </c>
      <c r="F4378" s="461" t="s">
        <v>8328</v>
      </c>
    </row>
    <row r="4379" spans="1:6" ht="30" x14ac:dyDescent="0.25">
      <c r="A4379" s="461">
        <v>21011</v>
      </c>
      <c r="B4379" s="460" t="s">
        <v>13422</v>
      </c>
      <c r="C4379" s="461" t="s">
        <v>1107</v>
      </c>
      <c r="D4379" s="461">
        <v>48.59</v>
      </c>
      <c r="E4379" s="461" t="s">
        <v>161</v>
      </c>
      <c r="F4379" s="461" t="s">
        <v>8328</v>
      </c>
    </row>
    <row r="4380" spans="1:6" ht="30" x14ac:dyDescent="0.25">
      <c r="A4380" s="461">
        <v>21012</v>
      </c>
      <c r="B4380" s="460" t="s">
        <v>13423</v>
      </c>
      <c r="C4380" s="461" t="s">
        <v>1107</v>
      </c>
      <c r="D4380" s="461">
        <v>53.7</v>
      </c>
      <c r="E4380" s="461" t="s">
        <v>161</v>
      </c>
      <c r="F4380" s="461" t="s">
        <v>8328</v>
      </c>
    </row>
    <row r="4381" spans="1:6" ht="30" x14ac:dyDescent="0.25">
      <c r="A4381" s="461">
        <v>21013</v>
      </c>
      <c r="B4381" s="460" t="s">
        <v>13424</v>
      </c>
      <c r="C4381" s="461" t="s">
        <v>1107</v>
      </c>
      <c r="D4381" s="511">
        <v>70.069999999999993</v>
      </c>
      <c r="E4381" s="461" t="s">
        <v>161</v>
      </c>
      <c r="F4381" s="461" t="s">
        <v>8328</v>
      </c>
    </row>
    <row r="4382" spans="1:6" ht="30" x14ac:dyDescent="0.25">
      <c r="A4382" s="461">
        <v>21014</v>
      </c>
      <c r="B4382" s="460" t="s">
        <v>13425</v>
      </c>
      <c r="C4382" s="461" t="s">
        <v>1107</v>
      </c>
      <c r="D4382" s="511">
        <v>98.05</v>
      </c>
      <c r="E4382" s="461" t="s">
        <v>161</v>
      </c>
      <c r="F4382" s="461" t="s">
        <v>8328</v>
      </c>
    </row>
    <row r="4383" spans="1:6" ht="30" x14ac:dyDescent="0.25">
      <c r="A4383" s="461">
        <v>21015</v>
      </c>
      <c r="B4383" s="460" t="s">
        <v>13426</v>
      </c>
      <c r="C4383" s="461" t="s">
        <v>1107</v>
      </c>
      <c r="D4383" s="461">
        <v>112.64</v>
      </c>
      <c r="E4383" s="461" t="s">
        <v>161</v>
      </c>
      <c r="F4383" s="461" t="s">
        <v>8328</v>
      </c>
    </row>
    <row r="4384" spans="1:6" ht="30" x14ac:dyDescent="0.25">
      <c r="A4384" s="461">
        <v>7697</v>
      </c>
      <c r="B4384" s="460" t="s">
        <v>12343</v>
      </c>
      <c r="C4384" s="461" t="s">
        <v>1107</v>
      </c>
      <c r="D4384" s="461">
        <v>53.75</v>
      </c>
      <c r="E4384" s="461" t="s">
        <v>161</v>
      </c>
      <c r="F4384" s="461" t="s">
        <v>8328</v>
      </c>
    </row>
    <row r="4385" spans="1:6" ht="30" x14ac:dyDescent="0.25">
      <c r="A4385" s="461">
        <v>7698</v>
      </c>
      <c r="B4385" s="460" t="s">
        <v>12344</v>
      </c>
      <c r="C4385" s="461" t="s">
        <v>1107</v>
      </c>
      <c r="D4385" s="461">
        <v>46.27</v>
      </c>
      <c r="E4385" s="461" t="s">
        <v>161</v>
      </c>
      <c r="F4385" s="461" t="s">
        <v>8328</v>
      </c>
    </row>
    <row r="4386" spans="1:6" ht="30" x14ac:dyDescent="0.25">
      <c r="A4386" s="461">
        <v>7691</v>
      </c>
      <c r="B4386" s="460" t="s">
        <v>12345</v>
      </c>
      <c r="C4386" s="461" t="s">
        <v>1107</v>
      </c>
      <c r="D4386" s="461">
        <v>19.55</v>
      </c>
      <c r="E4386" s="461" t="s">
        <v>161</v>
      </c>
      <c r="F4386" s="461" t="s">
        <v>8328</v>
      </c>
    </row>
    <row r="4387" spans="1:6" ht="30" x14ac:dyDescent="0.25">
      <c r="A4387" s="461">
        <v>40626</v>
      </c>
      <c r="B4387" s="460" t="s">
        <v>12346</v>
      </c>
      <c r="C4387" s="461" t="s">
        <v>1107</v>
      </c>
      <c r="D4387" s="461">
        <v>36.69</v>
      </c>
      <c r="E4387" s="461" t="s">
        <v>161</v>
      </c>
      <c r="F4387" s="461" t="s">
        <v>8328</v>
      </c>
    </row>
    <row r="4388" spans="1:6" ht="30" x14ac:dyDescent="0.25">
      <c r="A4388" s="461">
        <v>7701</v>
      </c>
      <c r="B4388" s="460" t="s">
        <v>12347</v>
      </c>
      <c r="C4388" s="461" t="s">
        <v>1107</v>
      </c>
      <c r="D4388" s="461">
        <v>96.19</v>
      </c>
      <c r="E4388" s="461" t="s">
        <v>161</v>
      </c>
      <c r="F4388" s="461" t="s">
        <v>8328</v>
      </c>
    </row>
    <row r="4389" spans="1:6" ht="30" x14ac:dyDescent="0.25">
      <c r="A4389" s="461">
        <v>7696</v>
      </c>
      <c r="B4389" s="460" t="s">
        <v>12348</v>
      </c>
      <c r="C4389" s="461" t="s">
        <v>1107</v>
      </c>
      <c r="D4389" s="461">
        <v>77.510000000000005</v>
      </c>
      <c r="E4389" s="461" t="s">
        <v>161</v>
      </c>
      <c r="F4389" s="461" t="s">
        <v>8328</v>
      </c>
    </row>
    <row r="4390" spans="1:6" ht="30" x14ac:dyDescent="0.25">
      <c r="A4390" s="461">
        <v>7700</v>
      </c>
      <c r="B4390" s="460" t="s">
        <v>12349</v>
      </c>
      <c r="C4390" s="461" t="s">
        <v>1107</v>
      </c>
      <c r="D4390" s="461">
        <v>24.72</v>
      </c>
      <c r="E4390" s="461" t="s">
        <v>161</v>
      </c>
      <c r="F4390" s="461" t="s">
        <v>8328</v>
      </c>
    </row>
    <row r="4391" spans="1:6" ht="30" x14ac:dyDescent="0.25">
      <c r="A4391" s="461">
        <v>7694</v>
      </c>
      <c r="B4391" s="460" t="s">
        <v>12350</v>
      </c>
      <c r="C4391" s="461" t="s">
        <v>1107</v>
      </c>
      <c r="D4391" s="511">
        <v>129.44</v>
      </c>
      <c r="E4391" s="461" t="s">
        <v>161</v>
      </c>
      <c r="F4391" s="461" t="s">
        <v>8328</v>
      </c>
    </row>
    <row r="4392" spans="1:6" ht="30" x14ac:dyDescent="0.25">
      <c r="A4392" s="461">
        <v>7693</v>
      </c>
      <c r="B4392" s="460" t="s">
        <v>12351</v>
      </c>
      <c r="C4392" s="461" t="s">
        <v>1107</v>
      </c>
      <c r="D4392" s="461">
        <v>178.27</v>
      </c>
      <c r="E4392" s="461" t="s">
        <v>161</v>
      </c>
      <c r="F4392" s="461" t="s">
        <v>8328</v>
      </c>
    </row>
    <row r="4393" spans="1:6" ht="30" x14ac:dyDescent="0.25">
      <c r="A4393" s="461">
        <v>7692</v>
      </c>
      <c r="B4393" s="460" t="s">
        <v>12352</v>
      </c>
      <c r="C4393" s="461" t="s">
        <v>1107</v>
      </c>
      <c r="D4393" s="461">
        <v>266.89999999999998</v>
      </c>
      <c r="E4393" s="461" t="s">
        <v>161</v>
      </c>
      <c r="F4393" s="461" t="s">
        <v>8328</v>
      </c>
    </row>
    <row r="4394" spans="1:6" ht="30" x14ac:dyDescent="0.25">
      <c r="A4394" s="461">
        <v>7695</v>
      </c>
      <c r="B4394" s="460" t="s">
        <v>12353</v>
      </c>
      <c r="C4394" s="461" t="s">
        <v>1107</v>
      </c>
      <c r="D4394" s="461">
        <v>289.45999999999998</v>
      </c>
      <c r="E4394" s="461" t="s">
        <v>161</v>
      </c>
      <c r="F4394" s="461" t="s">
        <v>8328</v>
      </c>
    </row>
    <row r="4395" spans="1:6" ht="15" x14ac:dyDescent="0.25">
      <c r="A4395" s="461">
        <v>13356</v>
      </c>
      <c r="B4395" s="460" t="s">
        <v>12354</v>
      </c>
      <c r="C4395" s="461" t="s">
        <v>1107</v>
      </c>
      <c r="D4395" s="461">
        <v>20.99</v>
      </c>
      <c r="E4395" s="461" t="s">
        <v>161</v>
      </c>
      <c r="F4395" s="461" t="s">
        <v>8328</v>
      </c>
    </row>
    <row r="4396" spans="1:6" ht="15" x14ac:dyDescent="0.25">
      <c r="A4396" s="461">
        <v>36365</v>
      </c>
      <c r="B4396" s="460" t="s">
        <v>12355</v>
      </c>
      <c r="C4396" s="461" t="s">
        <v>1107</v>
      </c>
      <c r="D4396" s="461">
        <v>33.64</v>
      </c>
      <c r="E4396" s="461" t="s">
        <v>161</v>
      </c>
      <c r="F4396" s="461" t="s">
        <v>8326</v>
      </c>
    </row>
    <row r="4397" spans="1:6" ht="15" x14ac:dyDescent="0.25">
      <c r="A4397" s="461">
        <v>41930</v>
      </c>
      <c r="B4397" s="460" t="s">
        <v>12356</v>
      </c>
      <c r="C4397" s="461" t="s">
        <v>1107</v>
      </c>
      <c r="D4397" s="461">
        <v>112.04</v>
      </c>
      <c r="E4397" s="461" t="s">
        <v>161</v>
      </c>
      <c r="F4397" s="461" t="s">
        <v>8326</v>
      </c>
    </row>
    <row r="4398" spans="1:6" ht="15" x14ac:dyDescent="0.25">
      <c r="A4398" s="461">
        <v>41931</v>
      </c>
      <c r="B4398" s="460" t="s">
        <v>12357</v>
      </c>
      <c r="C4398" s="461" t="s">
        <v>1107</v>
      </c>
      <c r="D4398" s="461">
        <v>175.48</v>
      </c>
      <c r="E4398" s="461" t="s">
        <v>161</v>
      </c>
      <c r="F4398" s="461" t="s">
        <v>8326</v>
      </c>
    </row>
    <row r="4399" spans="1:6" ht="15" x14ac:dyDescent="0.25">
      <c r="A4399" s="461">
        <v>41932</v>
      </c>
      <c r="B4399" s="460" t="s">
        <v>12358</v>
      </c>
      <c r="C4399" s="461" t="s">
        <v>1107</v>
      </c>
      <c r="D4399" s="461">
        <v>270.08999999999997</v>
      </c>
      <c r="E4399" s="461" t="s">
        <v>161</v>
      </c>
      <c r="F4399" s="461" t="s">
        <v>8326</v>
      </c>
    </row>
    <row r="4400" spans="1:6" ht="15" x14ac:dyDescent="0.25">
      <c r="A4400" s="461">
        <v>41933</v>
      </c>
      <c r="B4400" s="460" t="s">
        <v>12359</v>
      </c>
      <c r="C4400" s="461" t="s">
        <v>1107</v>
      </c>
      <c r="D4400" s="461">
        <v>381.7</v>
      </c>
      <c r="E4400" s="461" t="s">
        <v>161</v>
      </c>
      <c r="F4400" s="461" t="s">
        <v>8326</v>
      </c>
    </row>
    <row r="4401" spans="1:6" ht="15" x14ac:dyDescent="0.25">
      <c r="A4401" s="461">
        <v>41934</v>
      </c>
      <c r="B4401" s="460" t="s">
        <v>12360</v>
      </c>
      <c r="C4401" s="461" t="s">
        <v>1107</v>
      </c>
      <c r="D4401" s="461">
        <v>444.54</v>
      </c>
      <c r="E4401" s="461" t="s">
        <v>161</v>
      </c>
      <c r="F4401" s="461" t="s">
        <v>8326</v>
      </c>
    </row>
    <row r="4402" spans="1:6" ht="15" x14ac:dyDescent="0.25">
      <c r="A4402" s="461">
        <v>41936</v>
      </c>
      <c r="B4402" s="460" t="s">
        <v>13427</v>
      </c>
      <c r="C4402" s="461" t="s">
        <v>1107</v>
      </c>
      <c r="D4402" s="461">
        <v>65.97</v>
      </c>
      <c r="E4402" s="461" t="s">
        <v>161</v>
      </c>
      <c r="F4402" s="461" t="s">
        <v>8326</v>
      </c>
    </row>
    <row r="4403" spans="1:6" ht="30" x14ac:dyDescent="0.25">
      <c r="A4403" s="461">
        <v>44812</v>
      </c>
      <c r="B4403" s="460" t="s">
        <v>12361</v>
      </c>
      <c r="C4403" s="461" t="s">
        <v>1107</v>
      </c>
      <c r="D4403" s="461">
        <v>428.1</v>
      </c>
      <c r="E4403" s="461" t="s">
        <v>161</v>
      </c>
      <c r="F4403" s="461" t="s">
        <v>8326</v>
      </c>
    </row>
    <row r="4404" spans="1:6" ht="30" x14ac:dyDescent="0.25">
      <c r="A4404" s="461">
        <v>41785</v>
      </c>
      <c r="B4404" s="460" t="s">
        <v>12362</v>
      </c>
      <c r="C4404" s="461" t="s">
        <v>1107</v>
      </c>
      <c r="D4404" s="461">
        <v>1586.5</v>
      </c>
      <c r="E4404" s="461" t="s">
        <v>161</v>
      </c>
      <c r="F4404" s="461" t="s">
        <v>8326</v>
      </c>
    </row>
    <row r="4405" spans="1:6" ht="30" x14ac:dyDescent="0.25">
      <c r="A4405" s="461">
        <v>41781</v>
      </c>
      <c r="B4405" s="460" t="s">
        <v>12363</v>
      </c>
      <c r="C4405" s="461" t="s">
        <v>1107</v>
      </c>
      <c r="D4405" s="461">
        <v>286.47000000000003</v>
      </c>
      <c r="E4405" s="461" t="s">
        <v>161</v>
      </c>
      <c r="F4405" s="461" t="s">
        <v>8326</v>
      </c>
    </row>
    <row r="4406" spans="1:6" ht="30" x14ac:dyDescent="0.25">
      <c r="A4406" s="461">
        <v>41783</v>
      </c>
      <c r="B4406" s="460" t="s">
        <v>12364</v>
      </c>
      <c r="C4406" s="461" t="s">
        <v>1107</v>
      </c>
      <c r="D4406" s="461">
        <v>1029.8699999999999</v>
      </c>
      <c r="E4406" s="461" t="s">
        <v>161</v>
      </c>
      <c r="F4406" s="461" t="s">
        <v>8326</v>
      </c>
    </row>
    <row r="4407" spans="1:6" ht="30" x14ac:dyDescent="0.25">
      <c r="A4407" s="461">
        <v>41786</v>
      </c>
      <c r="B4407" s="460" t="s">
        <v>12365</v>
      </c>
      <c r="C4407" s="461" t="s">
        <v>1107</v>
      </c>
      <c r="D4407" s="461">
        <v>2192.64</v>
      </c>
      <c r="E4407" s="461" t="s">
        <v>161</v>
      </c>
      <c r="F4407" s="461" t="s">
        <v>8326</v>
      </c>
    </row>
    <row r="4408" spans="1:6" ht="30" x14ac:dyDescent="0.25">
      <c r="A4408" s="461">
        <v>41779</v>
      </c>
      <c r="B4408" s="460" t="s">
        <v>12366</v>
      </c>
      <c r="C4408" s="461" t="s">
        <v>1107</v>
      </c>
      <c r="D4408" s="461">
        <v>112.82</v>
      </c>
      <c r="E4408" s="461" t="s">
        <v>161</v>
      </c>
      <c r="F4408" s="461" t="s">
        <v>8326</v>
      </c>
    </row>
    <row r="4409" spans="1:6" ht="30" x14ac:dyDescent="0.25">
      <c r="A4409" s="461">
        <v>41780</v>
      </c>
      <c r="B4409" s="460" t="s">
        <v>12367</v>
      </c>
      <c r="C4409" s="461" t="s">
        <v>1107</v>
      </c>
      <c r="D4409" s="461">
        <v>176.75</v>
      </c>
      <c r="E4409" s="461" t="s">
        <v>161</v>
      </c>
      <c r="F4409" s="461" t="s">
        <v>8326</v>
      </c>
    </row>
    <row r="4410" spans="1:6" ht="30" x14ac:dyDescent="0.25">
      <c r="A4410" s="461">
        <v>41782</v>
      </c>
      <c r="B4410" s="460" t="s">
        <v>12368</v>
      </c>
      <c r="C4410" s="461" t="s">
        <v>1107</v>
      </c>
      <c r="D4410" s="461">
        <v>633.16999999999996</v>
      </c>
      <c r="E4410" s="461" t="s">
        <v>161</v>
      </c>
      <c r="F4410" s="461" t="s">
        <v>8326</v>
      </c>
    </row>
    <row r="4411" spans="1:6" ht="15" x14ac:dyDescent="0.25">
      <c r="A4411" s="461">
        <v>38130</v>
      </c>
      <c r="B4411" s="460" t="s">
        <v>12369</v>
      </c>
      <c r="C4411" s="461" t="s">
        <v>1107</v>
      </c>
      <c r="D4411" s="461">
        <v>35.29</v>
      </c>
      <c r="E4411" s="461" t="s">
        <v>161</v>
      </c>
      <c r="F4411" s="461" t="s">
        <v>8326</v>
      </c>
    </row>
    <row r="4412" spans="1:6" ht="15" x14ac:dyDescent="0.25">
      <c r="A4412" s="461">
        <v>44260</v>
      </c>
      <c r="B4412" s="460" t="s">
        <v>12370</v>
      </c>
      <c r="C4412" s="461" t="s">
        <v>1107</v>
      </c>
      <c r="D4412" s="461">
        <v>333.98</v>
      </c>
      <c r="E4412" s="461" t="s">
        <v>161</v>
      </c>
      <c r="F4412" s="461" t="s">
        <v>8326</v>
      </c>
    </row>
    <row r="4413" spans="1:6" ht="15" x14ac:dyDescent="0.25">
      <c r="A4413" s="461">
        <v>21123</v>
      </c>
      <c r="B4413" s="460" t="s">
        <v>12371</v>
      </c>
      <c r="C4413" s="461" t="s">
        <v>1107</v>
      </c>
      <c r="D4413" s="461">
        <v>9.82</v>
      </c>
      <c r="E4413" s="461" t="s">
        <v>161</v>
      </c>
      <c r="F4413" s="461" t="s">
        <v>8333</v>
      </c>
    </row>
    <row r="4414" spans="1:6" ht="15" x14ac:dyDescent="0.25">
      <c r="A4414" s="461">
        <v>21124</v>
      </c>
      <c r="B4414" s="460" t="s">
        <v>12372</v>
      </c>
      <c r="C4414" s="461" t="s">
        <v>1107</v>
      </c>
      <c r="D4414" s="461">
        <v>15.69</v>
      </c>
      <c r="E4414" s="461" t="s">
        <v>161</v>
      </c>
      <c r="F4414" s="461" t="s">
        <v>8326</v>
      </c>
    </row>
    <row r="4415" spans="1:6" ht="15" x14ac:dyDescent="0.25">
      <c r="A4415" s="461">
        <v>21125</v>
      </c>
      <c r="B4415" s="460" t="s">
        <v>12373</v>
      </c>
      <c r="C4415" s="461" t="s">
        <v>1107</v>
      </c>
      <c r="D4415" s="461">
        <v>27.02</v>
      </c>
      <c r="E4415" s="461" t="s">
        <v>161</v>
      </c>
      <c r="F4415" s="461" t="s">
        <v>8326</v>
      </c>
    </row>
    <row r="4416" spans="1:6" ht="15" x14ac:dyDescent="0.25">
      <c r="A4416" s="461">
        <v>38028</v>
      </c>
      <c r="B4416" s="460" t="s">
        <v>12374</v>
      </c>
      <c r="C4416" s="461" t="s">
        <v>1107</v>
      </c>
      <c r="D4416" s="461">
        <v>47.24</v>
      </c>
      <c r="E4416" s="461" t="s">
        <v>161</v>
      </c>
      <c r="F4416" s="461" t="s">
        <v>8326</v>
      </c>
    </row>
    <row r="4417" spans="1:6" ht="15" x14ac:dyDescent="0.25">
      <c r="A4417" s="461">
        <v>38029</v>
      </c>
      <c r="B4417" s="460" t="s">
        <v>12375</v>
      </c>
      <c r="C4417" s="461" t="s">
        <v>1107</v>
      </c>
      <c r="D4417" s="461">
        <v>69.14</v>
      </c>
      <c r="E4417" s="461" t="s">
        <v>161</v>
      </c>
      <c r="F4417" s="461" t="s">
        <v>8326</v>
      </c>
    </row>
    <row r="4418" spans="1:6" ht="15" x14ac:dyDescent="0.25">
      <c r="A4418" s="461">
        <v>38030</v>
      </c>
      <c r="B4418" s="460" t="s">
        <v>12376</v>
      </c>
      <c r="C4418" s="461" t="s">
        <v>1107</v>
      </c>
      <c r="D4418" s="461">
        <v>111.8</v>
      </c>
      <c r="E4418" s="461" t="s">
        <v>161</v>
      </c>
      <c r="F4418" s="461" t="s">
        <v>8326</v>
      </c>
    </row>
    <row r="4419" spans="1:6" ht="15" x14ac:dyDescent="0.25">
      <c r="A4419" s="461">
        <v>38031</v>
      </c>
      <c r="B4419" s="460" t="s">
        <v>12377</v>
      </c>
      <c r="C4419" s="461" t="s">
        <v>1107</v>
      </c>
      <c r="D4419" s="461">
        <v>175.49</v>
      </c>
      <c r="E4419" s="461" t="s">
        <v>161</v>
      </c>
      <c r="F4419" s="461" t="s">
        <v>8326</v>
      </c>
    </row>
    <row r="4420" spans="1:6" ht="45" x14ac:dyDescent="0.25">
      <c r="A4420" s="461">
        <v>39735</v>
      </c>
      <c r="B4420" s="460" t="s">
        <v>13428</v>
      </c>
      <c r="C4420" s="461" t="s">
        <v>1107</v>
      </c>
      <c r="D4420" s="461">
        <v>65.52</v>
      </c>
      <c r="E4420" s="461" t="s">
        <v>161</v>
      </c>
      <c r="F4420" s="461" t="s">
        <v>8326</v>
      </c>
    </row>
    <row r="4421" spans="1:6" ht="45" x14ac:dyDescent="0.25">
      <c r="A4421" s="461">
        <v>39734</v>
      </c>
      <c r="B4421" s="460" t="s">
        <v>13429</v>
      </c>
      <c r="C4421" s="461" t="s">
        <v>1107</v>
      </c>
      <c r="D4421" s="461">
        <v>77.72</v>
      </c>
      <c r="E4421" s="461" t="s">
        <v>161</v>
      </c>
      <c r="F4421" s="461" t="s">
        <v>8326</v>
      </c>
    </row>
    <row r="4422" spans="1:6" ht="45" x14ac:dyDescent="0.25">
      <c r="A4422" s="461">
        <v>39736</v>
      </c>
      <c r="B4422" s="460" t="s">
        <v>13430</v>
      </c>
      <c r="C4422" s="461" t="s">
        <v>1107</v>
      </c>
      <c r="D4422" s="461">
        <v>88.7</v>
      </c>
      <c r="E4422" s="461" t="s">
        <v>161</v>
      </c>
      <c r="F4422" s="461" t="s">
        <v>8326</v>
      </c>
    </row>
    <row r="4423" spans="1:6" ht="45" x14ac:dyDescent="0.25">
      <c r="A4423" s="461">
        <v>39737</v>
      </c>
      <c r="B4423" s="460" t="s">
        <v>13431</v>
      </c>
      <c r="C4423" s="461" t="s">
        <v>1107</v>
      </c>
      <c r="D4423" s="461">
        <v>11.93</v>
      </c>
      <c r="E4423" s="461" t="s">
        <v>161</v>
      </c>
      <c r="F4423" s="461" t="s">
        <v>8326</v>
      </c>
    </row>
    <row r="4424" spans="1:6" ht="45" x14ac:dyDescent="0.25">
      <c r="A4424" s="461">
        <v>39738</v>
      </c>
      <c r="B4424" s="460" t="s">
        <v>13432</v>
      </c>
      <c r="C4424" s="461" t="s">
        <v>1107</v>
      </c>
      <c r="D4424" s="511">
        <v>4.3099999999999996</v>
      </c>
      <c r="E4424" s="461" t="s">
        <v>161</v>
      </c>
      <c r="F4424" s="461" t="s">
        <v>8326</v>
      </c>
    </row>
    <row r="4425" spans="1:6" ht="45" x14ac:dyDescent="0.25">
      <c r="A4425" s="461">
        <v>39739</v>
      </c>
      <c r="B4425" s="460" t="s">
        <v>13433</v>
      </c>
      <c r="C4425" s="461" t="s">
        <v>1107</v>
      </c>
      <c r="D4425" s="461">
        <v>61.34</v>
      </c>
      <c r="E4425" s="461" t="s">
        <v>161</v>
      </c>
      <c r="F4425" s="461" t="s">
        <v>8326</v>
      </c>
    </row>
    <row r="4426" spans="1:6" ht="45" x14ac:dyDescent="0.25">
      <c r="A4426" s="461">
        <v>39733</v>
      </c>
      <c r="B4426" s="460" t="s">
        <v>13434</v>
      </c>
      <c r="C4426" s="461" t="s">
        <v>1107</v>
      </c>
      <c r="D4426" s="511">
        <v>106.15</v>
      </c>
      <c r="E4426" s="461" t="s">
        <v>161</v>
      </c>
      <c r="F4426" s="461" t="s">
        <v>8326</v>
      </c>
    </row>
    <row r="4427" spans="1:6" ht="45" x14ac:dyDescent="0.25">
      <c r="A4427" s="461">
        <v>39854</v>
      </c>
      <c r="B4427" s="460" t="s">
        <v>12378</v>
      </c>
      <c r="C4427" s="461" t="s">
        <v>1107</v>
      </c>
      <c r="D4427" s="511">
        <v>107.65</v>
      </c>
      <c r="E4427" s="461" t="s">
        <v>161</v>
      </c>
      <c r="F4427" s="461" t="s">
        <v>8326</v>
      </c>
    </row>
    <row r="4428" spans="1:6" ht="45" x14ac:dyDescent="0.25">
      <c r="A4428" s="461">
        <v>39740</v>
      </c>
      <c r="B4428" s="460" t="s">
        <v>13435</v>
      </c>
      <c r="C4428" s="461" t="s">
        <v>1107</v>
      </c>
      <c r="D4428" s="461">
        <v>58.9</v>
      </c>
      <c r="E4428" s="461" t="s">
        <v>161</v>
      </c>
      <c r="F4428" s="461" t="s">
        <v>8326</v>
      </c>
    </row>
    <row r="4429" spans="1:6" ht="45" x14ac:dyDescent="0.25">
      <c r="A4429" s="461">
        <v>39741</v>
      </c>
      <c r="B4429" s="460" t="s">
        <v>13436</v>
      </c>
      <c r="C4429" s="461" t="s">
        <v>1107</v>
      </c>
      <c r="D4429" s="461">
        <v>10.85</v>
      </c>
      <c r="E4429" s="461" t="s">
        <v>161</v>
      </c>
      <c r="F4429" s="461" t="s">
        <v>8326</v>
      </c>
    </row>
    <row r="4430" spans="1:6" ht="45" x14ac:dyDescent="0.25">
      <c r="A4430" s="461">
        <v>39853</v>
      </c>
      <c r="B4430" s="460" t="s">
        <v>12379</v>
      </c>
      <c r="C4430" s="461" t="s">
        <v>1107</v>
      </c>
      <c r="D4430" s="461">
        <v>14.25</v>
      </c>
      <c r="E4430" s="461" t="s">
        <v>161</v>
      </c>
      <c r="F4430" s="461" t="s">
        <v>8326</v>
      </c>
    </row>
    <row r="4431" spans="1:6" ht="45" x14ac:dyDescent="0.25">
      <c r="A4431" s="461">
        <v>39742</v>
      </c>
      <c r="B4431" s="460" t="s">
        <v>13437</v>
      </c>
      <c r="C4431" s="461" t="s">
        <v>1107</v>
      </c>
      <c r="D4431" s="461">
        <v>47.34</v>
      </c>
      <c r="E4431" s="461" t="s">
        <v>161</v>
      </c>
      <c r="F4431" s="461" t="s">
        <v>8326</v>
      </c>
    </row>
    <row r="4432" spans="1:6" ht="30" x14ac:dyDescent="0.25">
      <c r="A4432" s="461">
        <v>39751</v>
      </c>
      <c r="B4432" s="460" t="s">
        <v>13438</v>
      </c>
      <c r="C4432" s="461" t="s">
        <v>1107</v>
      </c>
      <c r="D4432" s="461">
        <v>200.48</v>
      </c>
      <c r="E4432" s="461" t="s">
        <v>161</v>
      </c>
      <c r="F4432" s="461" t="s">
        <v>8326</v>
      </c>
    </row>
    <row r="4433" spans="1:6" ht="30" x14ac:dyDescent="0.25">
      <c r="A4433" s="461">
        <v>39750</v>
      </c>
      <c r="B4433" s="460" t="s">
        <v>13439</v>
      </c>
      <c r="C4433" s="461" t="s">
        <v>1107</v>
      </c>
      <c r="D4433" s="461">
        <v>166.64</v>
      </c>
      <c r="E4433" s="461" t="s">
        <v>161</v>
      </c>
      <c r="F4433" s="461" t="s">
        <v>8326</v>
      </c>
    </row>
    <row r="4434" spans="1:6" ht="30" x14ac:dyDescent="0.25">
      <c r="A4434" s="461">
        <v>39747</v>
      </c>
      <c r="B4434" s="460" t="s">
        <v>13440</v>
      </c>
      <c r="C4434" s="461" t="s">
        <v>1107</v>
      </c>
      <c r="D4434" s="461">
        <v>53.6</v>
      </c>
      <c r="E4434" s="461" t="s">
        <v>161</v>
      </c>
      <c r="F4434" s="461" t="s">
        <v>8326</v>
      </c>
    </row>
    <row r="4435" spans="1:6" ht="30" x14ac:dyDescent="0.25">
      <c r="A4435" s="461">
        <v>39749</v>
      </c>
      <c r="B4435" s="460" t="s">
        <v>13441</v>
      </c>
      <c r="C4435" s="461" t="s">
        <v>1107</v>
      </c>
      <c r="D4435" s="461">
        <v>110.33</v>
      </c>
      <c r="E4435" s="461" t="s">
        <v>161</v>
      </c>
      <c r="F4435" s="461" t="s">
        <v>8326</v>
      </c>
    </row>
    <row r="4436" spans="1:6" ht="30" x14ac:dyDescent="0.25">
      <c r="A4436" s="461">
        <v>39753</v>
      </c>
      <c r="B4436" s="460" t="s">
        <v>13442</v>
      </c>
      <c r="C4436" s="461" t="s">
        <v>1107</v>
      </c>
      <c r="D4436" s="461">
        <v>369.04</v>
      </c>
      <c r="E4436" s="461" t="s">
        <v>161</v>
      </c>
      <c r="F4436" s="461" t="s">
        <v>8326</v>
      </c>
    </row>
    <row r="4437" spans="1:6" ht="30" x14ac:dyDescent="0.25">
      <c r="A4437" s="461">
        <v>39748</v>
      </c>
      <c r="B4437" s="460" t="s">
        <v>13443</v>
      </c>
      <c r="C4437" s="461" t="s">
        <v>1107</v>
      </c>
      <c r="D4437" s="461">
        <v>86.73</v>
      </c>
      <c r="E4437" s="461" t="s">
        <v>161</v>
      </c>
      <c r="F4437" s="461" t="s">
        <v>8326</v>
      </c>
    </row>
    <row r="4438" spans="1:6" ht="30" x14ac:dyDescent="0.25">
      <c r="A4438" s="461">
        <v>39754</v>
      </c>
      <c r="B4438" s="460" t="s">
        <v>13444</v>
      </c>
      <c r="C4438" s="461" t="s">
        <v>1107</v>
      </c>
      <c r="D4438" s="461">
        <v>543.70000000000005</v>
      </c>
      <c r="E4438" s="461" t="s">
        <v>161</v>
      </c>
      <c r="F4438" s="461" t="s">
        <v>8326</v>
      </c>
    </row>
    <row r="4439" spans="1:6" ht="30" x14ac:dyDescent="0.25">
      <c r="A4439" s="461">
        <v>39755</v>
      </c>
      <c r="B4439" s="460" t="s">
        <v>13445</v>
      </c>
      <c r="C4439" s="461" t="s">
        <v>1107</v>
      </c>
      <c r="D4439" s="461">
        <v>824.37</v>
      </c>
      <c r="E4439" s="461" t="s">
        <v>161</v>
      </c>
      <c r="F4439" s="461" t="s">
        <v>8326</v>
      </c>
    </row>
    <row r="4440" spans="1:6" ht="15" x14ac:dyDescent="0.25">
      <c r="A4440" s="461">
        <v>12742</v>
      </c>
      <c r="B4440" s="460" t="s">
        <v>12380</v>
      </c>
      <c r="C4440" s="461" t="s">
        <v>1107</v>
      </c>
      <c r="D4440" s="461">
        <v>652.76</v>
      </c>
      <c r="E4440" s="461" t="s">
        <v>161</v>
      </c>
      <c r="F4440" s="461" t="s">
        <v>8326</v>
      </c>
    </row>
    <row r="4441" spans="1:6" ht="15" x14ac:dyDescent="0.25">
      <c r="A4441" s="461">
        <v>12713</v>
      </c>
      <c r="B4441" s="460" t="s">
        <v>12381</v>
      </c>
      <c r="C4441" s="461" t="s">
        <v>1107</v>
      </c>
      <c r="D4441" s="461">
        <v>34.619999999999997</v>
      </c>
      <c r="E4441" s="461" t="s">
        <v>161</v>
      </c>
      <c r="F4441" s="461" t="s">
        <v>8333</v>
      </c>
    </row>
    <row r="4442" spans="1:6" ht="15" x14ac:dyDescent="0.25">
      <c r="A4442" s="461">
        <v>12743</v>
      </c>
      <c r="B4442" s="460" t="s">
        <v>12382</v>
      </c>
      <c r="C4442" s="461" t="s">
        <v>1107</v>
      </c>
      <c r="D4442" s="461">
        <v>59.55</v>
      </c>
      <c r="E4442" s="461" t="s">
        <v>161</v>
      </c>
      <c r="F4442" s="461" t="s">
        <v>8326</v>
      </c>
    </row>
    <row r="4443" spans="1:6" ht="15" x14ac:dyDescent="0.25">
      <c r="A4443" s="461">
        <v>12744</v>
      </c>
      <c r="B4443" s="460" t="s">
        <v>12383</v>
      </c>
      <c r="C4443" s="461" t="s">
        <v>1107</v>
      </c>
      <c r="D4443" s="461">
        <v>75.58</v>
      </c>
      <c r="E4443" s="461" t="s">
        <v>161</v>
      </c>
      <c r="F4443" s="461" t="s">
        <v>8326</v>
      </c>
    </row>
    <row r="4444" spans="1:6" ht="15" x14ac:dyDescent="0.25">
      <c r="A4444" s="461">
        <v>12745</v>
      </c>
      <c r="B4444" s="460" t="s">
        <v>12384</v>
      </c>
      <c r="C4444" s="461" t="s">
        <v>1107</v>
      </c>
      <c r="D4444" s="461">
        <v>109.76</v>
      </c>
      <c r="E4444" s="461" t="s">
        <v>161</v>
      </c>
      <c r="F4444" s="461" t="s">
        <v>8326</v>
      </c>
    </row>
    <row r="4445" spans="1:6" ht="15" x14ac:dyDescent="0.25">
      <c r="A4445" s="461">
        <v>12746</v>
      </c>
      <c r="B4445" s="460" t="s">
        <v>12385</v>
      </c>
      <c r="C4445" s="461" t="s">
        <v>1107</v>
      </c>
      <c r="D4445" s="461">
        <v>148.22</v>
      </c>
      <c r="E4445" s="461" t="s">
        <v>161</v>
      </c>
      <c r="F4445" s="461" t="s">
        <v>8326</v>
      </c>
    </row>
    <row r="4446" spans="1:6" ht="15" x14ac:dyDescent="0.25">
      <c r="A4446" s="461">
        <v>12747</v>
      </c>
      <c r="B4446" s="460" t="s">
        <v>12386</v>
      </c>
      <c r="C4446" s="461" t="s">
        <v>1107</v>
      </c>
      <c r="D4446" s="461">
        <v>214.95</v>
      </c>
      <c r="E4446" s="461" t="s">
        <v>161</v>
      </c>
      <c r="F4446" s="461" t="s">
        <v>8326</v>
      </c>
    </row>
    <row r="4447" spans="1:6" ht="15" x14ac:dyDescent="0.25">
      <c r="A4447" s="461">
        <v>12748</v>
      </c>
      <c r="B4447" s="460" t="s">
        <v>12387</v>
      </c>
      <c r="C4447" s="461" t="s">
        <v>1107</v>
      </c>
      <c r="D4447" s="461">
        <v>302.82</v>
      </c>
      <c r="E4447" s="461" t="s">
        <v>161</v>
      </c>
      <c r="F4447" s="461" t="s">
        <v>8326</v>
      </c>
    </row>
    <row r="4448" spans="1:6" ht="15" x14ac:dyDescent="0.25">
      <c r="A4448" s="461">
        <v>12749</v>
      </c>
      <c r="B4448" s="460" t="s">
        <v>12388</v>
      </c>
      <c r="C4448" s="461" t="s">
        <v>1107</v>
      </c>
      <c r="D4448" s="461">
        <v>442.68</v>
      </c>
      <c r="E4448" s="461" t="s">
        <v>161</v>
      </c>
      <c r="F4448" s="461" t="s">
        <v>8326</v>
      </c>
    </row>
    <row r="4449" spans="1:6" ht="30" x14ac:dyDescent="0.25">
      <c r="A4449" s="461">
        <v>39728</v>
      </c>
      <c r="B4449" s="460" t="s">
        <v>13446</v>
      </c>
      <c r="C4449" s="461" t="s">
        <v>1107</v>
      </c>
      <c r="D4449" s="461">
        <v>255.55</v>
      </c>
      <c r="E4449" s="461" t="s">
        <v>161</v>
      </c>
      <c r="F4449" s="461" t="s">
        <v>8326</v>
      </c>
    </row>
    <row r="4450" spans="1:6" ht="30" x14ac:dyDescent="0.25">
      <c r="A4450" s="461">
        <v>39727</v>
      </c>
      <c r="B4450" s="460" t="s">
        <v>13447</v>
      </c>
      <c r="C4450" s="461" t="s">
        <v>1107</v>
      </c>
      <c r="D4450" s="461">
        <v>210.3</v>
      </c>
      <c r="E4450" s="461" t="s">
        <v>161</v>
      </c>
      <c r="F4450" s="461" t="s">
        <v>8326</v>
      </c>
    </row>
    <row r="4451" spans="1:6" ht="30" x14ac:dyDescent="0.25">
      <c r="A4451" s="461">
        <v>39724</v>
      </c>
      <c r="B4451" s="460" t="s">
        <v>13448</v>
      </c>
      <c r="C4451" s="461" t="s">
        <v>1107</v>
      </c>
      <c r="D4451" s="461">
        <v>64.39</v>
      </c>
      <c r="E4451" s="461" t="s">
        <v>161</v>
      </c>
      <c r="F4451" s="461" t="s">
        <v>8326</v>
      </c>
    </row>
    <row r="4452" spans="1:6" ht="30" x14ac:dyDescent="0.25">
      <c r="A4452" s="461">
        <v>39726</v>
      </c>
      <c r="B4452" s="460" t="s">
        <v>13449</v>
      </c>
      <c r="C4452" s="461" t="s">
        <v>1107</v>
      </c>
      <c r="D4452" s="461">
        <v>145.4</v>
      </c>
      <c r="E4452" s="461" t="s">
        <v>161</v>
      </c>
      <c r="F4452" s="461" t="s">
        <v>8326</v>
      </c>
    </row>
    <row r="4453" spans="1:6" ht="30" x14ac:dyDescent="0.25">
      <c r="A4453" s="461">
        <v>39730</v>
      </c>
      <c r="B4453" s="460" t="s">
        <v>13450</v>
      </c>
      <c r="C4453" s="461" t="s">
        <v>1107</v>
      </c>
      <c r="D4453" s="461">
        <v>459.15</v>
      </c>
      <c r="E4453" s="461" t="s">
        <v>161</v>
      </c>
      <c r="F4453" s="461" t="s">
        <v>8326</v>
      </c>
    </row>
    <row r="4454" spans="1:6" ht="30" x14ac:dyDescent="0.25">
      <c r="A4454" s="461">
        <v>39729</v>
      </c>
      <c r="B4454" s="460" t="s">
        <v>13451</v>
      </c>
      <c r="C4454" s="461" t="s">
        <v>1107</v>
      </c>
      <c r="D4454" s="461">
        <v>353.89</v>
      </c>
      <c r="E4454" s="461" t="s">
        <v>161</v>
      </c>
      <c r="F4454" s="461" t="s">
        <v>8326</v>
      </c>
    </row>
    <row r="4455" spans="1:6" ht="30" x14ac:dyDescent="0.25">
      <c r="A4455" s="461">
        <v>39725</v>
      </c>
      <c r="B4455" s="460" t="s">
        <v>13452</v>
      </c>
      <c r="C4455" s="461" t="s">
        <v>1107</v>
      </c>
      <c r="D4455" s="461">
        <v>104.95</v>
      </c>
      <c r="E4455" s="461" t="s">
        <v>161</v>
      </c>
      <c r="F4455" s="461" t="s">
        <v>8326</v>
      </c>
    </row>
    <row r="4456" spans="1:6" ht="30" x14ac:dyDescent="0.25">
      <c r="A4456" s="461">
        <v>39731</v>
      </c>
      <c r="B4456" s="460" t="s">
        <v>13453</v>
      </c>
      <c r="C4456" s="461" t="s">
        <v>1107</v>
      </c>
      <c r="D4456" s="461">
        <v>680.04</v>
      </c>
      <c r="E4456" s="461" t="s">
        <v>161</v>
      </c>
      <c r="F4456" s="461" t="s">
        <v>8326</v>
      </c>
    </row>
    <row r="4457" spans="1:6" ht="30" x14ac:dyDescent="0.25">
      <c r="A4457" s="461">
        <v>39732</v>
      </c>
      <c r="B4457" s="460" t="s">
        <v>12389</v>
      </c>
      <c r="C4457" s="461" t="s">
        <v>1107</v>
      </c>
      <c r="D4457" s="461">
        <v>1000.98</v>
      </c>
      <c r="E4457" s="461" t="s">
        <v>161</v>
      </c>
      <c r="F4457" s="461" t="s">
        <v>8326</v>
      </c>
    </row>
    <row r="4458" spans="1:6" ht="30" x14ac:dyDescent="0.25">
      <c r="A4458" s="461">
        <v>39660</v>
      </c>
      <c r="B4458" s="460" t="s">
        <v>12390</v>
      </c>
      <c r="C4458" s="461" t="s">
        <v>1107</v>
      </c>
      <c r="D4458" s="461">
        <v>45.61</v>
      </c>
      <c r="E4458" s="461" t="s">
        <v>161</v>
      </c>
      <c r="F4458" s="461" t="s">
        <v>8326</v>
      </c>
    </row>
    <row r="4459" spans="1:6" ht="30" x14ac:dyDescent="0.25">
      <c r="A4459" s="461">
        <v>39662</v>
      </c>
      <c r="B4459" s="460" t="s">
        <v>12391</v>
      </c>
      <c r="C4459" s="461" t="s">
        <v>1107</v>
      </c>
      <c r="D4459" s="461">
        <v>21.86</v>
      </c>
      <c r="E4459" s="461" t="s">
        <v>161</v>
      </c>
      <c r="F4459" s="461" t="s">
        <v>8326</v>
      </c>
    </row>
    <row r="4460" spans="1:6" ht="30" x14ac:dyDescent="0.25">
      <c r="A4460" s="461">
        <v>39661</v>
      </c>
      <c r="B4460" s="460" t="s">
        <v>12392</v>
      </c>
      <c r="C4460" s="461" t="s">
        <v>1107</v>
      </c>
      <c r="D4460" s="461">
        <v>14.91</v>
      </c>
      <c r="E4460" s="461" t="s">
        <v>161</v>
      </c>
      <c r="F4460" s="461" t="s">
        <v>8326</v>
      </c>
    </row>
    <row r="4461" spans="1:6" ht="30" x14ac:dyDescent="0.25">
      <c r="A4461" s="461">
        <v>39666</v>
      </c>
      <c r="B4461" s="460" t="s">
        <v>12393</v>
      </c>
      <c r="C4461" s="461" t="s">
        <v>1107</v>
      </c>
      <c r="D4461" s="461">
        <v>68.62</v>
      </c>
      <c r="E4461" s="461" t="s">
        <v>161</v>
      </c>
      <c r="F4461" s="461" t="s">
        <v>8326</v>
      </c>
    </row>
    <row r="4462" spans="1:6" ht="30" x14ac:dyDescent="0.25">
      <c r="A4462" s="461">
        <v>39664</v>
      </c>
      <c r="B4462" s="460" t="s">
        <v>12394</v>
      </c>
      <c r="C4462" s="461" t="s">
        <v>1107</v>
      </c>
      <c r="D4462" s="461">
        <v>33.630000000000003</v>
      </c>
      <c r="E4462" s="461" t="s">
        <v>161</v>
      </c>
      <c r="F4462" s="461" t="s">
        <v>8326</v>
      </c>
    </row>
    <row r="4463" spans="1:6" ht="30" x14ac:dyDescent="0.25">
      <c r="A4463" s="461">
        <v>39663</v>
      </c>
      <c r="B4463" s="460" t="s">
        <v>12395</v>
      </c>
      <c r="C4463" s="461" t="s">
        <v>1107</v>
      </c>
      <c r="D4463" s="461">
        <v>26.88</v>
      </c>
      <c r="E4463" s="461" t="s">
        <v>161</v>
      </c>
      <c r="F4463" s="461" t="s">
        <v>8326</v>
      </c>
    </row>
    <row r="4464" spans="1:6" ht="30" x14ac:dyDescent="0.25">
      <c r="A4464" s="461">
        <v>39665</v>
      </c>
      <c r="B4464" s="460" t="s">
        <v>12396</v>
      </c>
      <c r="C4464" s="461" t="s">
        <v>1107</v>
      </c>
      <c r="D4464" s="461">
        <v>56.73</v>
      </c>
      <c r="E4464" s="461" t="s">
        <v>161</v>
      </c>
      <c r="F4464" s="461" t="s">
        <v>8326</v>
      </c>
    </row>
    <row r="4465" spans="1:6" ht="30" x14ac:dyDescent="0.25">
      <c r="A4465" s="461">
        <v>39752</v>
      </c>
      <c r="B4465" s="460" t="s">
        <v>12397</v>
      </c>
      <c r="C4465" s="461" t="s">
        <v>1107</v>
      </c>
      <c r="D4465" s="461">
        <v>285.27</v>
      </c>
      <c r="E4465" s="461" t="s">
        <v>161</v>
      </c>
      <c r="F4465" s="461" t="s">
        <v>8326</v>
      </c>
    </row>
    <row r="4466" spans="1:6" ht="30" x14ac:dyDescent="0.25">
      <c r="A4466" s="461">
        <v>7725</v>
      </c>
      <c r="B4466" s="460" t="s">
        <v>12398</v>
      </c>
      <c r="C4466" s="461" t="s">
        <v>1107</v>
      </c>
      <c r="D4466" s="461">
        <v>234.7</v>
      </c>
      <c r="E4466" s="461" t="s">
        <v>161</v>
      </c>
      <c r="F4466" s="461" t="s">
        <v>8333</v>
      </c>
    </row>
    <row r="4467" spans="1:6" ht="30" x14ac:dyDescent="0.25">
      <c r="A4467" s="461">
        <v>7753</v>
      </c>
      <c r="B4467" s="460" t="s">
        <v>12399</v>
      </c>
      <c r="C4467" s="461" t="s">
        <v>1107</v>
      </c>
      <c r="D4467" s="461">
        <v>457.56</v>
      </c>
      <c r="E4467" s="461" t="s">
        <v>161</v>
      </c>
      <c r="F4467" s="461" t="s">
        <v>8326</v>
      </c>
    </row>
    <row r="4468" spans="1:6" ht="30" x14ac:dyDescent="0.25">
      <c r="A4468" s="461">
        <v>13256</v>
      </c>
      <c r="B4468" s="460" t="s">
        <v>12400</v>
      </c>
      <c r="C4468" s="461" t="s">
        <v>1107</v>
      </c>
      <c r="D4468" s="461">
        <v>640.98</v>
      </c>
      <c r="E4468" s="461" t="s">
        <v>161</v>
      </c>
      <c r="F4468" s="461" t="s">
        <v>8326</v>
      </c>
    </row>
    <row r="4469" spans="1:6" ht="30" x14ac:dyDescent="0.25">
      <c r="A4469" s="461">
        <v>7757</v>
      </c>
      <c r="B4469" s="460" t="s">
        <v>12401</v>
      </c>
      <c r="C4469" s="461" t="s">
        <v>1107</v>
      </c>
      <c r="D4469" s="461">
        <v>683.39</v>
      </c>
      <c r="E4469" s="461" t="s">
        <v>161</v>
      </c>
      <c r="F4469" s="461" t="s">
        <v>8326</v>
      </c>
    </row>
    <row r="4470" spans="1:6" ht="30" x14ac:dyDescent="0.25">
      <c r="A4470" s="461">
        <v>7758</v>
      </c>
      <c r="B4470" s="460" t="s">
        <v>12402</v>
      </c>
      <c r="C4470" s="461" t="s">
        <v>1107</v>
      </c>
      <c r="D4470" s="461">
        <v>990.07</v>
      </c>
      <c r="E4470" s="461" t="s">
        <v>161</v>
      </c>
      <c r="F4470" s="461" t="s">
        <v>8326</v>
      </c>
    </row>
    <row r="4471" spans="1:6" ht="30" x14ac:dyDescent="0.25">
      <c r="A4471" s="461">
        <v>7759</v>
      </c>
      <c r="B4471" s="460" t="s">
        <v>12403</v>
      </c>
      <c r="C4471" s="461" t="s">
        <v>1107</v>
      </c>
      <c r="D4471" s="461">
        <v>2743.5</v>
      </c>
      <c r="E4471" s="461" t="s">
        <v>161</v>
      </c>
      <c r="F4471" s="461" t="s">
        <v>8326</v>
      </c>
    </row>
    <row r="4472" spans="1:6" ht="30" x14ac:dyDescent="0.25">
      <c r="A4472" s="461">
        <v>40334</v>
      </c>
      <c r="B4472" s="460" t="s">
        <v>12404</v>
      </c>
      <c r="C4472" s="461" t="s">
        <v>1107</v>
      </c>
      <c r="D4472" s="461">
        <v>107.48</v>
      </c>
      <c r="E4472" s="461" t="s">
        <v>161</v>
      </c>
      <c r="F4472" s="461" t="s">
        <v>8326</v>
      </c>
    </row>
    <row r="4473" spans="1:6" ht="30" x14ac:dyDescent="0.25">
      <c r="A4473" s="461">
        <v>7745</v>
      </c>
      <c r="B4473" s="460" t="s">
        <v>12405</v>
      </c>
      <c r="C4473" s="461" t="s">
        <v>1107</v>
      </c>
      <c r="D4473" s="461">
        <v>121.29</v>
      </c>
      <c r="E4473" s="461" t="s">
        <v>161</v>
      </c>
      <c r="F4473" s="461" t="s">
        <v>8326</v>
      </c>
    </row>
    <row r="4474" spans="1:6" ht="30" x14ac:dyDescent="0.25">
      <c r="A4474" s="461">
        <v>7742</v>
      </c>
      <c r="B4474" s="460" t="s">
        <v>12406</v>
      </c>
      <c r="C4474" s="461" t="s">
        <v>1107</v>
      </c>
      <c r="D4474" s="461">
        <v>319.89999999999998</v>
      </c>
      <c r="E4474" s="461" t="s">
        <v>161</v>
      </c>
      <c r="F4474" s="461" t="s">
        <v>8326</v>
      </c>
    </row>
    <row r="4475" spans="1:6" ht="30" x14ac:dyDescent="0.25">
      <c r="A4475" s="461">
        <v>7750</v>
      </c>
      <c r="B4475" s="460" t="s">
        <v>12407</v>
      </c>
      <c r="C4475" s="461" t="s">
        <v>1107</v>
      </c>
      <c r="D4475" s="461">
        <v>390.5</v>
      </c>
      <c r="E4475" s="461" t="s">
        <v>161</v>
      </c>
      <c r="F4475" s="461" t="s">
        <v>8326</v>
      </c>
    </row>
    <row r="4476" spans="1:6" ht="30" x14ac:dyDescent="0.25">
      <c r="A4476" s="461">
        <v>7756</v>
      </c>
      <c r="B4476" s="460" t="s">
        <v>12408</v>
      </c>
      <c r="C4476" s="461" t="s">
        <v>1107</v>
      </c>
      <c r="D4476" s="461">
        <v>448.69</v>
      </c>
      <c r="E4476" s="461" t="s">
        <v>161</v>
      </c>
      <c r="F4476" s="461" t="s">
        <v>8326</v>
      </c>
    </row>
    <row r="4477" spans="1:6" ht="30" x14ac:dyDescent="0.25">
      <c r="A4477" s="461">
        <v>7765</v>
      </c>
      <c r="B4477" s="460" t="s">
        <v>12409</v>
      </c>
      <c r="C4477" s="461" t="s">
        <v>1107</v>
      </c>
      <c r="D4477" s="461">
        <v>502.92</v>
      </c>
      <c r="E4477" s="461" t="s">
        <v>161</v>
      </c>
      <c r="F4477" s="461" t="s">
        <v>8326</v>
      </c>
    </row>
    <row r="4478" spans="1:6" ht="30" x14ac:dyDescent="0.25">
      <c r="A4478" s="461">
        <v>12569</v>
      </c>
      <c r="B4478" s="460" t="s">
        <v>12410</v>
      </c>
      <c r="C4478" s="461" t="s">
        <v>1107</v>
      </c>
      <c r="D4478" s="461">
        <v>694.23</v>
      </c>
      <c r="E4478" s="461" t="s">
        <v>161</v>
      </c>
      <c r="F4478" s="461" t="s">
        <v>8326</v>
      </c>
    </row>
    <row r="4479" spans="1:6" ht="30" x14ac:dyDescent="0.25">
      <c r="A4479" s="461">
        <v>7766</v>
      </c>
      <c r="B4479" s="460" t="s">
        <v>12411</v>
      </c>
      <c r="C4479" s="461" t="s">
        <v>1107</v>
      </c>
      <c r="D4479" s="461">
        <v>737.62</v>
      </c>
      <c r="E4479" s="461" t="s">
        <v>161</v>
      </c>
      <c r="F4479" s="461" t="s">
        <v>8326</v>
      </c>
    </row>
    <row r="4480" spans="1:6" ht="30" x14ac:dyDescent="0.25">
      <c r="A4480" s="461">
        <v>7767</v>
      </c>
      <c r="B4480" s="460" t="s">
        <v>12412</v>
      </c>
      <c r="C4480" s="461" t="s">
        <v>1107</v>
      </c>
      <c r="D4480" s="461">
        <v>1059.0999999999999</v>
      </c>
      <c r="E4480" s="461" t="s">
        <v>161</v>
      </c>
      <c r="F4480" s="461" t="s">
        <v>8326</v>
      </c>
    </row>
    <row r="4481" spans="1:6" ht="30" x14ac:dyDescent="0.25">
      <c r="A4481" s="461">
        <v>7727</v>
      </c>
      <c r="B4481" s="460" t="s">
        <v>12413</v>
      </c>
      <c r="C4481" s="461" t="s">
        <v>1107</v>
      </c>
      <c r="D4481" s="461">
        <v>3076.73</v>
      </c>
      <c r="E4481" s="461" t="s">
        <v>161</v>
      </c>
      <c r="F4481" s="461" t="s">
        <v>8326</v>
      </c>
    </row>
    <row r="4482" spans="1:6" ht="30" x14ac:dyDescent="0.25">
      <c r="A4482" s="461">
        <v>7760</v>
      </c>
      <c r="B4482" s="460" t="s">
        <v>12414</v>
      </c>
      <c r="C4482" s="461" t="s">
        <v>1107</v>
      </c>
      <c r="D4482" s="461">
        <v>122.28</v>
      </c>
      <c r="E4482" s="461" t="s">
        <v>161</v>
      </c>
      <c r="F4482" s="461" t="s">
        <v>8326</v>
      </c>
    </row>
    <row r="4483" spans="1:6" ht="30" x14ac:dyDescent="0.25">
      <c r="A4483" s="461">
        <v>7761</v>
      </c>
      <c r="B4483" s="460" t="s">
        <v>12415</v>
      </c>
      <c r="C4483" s="461" t="s">
        <v>1107</v>
      </c>
      <c r="D4483" s="461">
        <v>128.19</v>
      </c>
      <c r="E4483" s="461" t="s">
        <v>161</v>
      </c>
      <c r="F4483" s="461" t="s">
        <v>8326</v>
      </c>
    </row>
    <row r="4484" spans="1:6" ht="30" x14ac:dyDescent="0.25">
      <c r="A4484" s="461">
        <v>7752</v>
      </c>
      <c r="B4484" s="460" t="s">
        <v>12416</v>
      </c>
      <c r="C4484" s="461" t="s">
        <v>1107</v>
      </c>
      <c r="D4484" s="461">
        <v>155.80000000000001</v>
      </c>
      <c r="E4484" s="461" t="s">
        <v>161</v>
      </c>
      <c r="F4484" s="461" t="s">
        <v>8326</v>
      </c>
    </row>
    <row r="4485" spans="1:6" ht="30" x14ac:dyDescent="0.25">
      <c r="A4485" s="461">
        <v>7762</v>
      </c>
      <c r="B4485" s="460" t="s">
        <v>12417</v>
      </c>
      <c r="C4485" s="461" t="s">
        <v>1107</v>
      </c>
      <c r="D4485" s="461">
        <v>203.63</v>
      </c>
      <c r="E4485" s="461" t="s">
        <v>161</v>
      </c>
      <c r="F4485" s="461" t="s">
        <v>8326</v>
      </c>
    </row>
    <row r="4486" spans="1:6" ht="30" x14ac:dyDescent="0.25">
      <c r="A4486" s="461">
        <v>7722</v>
      </c>
      <c r="B4486" s="460" t="s">
        <v>12418</v>
      </c>
      <c r="C4486" s="461" t="s">
        <v>1107</v>
      </c>
      <c r="D4486" s="461">
        <v>311.61</v>
      </c>
      <c r="E4486" s="461" t="s">
        <v>161</v>
      </c>
      <c r="F4486" s="461" t="s">
        <v>8326</v>
      </c>
    </row>
    <row r="4487" spans="1:6" ht="30" x14ac:dyDescent="0.25">
      <c r="A4487" s="461">
        <v>7763</v>
      </c>
      <c r="B4487" s="460" t="s">
        <v>12419</v>
      </c>
      <c r="C4487" s="461" t="s">
        <v>1107</v>
      </c>
      <c r="D4487" s="461">
        <v>379.66</v>
      </c>
      <c r="E4487" s="461" t="s">
        <v>161</v>
      </c>
      <c r="F4487" s="461" t="s">
        <v>8326</v>
      </c>
    </row>
    <row r="4488" spans="1:6" ht="30" x14ac:dyDescent="0.25">
      <c r="A4488" s="461">
        <v>7764</v>
      </c>
      <c r="B4488" s="460" t="s">
        <v>12420</v>
      </c>
      <c r="C4488" s="461" t="s">
        <v>1107</v>
      </c>
      <c r="D4488" s="461">
        <v>453.62</v>
      </c>
      <c r="E4488" s="461" t="s">
        <v>161</v>
      </c>
      <c r="F4488" s="461" t="s">
        <v>8326</v>
      </c>
    </row>
    <row r="4489" spans="1:6" ht="30" x14ac:dyDescent="0.25">
      <c r="A4489" s="461">
        <v>12572</v>
      </c>
      <c r="B4489" s="460" t="s">
        <v>12421</v>
      </c>
      <c r="C4489" s="461" t="s">
        <v>1107</v>
      </c>
      <c r="D4489" s="461">
        <v>640.98</v>
      </c>
      <c r="E4489" s="461" t="s">
        <v>161</v>
      </c>
      <c r="F4489" s="461" t="s">
        <v>8326</v>
      </c>
    </row>
    <row r="4490" spans="1:6" ht="30" x14ac:dyDescent="0.25">
      <c r="A4490" s="461">
        <v>12573</v>
      </c>
      <c r="B4490" s="460" t="s">
        <v>12422</v>
      </c>
      <c r="C4490" s="461" t="s">
        <v>1107</v>
      </c>
      <c r="D4490" s="461">
        <v>843.14</v>
      </c>
      <c r="E4490" s="461" t="s">
        <v>161</v>
      </c>
      <c r="F4490" s="461" t="s">
        <v>8326</v>
      </c>
    </row>
    <row r="4491" spans="1:6" ht="30" x14ac:dyDescent="0.25">
      <c r="A4491" s="461">
        <v>12574</v>
      </c>
      <c r="B4491" s="460" t="s">
        <v>12423</v>
      </c>
      <c r="C4491" s="461" t="s">
        <v>1107</v>
      </c>
      <c r="D4491" s="511">
        <v>1019.46</v>
      </c>
      <c r="E4491" s="461" t="s">
        <v>161</v>
      </c>
      <c r="F4491" s="461" t="s">
        <v>8326</v>
      </c>
    </row>
    <row r="4492" spans="1:6" ht="30" x14ac:dyDescent="0.25">
      <c r="A4492" s="461">
        <v>12575</v>
      </c>
      <c r="B4492" s="460" t="s">
        <v>12424</v>
      </c>
      <c r="C4492" s="461" t="s">
        <v>1107</v>
      </c>
      <c r="D4492" s="461">
        <v>1548.23</v>
      </c>
      <c r="E4492" s="461" t="s">
        <v>161</v>
      </c>
      <c r="F4492" s="461" t="s">
        <v>8326</v>
      </c>
    </row>
    <row r="4493" spans="1:6" ht="30" x14ac:dyDescent="0.25">
      <c r="A4493" s="461">
        <v>12576</v>
      </c>
      <c r="B4493" s="460" t="s">
        <v>12425</v>
      </c>
      <c r="C4493" s="461" t="s">
        <v>1107</v>
      </c>
      <c r="D4493" s="461">
        <v>187.36</v>
      </c>
      <c r="E4493" s="461" t="s">
        <v>161</v>
      </c>
      <c r="F4493" s="461" t="s">
        <v>8326</v>
      </c>
    </row>
    <row r="4494" spans="1:6" ht="30" x14ac:dyDescent="0.25">
      <c r="A4494" s="461">
        <v>12577</v>
      </c>
      <c r="B4494" s="460" t="s">
        <v>12426</v>
      </c>
      <c r="C4494" s="461" t="s">
        <v>1107</v>
      </c>
      <c r="D4494" s="461">
        <v>252.45</v>
      </c>
      <c r="E4494" s="461" t="s">
        <v>161</v>
      </c>
      <c r="F4494" s="461" t="s">
        <v>8326</v>
      </c>
    </row>
    <row r="4495" spans="1:6" ht="30" x14ac:dyDescent="0.25">
      <c r="A4495" s="461">
        <v>12578</v>
      </c>
      <c r="B4495" s="460" t="s">
        <v>12427</v>
      </c>
      <c r="C4495" s="461" t="s">
        <v>1107</v>
      </c>
      <c r="D4495" s="461">
        <v>305.7</v>
      </c>
      <c r="E4495" s="461" t="s">
        <v>161</v>
      </c>
      <c r="F4495" s="461" t="s">
        <v>8326</v>
      </c>
    </row>
    <row r="4496" spans="1:6" ht="30" x14ac:dyDescent="0.25">
      <c r="A4496" s="461">
        <v>12579</v>
      </c>
      <c r="B4496" s="460" t="s">
        <v>12428</v>
      </c>
      <c r="C4496" s="461" t="s">
        <v>1107</v>
      </c>
      <c r="D4496" s="461">
        <v>526.59</v>
      </c>
      <c r="E4496" s="461" t="s">
        <v>161</v>
      </c>
      <c r="F4496" s="461" t="s">
        <v>8326</v>
      </c>
    </row>
    <row r="4497" spans="1:6" ht="30" x14ac:dyDescent="0.25">
      <c r="A4497" s="461">
        <v>12580</v>
      </c>
      <c r="B4497" s="460" t="s">
        <v>12429</v>
      </c>
      <c r="C4497" s="461" t="s">
        <v>1107</v>
      </c>
      <c r="D4497" s="461">
        <v>548.67999999999995</v>
      </c>
      <c r="E4497" s="461" t="s">
        <v>161</v>
      </c>
      <c r="F4497" s="461" t="s">
        <v>8326</v>
      </c>
    </row>
    <row r="4498" spans="1:6" ht="30" x14ac:dyDescent="0.25">
      <c r="A4498" s="461">
        <v>12581</v>
      </c>
      <c r="B4498" s="460" t="s">
        <v>12430</v>
      </c>
      <c r="C4498" s="461" t="s">
        <v>1107</v>
      </c>
      <c r="D4498" s="461">
        <v>587.73</v>
      </c>
      <c r="E4498" s="461" t="s">
        <v>161</v>
      </c>
      <c r="F4498" s="461" t="s">
        <v>8326</v>
      </c>
    </row>
    <row r="4499" spans="1:6" ht="30" x14ac:dyDescent="0.25">
      <c r="A4499" s="461">
        <v>7720</v>
      </c>
      <c r="B4499" s="460" t="s">
        <v>12431</v>
      </c>
      <c r="C4499" s="461" t="s">
        <v>1107</v>
      </c>
      <c r="D4499" s="461">
        <v>919.07</v>
      </c>
      <c r="E4499" s="461" t="s">
        <v>161</v>
      </c>
      <c r="F4499" s="461" t="s">
        <v>8326</v>
      </c>
    </row>
    <row r="4500" spans="1:6" ht="30" x14ac:dyDescent="0.25">
      <c r="A4500" s="461">
        <v>40335</v>
      </c>
      <c r="B4500" s="460" t="s">
        <v>12432</v>
      </c>
      <c r="C4500" s="461" t="s">
        <v>1107</v>
      </c>
      <c r="D4500" s="511">
        <v>192.29</v>
      </c>
      <c r="E4500" s="461" t="s">
        <v>161</v>
      </c>
      <c r="F4500" s="461" t="s">
        <v>8326</v>
      </c>
    </row>
    <row r="4501" spans="1:6" ht="30" x14ac:dyDescent="0.25">
      <c r="A4501" s="461">
        <v>7740</v>
      </c>
      <c r="B4501" s="460" t="s">
        <v>12433</v>
      </c>
      <c r="C4501" s="461" t="s">
        <v>1107</v>
      </c>
      <c r="D4501" s="511">
        <v>197.22</v>
      </c>
      <c r="E4501" s="461" t="s">
        <v>161</v>
      </c>
      <c r="F4501" s="461" t="s">
        <v>8326</v>
      </c>
    </row>
    <row r="4502" spans="1:6" ht="30" x14ac:dyDescent="0.25">
      <c r="A4502" s="461">
        <v>7741</v>
      </c>
      <c r="B4502" s="460" t="s">
        <v>12434</v>
      </c>
      <c r="C4502" s="461" t="s">
        <v>1107</v>
      </c>
      <c r="D4502" s="461">
        <v>364.86</v>
      </c>
      <c r="E4502" s="461" t="s">
        <v>161</v>
      </c>
      <c r="F4502" s="461" t="s">
        <v>8326</v>
      </c>
    </row>
    <row r="4503" spans="1:6" ht="30" x14ac:dyDescent="0.25">
      <c r="A4503" s="461">
        <v>7774</v>
      </c>
      <c r="B4503" s="460" t="s">
        <v>12435</v>
      </c>
      <c r="C4503" s="461" t="s">
        <v>1107</v>
      </c>
      <c r="D4503" s="461">
        <v>447.7</v>
      </c>
      <c r="E4503" s="461" t="s">
        <v>161</v>
      </c>
      <c r="F4503" s="461" t="s">
        <v>8326</v>
      </c>
    </row>
    <row r="4504" spans="1:6" ht="30" x14ac:dyDescent="0.25">
      <c r="A4504" s="461">
        <v>7744</v>
      </c>
      <c r="B4504" s="460" t="s">
        <v>12436</v>
      </c>
      <c r="C4504" s="461" t="s">
        <v>1107</v>
      </c>
      <c r="D4504" s="461">
        <v>584.77</v>
      </c>
      <c r="E4504" s="461" t="s">
        <v>161</v>
      </c>
      <c r="F4504" s="461" t="s">
        <v>8326</v>
      </c>
    </row>
    <row r="4505" spans="1:6" ht="30" x14ac:dyDescent="0.25">
      <c r="A4505" s="461">
        <v>7773</v>
      </c>
      <c r="B4505" s="460" t="s">
        <v>12437</v>
      </c>
      <c r="C4505" s="461" t="s">
        <v>1107</v>
      </c>
      <c r="D4505" s="461">
        <v>597.69000000000005</v>
      </c>
      <c r="E4505" s="461" t="s">
        <v>161</v>
      </c>
      <c r="F4505" s="461" t="s">
        <v>8326</v>
      </c>
    </row>
    <row r="4506" spans="1:6" ht="30" x14ac:dyDescent="0.25">
      <c r="A4506" s="461">
        <v>7754</v>
      </c>
      <c r="B4506" s="460" t="s">
        <v>12438</v>
      </c>
      <c r="C4506" s="461" t="s">
        <v>1107</v>
      </c>
      <c r="D4506" s="461">
        <v>906.25</v>
      </c>
      <c r="E4506" s="461" t="s">
        <v>161</v>
      </c>
      <c r="F4506" s="461" t="s">
        <v>8326</v>
      </c>
    </row>
    <row r="4507" spans="1:6" ht="30" x14ac:dyDescent="0.25">
      <c r="A4507" s="461">
        <v>7735</v>
      </c>
      <c r="B4507" s="460" t="s">
        <v>12439</v>
      </c>
      <c r="C4507" s="461" t="s">
        <v>1107</v>
      </c>
      <c r="D4507" s="461">
        <v>1173.5</v>
      </c>
      <c r="E4507" s="461" t="s">
        <v>161</v>
      </c>
      <c r="F4507" s="461" t="s">
        <v>8326</v>
      </c>
    </row>
    <row r="4508" spans="1:6" ht="30" x14ac:dyDescent="0.25">
      <c r="A4508" s="461">
        <v>7755</v>
      </c>
      <c r="B4508" s="460" t="s">
        <v>12440</v>
      </c>
      <c r="C4508" s="461" t="s">
        <v>1107</v>
      </c>
      <c r="D4508" s="461">
        <v>232.72</v>
      </c>
      <c r="E4508" s="461" t="s">
        <v>161</v>
      </c>
      <c r="F4508" s="461" t="s">
        <v>8326</v>
      </c>
    </row>
    <row r="4509" spans="1:6" ht="30" x14ac:dyDescent="0.25">
      <c r="A4509" s="461">
        <v>7776</v>
      </c>
      <c r="B4509" s="460" t="s">
        <v>12441</v>
      </c>
      <c r="C4509" s="461" t="s">
        <v>1107</v>
      </c>
      <c r="D4509" s="461">
        <v>485.17</v>
      </c>
      <c r="E4509" s="461" t="s">
        <v>161</v>
      </c>
      <c r="F4509" s="461" t="s">
        <v>8326</v>
      </c>
    </row>
    <row r="4510" spans="1:6" ht="30" x14ac:dyDescent="0.25">
      <c r="A4510" s="461">
        <v>7743</v>
      </c>
      <c r="B4510" s="460" t="s">
        <v>12442</v>
      </c>
      <c r="C4510" s="461" t="s">
        <v>1107</v>
      </c>
      <c r="D4510" s="461">
        <v>513.77</v>
      </c>
      <c r="E4510" s="461" t="s">
        <v>161</v>
      </c>
      <c r="F4510" s="461" t="s">
        <v>8326</v>
      </c>
    </row>
    <row r="4511" spans="1:6" ht="30" x14ac:dyDescent="0.25">
      <c r="A4511" s="461">
        <v>7733</v>
      </c>
      <c r="B4511" s="460" t="s">
        <v>12443</v>
      </c>
      <c r="C4511" s="461" t="s">
        <v>1107</v>
      </c>
      <c r="D4511" s="461">
        <v>670.57</v>
      </c>
      <c r="E4511" s="461" t="s">
        <v>161</v>
      </c>
      <c r="F4511" s="461" t="s">
        <v>8326</v>
      </c>
    </row>
    <row r="4512" spans="1:6" ht="30" x14ac:dyDescent="0.25">
      <c r="A4512" s="461">
        <v>7775</v>
      </c>
      <c r="B4512" s="460" t="s">
        <v>12444</v>
      </c>
      <c r="C4512" s="461" t="s">
        <v>1107</v>
      </c>
      <c r="D4512" s="511">
        <v>734.67</v>
      </c>
      <c r="E4512" s="461" t="s">
        <v>161</v>
      </c>
      <c r="F4512" s="461" t="s">
        <v>8326</v>
      </c>
    </row>
    <row r="4513" spans="1:6" ht="30" x14ac:dyDescent="0.25">
      <c r="A4513" s="461">
        <v>7734</v>
      </c>
      <c r="B4513" s="460" t="s">
        <v>12445</v>
      </c>
      <c r="C4513" s="461" t="s">
        <v>1107</v>
      </c>
      <c r="D4513" s="461">
        <v>1040.3699999999999</v>
      </c>
      <c r="E4513" s="461" t="s">
        <v>161</v>
      </c>
      <c r="F4513" s="461" t="s">
        <v>8326</v>
      </c>
    </row>
    <row r="4514" spans="1:6" ht="30" x14ac:dyDescent="0.25">
      <c r="A4514" s="461">
        <v>7714</v>
      </c>
      <c r="B4514" s="460" t="s">
        <v>12446</v>
      </c>
      <c r="C4514" s="461" t="s">
        <v>1107</v>
      </c>
      <c r="D4514" s="461">
        <v>144.96</v>
      </c>
      <c r="E4514" s="461" t="s">
        <v>161</v>
      </c>
      <c r="F4514" s="461" t="s">
        <v>8326</v>
      </c>
    </row>
    <row r="4515" spans="1:6" ht="30" x14ac:dyDescent="0.25">
      <c r="A4515" s="461">
        <v>37449</v>
      </c>
      <c r="B4515" s="460" t="s">
        <v>12447</v>
      </c>
      <c r="C4515" s="461" t="s">
        <v>1107</v>
      </c>
      <c r="D4515" s="461">
        <v>31.53</v>
      </c>
      <c r="E4515" s="461" t="s">
        <v>161</v>
      </c>
      <c r="F4515" s="461" t="s">
        <v>8326</v>
      </c>
    </row>
    <row r="4516" spans="1:6" ht="30" x14ac:dyDescent="0.25">
      <c r="A4516" s="461">
        <v>37450</v>
      </c>
      <c r="B4516" s="460" t="s">
        <v>12448</v>
      </c>
      <c r="C4516" s="461" t="s">
        <v>1107</v>
      </c>
      <c r="D4516" s="461">
        <v>44.14</v>
      </c>
      <c r="E4516" s="461" t="s">
        <v>161</v>
      </c>
      <c r="F4516" s="461" t="s">
        <v>8326</v>
      </c>
    </row>
    <row r="4517" spans="1:6" ht="30" x14ac:dyDescent="0.25">
      <c r="A4517" s="461">
        <v>37451</v>
      </c>
      <c r="B4517" s="460" t="s">
        <v>12449</v>
      </c>
      <c r="C4517" s="461" t="s">
        <v>1107</v>
      </c>
      <c r="D4517" s="461">
        <v>61.62</v>
      </c>
      <c r="E4517" s="461" t="s">
        <v>161</v>
      </c>
      <c r="F4517" s="461" t="s">
        <v>8326</v>
      </c>
    </row>
    <row r="4518" spans="1:6" ht="30" x14ac:dyDescent="0.25">
      <c r="A4518" s="461">
        <v>37452</v>
      </c>
      <c r="B4518" s="460" t="s">
        <v>12450</v>
      </c>
      <c r="C4518" s="461" t="s">
        <v>1107</v>
      </c>
      <c r="D4518" s="461">
        <v>89.57</v>
      </c>
      <c r="E4518" s="461" t="s">
        <v>161</v>
      </c>
      <c r="F4518" s="461" t="s">
        <v>8326</v>
      </c>
    </row>
    <row r="4519" spans="1:6" ht="30" x14ac:dyDescent="0.25">
      <c r="A4519" s="461">
        <v>37453</v>
      </c>
      <c r="B4519" s="460" t="s">
        <v>12451</v>
      </c>
      <c r="C4519" s="461" t="s">
        <v>1107</v>
      </c>
      <c r="D4519" s="461">
        <v>103.15</v>
      </c>
      <c r="E4519" s="461" t="s">
        <v>161</v>
      </c>
      <c r="F4519" s="461" t="s">
        <v>8326</v>
      </c>
    </row>
    <row r="4520" spans="1:6" ht="30" x14ac:dyDescent="0.25">
      <c r="A4520" s="461">
        <v>7778</v>
      </c>
      <c r="B4520" s="460" t="s">
        <v>12452</v>
      </c>
      <c r="C4520" s="461" t="s">
        <v>1107</v>
      </c>
      <c r="D4520" s="461">
        <v>38.69</v>
      </c>
      <c r="E4520" s="461" t="s">
        <v>161</v>
      </c>
      <c r="F4520" s="461" t="s">
        <v>8326</v>
      </c>
    </row>
    <row r="4521" spans="1:6" ht="30" x14ac:dyDescent="0.25">
      <c r="A4521" s="461">
        <v>7796</v>
      </c>
      <c r="B4521" s="460" t="s">
        <v>12453</v>
      </c>
      <c r="C4521" s="461" t="s">
        <v>1107</v>
      </c>
      <c r="D4521" s="461">
        <v>53.03</v>
      </c>
      <c r="E4521" s="461" t="s">
        <v>161</v>
      </c>
      <c r="F4521" s="461" t="s">
        <v>8333</v>
      </c>
    </row>
    <row r="4522" spans="1:6" ht="30" x14ac:dyDescent="0.25">
      <c r="A4522" s="461">
        <v>7781</v>
      </c>
      <c r="B4522" s="460" t="s">
        <v>12454</v>
      </c>
      <c r="C4522" s="461" t="s">
        <v>1107</v>
      </c>
      <c r="D4522" s="461">
        <v>62.66</v>
      </c>
      <c r="E4522" s="461" t="s">
        <v>161</v>
      </c>
      <c r="F4522" s="461" t="s">
        <v>8326</v>
      </c>
    </row>
    <row r="4523" spans="1:6" ht="30" x14ac:dyDescent="0.25">
      <c r="A4523" s="461">
        <v>7795</v>
      </c>
      <c r="B4523" s="460" t="s">
        <v>12455</v>
      </c>
      <c r="C4523" s="461" t="s">
        <v>1107</v>
      </c>
      <c r="D4523" s="461">
        <v>93.26</v>
      </c>
      <c r="E4523" s="461" t="s">
        <v>161</v>
      </c>
      <c r="F4523" s="461" t="s">
        <v>8326</v>
      </c>
    </row>
    <row r="4524" spans="1:6" ht="30" x14ac:dyDescent="0.25">
      <c r="A4524" s="461">
        <v>7791</v>
      </c>
      <c r="B4524" s="460" t="s">
        <v>12456</v>
      </c>
      <c r="C4524" s="461" t="s">
        <v>1107</v>
      </c>
      <c r="D4524" s="461">
        <v>111.64</v>
      </c>
      <c r="E4524" s="461" t="s">
        <v>161</v>
      </c>
      <c r="F4524" s="461" t="s">
        <v>8326</v>
      </c>
    </row>
    <row r="4525" spans="1:6" ht="30" x14ac:dyDescent="0.25">
      <c r="A4525" s="461">
        <v>7783</v>
      </c>
      <c r="B4525" s="460" t="s">
        <v>12457</v>
      </c>
      <c r="C4525" s="461" t="s">
        <v>1107</v>
      </c>
      <c r="D4525" s="461">
        <v>39.56</v>
      </c>
      <c r="E4525" s="461" t="s">
        <v>161</v>
      </c>
      <c r="F4525" s="461" t="s">
        <v>8326</v>
      </c>
    </row>
    <row r="4526" spans="1:6" ht="30" x14ac:dyDescent="0.25">
      <c r="A4526" s="461">
        <v>7790</v>
      </c>
      <c r="B4526" s="460" t="s">
        <v>12458</v>
      </c>
      <c r="C4526" s="461" t="s">
        <v>1107</v>
      </c>
      <c r="D4526" s="461">
        <v>62.34</v>
      </c>
      <c r="E4526" s="461" t="s">
        <v>161</v>
      </c>
      <c r="F4526" s="461" t="s">
        <v>8326</v>
      </c>
    </row>
    <row r="4527" spans="1:6" ht="30" x14ac:dyDescent="0.25">
      <c r="A4527" s="461">
        <v>7785</v>
      </c>
      <c r="B4527" s="460" t="s">
        <v>12459</v>
      </c>
      <c r="C4527" s="461" t="s">
        <v>1107</v>
      </c>
      <c r="D4527" s="511">
        <v>68.790000000000006</v>
      </c>
      <c r="E4527" s="461" t="s">
        <v>161</v>
      </c>
      <c r="F4527" s="461" t="s">
        <v>8326</v>
      </c>
    </row>
    <row r="4528" spans="1:6" ht="30" x14ac:dyDescent="0.25">
      <c r="A4528" s="461">
        <v>7792</v>
      </c>
      <c r="B4528" s="460" t="s">
        <v>12460</v>
      </c>
      <c r="C4528" s="461" t="s">
        <v>1107</v>
      </c>
      <c r="D4528" s="461">
        <v>97.56</v>
      </c>
      <c r="E4528" s="461" t="s">
        <v>161</v>
      </c>
      <c r="F4528" s="461" t="s">
        <v>8326</v>
      </c>
    </row>
    <row r="4529" spans="1:6" ht="30" x14ac:dyDescent="0.25">
      <c r="A4529" s="461">
        <v>7793</v>
      </c>
      <c r="B4529" s="460" t="s">
        <v>12461</v>
      </c>
      <c r="C4529" s="461" t="s">
        <v>1107</v>
      </c>
      <c r="D4529" s="461">
        <v>115.23</v>
      </c>
      <c r="E4529" s="461" t="s">
        <v>161</v>
      </c>
      <c r="F4529" s="461" t="s">
        <v>8326</v>
      </c>
    </row>
    <row r="4530" spans="1:6" ht="30" x14ac:dyDescent="0.25">
      <c r="A4530" s="461">
        <v>13159</v>
      </c>
      <c r="B4530" s="460" t="s">
        <v>12462</v>
      </c>
      <c r="C4530" s="461" t="s">
        <v>1107</v>
      </c>
      <c r="D4530" s="461">
        <v>100.32</v>
      </c>
      <c r="E4530" s="461" t="s">
        <v>161</v>
      </c>
      <c r="F4530" s="461" t="s">
        <v>8326</v>
      </c>
    </row>
    <row r="4531" spans="1:6" ht="30" x14ac:dyDescent="0.25">
      <c r="A4531" s="461">
        <v>13168</v>
      </c>
      <c r="B4531" s="460" t="s">
        <v>12463</v>
      </c>
      <c r="C4531" s="461" t="s">
        <v>1107</v>
      </c>
      <c r="D4531" s="461">
        <v>121.82</v>
      </c>
      <c r="E4531" s="461" t="s">
        <v>161</v>
      </c>
      <c r="F4531" s="461" t="s">
        <v>8326</v>
      </c>
    </row>
    <row r="4532" spans="1:6" ht="30" x14ac:dyDescent="0.25">
      <c r="A4532" s="461">
        <v>13173</v>
      </c>
      <c r="B4532" s="460" t="s">
        <v>12464</v>
      </c>
      <c r="C4532" s="461" t="s">
        <v>1107</v>
      </c>
      <c r="D4532" s="461">
        <v>164.82</v>
      </c>
      <c r="E4532" s="461" t="s">
        <v>161</v>
      </c>
      <c r="F4532" s="461" t="s">
        <v>8326</v>
      </c>
    </row>
    <row r="4533" spans="1:6" ht="30" x14ac:dyDescent="0.25">
      <c r="A4533" s="461">
        <v>12583</v>
      </c>
      <c r="B4533" s="460" t="s">
        <v>12465</v>
      </c>
      <c r="C4533" s="461" t="s">
        <v>1107</v>
      </c>
      <c r="D4533" s="461">
        <v>32.96</v>
      </c>
      <c r="E4533" s="461" t="s">
        <v>161</v>
      </c>
      <c r="F4533" s="461" t="s">
        <v>8326</v>
      </c>
    </row>
    <row r="4534" spans="1:6" ht="30" x14ac:dyDescent="0.25">
      <c r="A4534" s="461">
        <v>12584</v>
      </c>
      <c r="B4534" s="460" t="s">
        <v>12466</v>
      </c>
      <c r="C4534" s="461" t="s">
        <v>1107</v>
      </c>
      <c r="D4534" s="461">
        <v>42.99</v>
      </c>
      <c r="E4534" s="461" t="s">
        <v>161</v>
      </c>
      <c r="F4534" s="461" t="s">
        <v>8326</v>
      </c>
    </row>
    <row r="4535" spans="1:6" ht="30" x14ac:dyDescent="0.25">
      <c r="A4535" s="461">
        <v>12613</v>
      </c>
      <c r="B4535" s="460" t="s">
        <v>12467</v>
      </c>
      <c r="C4535" s="461" t="s">
        <v>1104</v>
      </c>
      <c r="D4535" s="461">
        <v>26.5</v>
      </c>
      <c r="E4535" s="461" t="s">
        <v>161</v>
      </c>
      <c r="F4535" s="461" t="s">
        <v>8326</v>
      </c>
    </row>
    <row r="4536" spans="1:6" ht="30" x14ac:dyDescent="0.25">
      <c r="A4536" s="461">
        <v>1031</v>
      </c>
      <c r="B4536" s="460" t="s">
        <v>12468</v>
      </c>
      <c r="C4536" s="461" t="s">
        <v>1104</v>
      </c>
      <c r="D4536" s="461">
        <v>15.46</v>
      </c>
      <c r="E4536" s="461" t="s">
        <v>161</v>
      </c>
      <c r="F4536" s="461" t="s">
        <v>8326</v>
      </c>
    </row>
    <row r="4537" spans="1:6" ht="30" x14ac:dyDescent="0.25">
      <c r="A4537" s="461">
        <v>39707</v>
      </c>
      <c r="B4537" s="460" t="s">
        <v>13454</v>
      </c>
      <c r="C4537" s="461" t="s">
        <v>1107</v>
      </c>
      <c r="D4537" s="461">
        <v>5.24</v>
      </c>
      <c r="E4537" s="461" t="s">
        <v>161</v>
      </c>
      <c r="F4537" s="461" t="s">
        <v>8326</v>
      </c>
    </row>
    <row r="4538" spans="1:6" ht="30" x14ac:dyDescent="0.25">
      <c r="A4538" s="461">
        <v>39708</v>
      </c>
      <c r="B4538" s="460" t="s">
        <v>13455</v>
      </c>
      <c r="C4538" s="461" t="s">
        <v>1107</v>
      </c>
      <c r="D4538" s="461">
        <v>5.07</v>
      </c>
      <c r="E4538" s="461" t="s">
        <v>161</v>
      </c>
      <c r="F4538" s="461" t="s">
        <v>8326</v>
      </c>
    </row>
    <row r="4539" spans="1:6" ht="30" x14ac:dyDescent="0.25">
      <c r="A4539" s="461">
        <v>39710</v>
      </c>
      <c r="B4539" s="460" t="s">
        <v>13456</v>
      </c>
      <c r="C4539" s="461" t="s">
        <v>1107</v>
      </c>
      <c r="D4539" s="461">
        <v>3.57</v>
      </c>
      <c r="E4539" s="461" t="s">
        <v>161</v>
      </c>
      <c r="F4539" s="461" t="s">
        <v>8326</v>
      </c>
    </row>
    <row r="4540" spans="1:6" ht="30" x14ac:dyDescent="0.25">
      <c r="A4540" s="461">
        <v>39709</v>
      </c>
      <c r="B4540" s="460" t="s">
        <v>13457</v>
      </c>
      <c r="C4540" s="461" t="s">
        <v>1107</v>
      </c>
      <c r="D4540" s="461">
        <v>4.95</v>
      </c>
      <c r="E4540" s="461" t="s">
        <v>161</v>
      </c>
      <c r="F4540" s="461" t="s">
        <v>8326</v>
      </c>
    </row>
    <row r="4541" spans="1:6" ht="30" x14ac:dyDescent="0.25">
      <c r="A4541" s="461">
        <v>39711</v>
      </c>
      <c r="B4541" s="460" t="s">
        <v>13458</v>
      </c>
      <c r="C4541" s="461" t="s">
        <v>1107</v>
      </c>
      <c r="D4541" s="461">
        <v>5.56</v>
      </c>
      <c r="E4541" s="461" t="s">
        <v>161</v>
      </c>
      <c r="F4541" s="461" t="s">
        <v>8326</v>
      </c>
    </row>
    <row r="4542" spans="1:6" ht="30" x14ac:dyDescent="0.25">
      <c r="A4542" s="461">
        <v>39712</v>
      </c>
      <c r="B4542" s="460" t="s">
        <v>13459</v>
      </c>
      <c r="C4542" s="461" t="s">
        <v>1107</v>
      </c>
      <c r="D4542" s="461">
        <v>1.95</v>
      </c>
      <c r="E4542" s="461" t="s">
        <v>161</v>
      </c>
      <c r="F4542" s="461" t="s">
        <v>8333</v>
      </c>
    </row>
    <row r="4543" spans="1:6" ht="30" x14ac:dyDescent="0.25">
      <c r="A4543" s="461">
        <v>39713</v>
      </c>
      <c r="B4543" s="460" t="s">
        <v>13460</v>
      </c>
      <c r="C4543" s="461" t="s">
        <v>1107</v>
      </c>
      <c r="D4543" s="461">
        <v>1.54</v>
      </c>
      <c r="E4543" s="461" t="s">
        <v>161</v>
      </c>
      <c r="F4543" s="461" t="s">
        <v>8326</v>
      </c>
    </row>
    <row r="4544" spans="1:6" ht="30" x14ac:dyDescent="0.25">
      <c r="A4544" s="461">
        <v>39714</v>
      </c>
      <c r="B4544" s="460" t="s">
        <v>13461</v>
      </c>
      <c r="C4544" s="461" t="s">
        <v>1107</v>
      </c>
      <c r="D4544" s="461">
        <v>3.53</v>
      </c>
      <c r="E4544" s="461" t="s">
        <v>161</v>
      </c>
      <c r="F4544" s="461" t="s">
        <v>8326</v>
      </c>
    </row>
    <row r="4545" spans="1:6" ht="30" x14ac:dyDescent="0.25">
      <c r="A4545" s="461">
        <v>39715</v>
      </c>
      <c r="B4545" s="460" t="s">
        <v>13462</v>
      </c>
      <c r="C4545" s="461" t="s">
        <v>1107</v>
      </c>
      <c r="D4545" s="461">
        <v>2.5099999999999998</v>
      </c>
      <c r="E4545" s="461" t="s">
        <v>161</v>
      </c>
      <c r="F4545" s="461" t="s">
        <v>8326</v>
      </c>
    </row>
    <row r="4546" spans="1:6" ht="30" x14ac:dyDescent="0.25">
      <c r="A4546" s="461">
        <v>39716</v>
      </c>
      <c r="B4546" s="460" t="s">
        <v>13463</v>
      </c>
      <c r="C4546" s="461" t="s">
        <v>1107</v>
      </c>
      <c r="D4546" s="461">
        <v>1.9</v>
      </c>
      <c r="E4546" s="461" t="s">
        <v>161</v>
      </c>
      <c r="F4546" s="461" t="s">
        <v>8326</v>
      </c>
    </row>
    <row r="4547" spans="1:6" ht="30" x14ac:dyDescent="0.25">
      <c r="A4547" s="461">
        <v>39718</v>
      </c>
      <c r="B4547" s="460" t="s">
        <v>13464</v>
      </c>
      <c r="C4547" s="461" t="s">
        <v>1107</v>
      </c>
      <c r="D4547" s="461">
        <v>3.25</v>
      </c>
      <c r="E4547" s="461" t="s">
        <v>161</v>
      </c>
      <c r="F4547" s="461" t="s">
        <v>8326</v>
      </c>
    </row>
    <row r="4548" spans="1:6" ht="30" x14ac:dyDescent="0.25">
      <c r="A4548" s="461">
        <v>9813</v>
      </c>
      <c r="B4548" s="460" t="s">
        <v>12469</v>
      </c>
      <c r="C4548" s="461" t="s">
        <v>1107</v>
      </c>
      <c r="D4548" s="461">
        <v>5.1100000000000003</v>
      </c>
      <c r="E4548" s="461" t="s">
        <v>161</v>
      </c>
      <c r="F4548" s="461" t="s">
        <v>8328</v>
      </c>
    </row>
    <row r="4549" spans="1:6" ht="30" x14ac:dyDescent="0.25">
      <c r="A4549" s="461">
        <v>9815</v>
      </c>
      <c r="B4549" s="460" t="s">
        <v>12470</v>
      </c>
      <c r="C4549" s="461" t="s">
        <v>1107</v>
      </c>
      <c r="D4549" s="461">
        <v>10.09</v>
      </c>
      <c r="E4549" s="461" t="s">
        <v>161</v>
      </c>
      <c r="F4549" s="461" t="s">
        <v>8328</v>
      </c>
    </row>
    <row r="4550" spans="1:6" ht="30" x14ac:dyDescent="0.25">
      <c r="A4550" s="461">
        <v>44543</v>
      </c>
      <c r="B4550" s="460" t="s">
        <v>13465</v>
      </c>
      <c r="C4550" s="461" t="s">
        <v>1107</v>
      </c>
      <c r="D4550" s="461">
        <v>5021.42</v>
      </c>
      <c r="E4550" s="461" t="s">
        <v>161</v>
      </c>
      <c r="F4550" s="461" t="s">
        <v>8328</v>
      </c>
    </row>
    <row r="4551" spans="1:6" ht="30" x14ac:dyDescent="0.25">
      <c r="A4551" s="461">
        <v>44526</v>
      </c>
      <c r="B4551" s="460" t="s">
        <v>13466</v>
      </c>
      <c r="C4551" s="461" t="s">
        <v>1107</v>
      </c>
      <c r="D4551" s="461">
        <v>123.07</v>
      </c>
      <c r="E4551" s="461" t="s">
        <v>161</v>
      </c>
      <c r="F4551" s="461" t="s">
        <v>8328</v>
      </c>
    </row>
    <row r="4552" spans="1:6" ht="30" x14ac:dyDescent="0.25">
      <c r="A4552" s="461">
        <v>44545</v>
      </c>
      <c r="B4552" s="460" t="s">
        <v>13467</v>
      </c>
      <c r="C4552" s="461" t="s">
        <v>1107</v>
      </c>
      <c r="D4552" s="461">
        <v>264.17</v>
      </c>
      <c r="E4552" s="461" t="s">
        <v>161</v>
      </c>
      <c r="F4552" s="461" t="s">
        <v>8328</v>
      </c>
    </row>
    <row r="4553" spans="1:6" ht="30" x14ac:dyDescent="0.25">
      <c r="A4553" s="461">
        <v>44525</v>
      </c>
      <c r="B4553" s="460" t="s">
        <v>13468</v>
      </c>
      <c r="C4553" s="461" t="s">
        <v>1107</v>
      </c>
      <c r="D4553" s="461">
        <v>4554.3999999999996</v>
      </c>
      <c r="E4553" s="461" t="s">
        <v>161</v>
      </c>
      <c r="F4553" s="461" t="s">
        <v>8328</v>
      </c>
    </row>
    <row r="4554" spans="1:6" ht="30" x14ac:dyDescent="0.25">
      <c r="A4554" s="461">
        <v>44547</v>
      </c>
      <c r="B4554" s="460" t="s">
        <v>13469</v>
      </c>
      <c r="C4554" s="461" t="s">
        <v>1107</v>
      </c>
      <c r="D4554" s="461">
        <v>411.8</v>
      </c>
      <c r="E4554" s="461" t="s">
        <v>161</v>
      </c>
      <c r="F4554" s="461" t="s">
        <v>8328</v>
      </c>
    </row>
    <row r="4555" spans="1:6" ht="30" x14ac:dyDescent="0.25">
      <c r="A4555" s="461">
        <v>44519</v>
      </c>
      <c r="B4555" s="460" t="s">
        <v>13470</v>
      </c>
      <c r="C4555" s="461" t="s">
        <v>1107</v>
      </c>
      <c r="D4555" s="461">
        <v>1009.03</v>
      </c>
      <c r="E4555" s="461" t="s">
        <v>161</v>
      </c>
      <c r="F4555" s="461" t="s">
        <v>8328</v>
      </c>
    </row>
    <row r="4556" spans="1:6" ht="30" x14ac:dyDescent="0.25">
      <c r="A4556" s="461">
        <v>44520</v>
      </c>
      <c r="B4556" s="460" t="s">
        <v>13471</v>
      </c>
      <c r="C4556" s="461" t="s">
        <v>1107</v>
      </c>
      <c r="D4556" s="461">
        <v>1625.17</v>
      </c>
      <c r="E4556" s="461" t="s">
        <v>161</v>
      </c>
      <c r="F4556" s="461" t="s">
        <v>8328</v>
      </c>
    </row>
    <row r="4557" spans="1:6" ht="30" x14ac:dyDescent="0.25">
      <c r="A4557" s="461">
        <v>44521</v>
      </c>
      <c r="B4557" s="460" t="s">
        <v>12471</v>
      </c>
      <c r="C4557" s="461" t="s">
        <v>1107</v>
      </c>
      <c r="D4557" s="461">
        <v>26.22</v>
      </c>
      <c r="E4557" s="461" t="s">
        <v>161</v>
      </c>
      <c r="F4557" s="461" t="s">
        <v>8328</v>
      </c>
    </row>
    <row r="4558" spans="1:6" ht="30" x14ac:dyDescent="0.25">
      <c r="A4558" s="461">
        <v>44522</v>
      </c>
      <c r="B4558" s="460" t="s">
        <v>13472</v>
      </c>
      <c r="C4558" s="461" t="s">
        <v>1107</v>
      </c>
      <c r="D4558" s="461">
        <v>2853.21</v>
      </c>
      <c r="E4558" s="461" t="s">
        <v>161</v>
      </c>
      <c r="F4558" s="461" t="s">
        <v>8328</v>
      </c>
    </row>
    <row r="4559" spans="1:6" ht="30" x14ac:dyDescent="0.25">
      <c r="A4559" s="461">
        <v>44523</v>
      </c>
      <c r="B4559" s="460" t="s">
        <v>13473</v>
      </c>
      <c r="C4559" s="461" t="s">
        <v>1107</v>
      </c>
      <c r="D4559" s="461">
        <v>4243.5200000000004</v>
      </c>
      <c r="E4559" s="461" t="s">
        <v>161</v>
      </c>
      <c r="F4559" s="461" t="s">
        <v>8328</v>
      </c>
    </row>
    <row r="4560" spans="1:6" ht="30" x14ac:dyDescent="0.25">
      <c r="A4560" s="461">
        <v>44527</v>
      </c>
      <c r="B4560" s="460" t="s">
        <v>13474</v>
      </c>
      <c r="C4560" s="461" t="s">
        <v>1107</v>
      </c>
      <c r="D4560" s="461">
        <v>2128.02</v>
      </c>
      <c r="E4560" s="461" t="s">
        <v>161</v>
      </c>
      <c r="F4560" s="461" t="s">
        <v>8328</v>
      </c>
    </row>
    <row r="4561" spans="1:6" ht="30" x14ac:dyDescent="0.25">
      <c r="A4561" s="461">
        <v>44524</v>
      </c>
      <c r="B4561" s="460" t="s">
        <v>13475</v>
      </c>
      <c r="C4561" s="461" t="s">
        <v>1107</v>
      </c>
      <c r="D4561" s="461">
        <v>58.63</v>
      </c>
      <c r="E4561" s="461" t="s">
        <v>161</v>
      </c>
      <c r="F4561" s="461" t="s">
        <v>8328</v>
      </c>
    </row>
    <row r="4562" spans="1:6" ht="30" x14ac:dyDescent="0.25">
      <c r="A4562" s="461">
        <v>44542</v>
      </c>
      <c r="B4562" s="460" t="s">
        <v>13476</v>
      </c>
      <c r="C4562" s="461" t="s">
        <v>1107</v>
      </c>
      <c r="D4562" s="461">
        <v>2776.35</v>
      </c>
      <c r="E4562" s="461" t="s">
        <v>161</v>
      </c>
      <c r="F4562" s="461" t="s">
        <v>8328</v>
      </c>
    </row>
    <row r="4563" spans="1:6" ht="15" x14ac:dyDescent="0.25">
      <c r="A4563" s="461">
        <v>9877</v>
      </c>
      <c r="B4563" s="460" t="s">
        <v>13477</v>
      </c>
      <c r="C4563" s="461" t="s">
        <v>1107</v>
      </c>
      <c r="D4563" s="461">
        <v>103.64</v>
      </c>
      <c r="E4563" s="461" t="s">
        <v>161</v>
      </c>
      <c r="F4563" s="461" t="s">
        <v>8326</v>
      </c>
    </row>
    <row r="4564" spans="1:6" ht="15" x14ac:dyDescent="0.25">
      <c r="A4564" s="461">
        <v>9878</v>
      </c>
      <c r="B4564" s="460" t="s">
        <v>13478</v>
      </c>
      <c r="C4564" s="461" t="s">
        <v>1107</v>
      </c>
      <c r="D4564" s="461">
        <v>127.58</v>
      </c>
      <c r="E4564" s="461" t="s">
        <v>161</v>
      </c>
      <c r="F4564" s="461" t="s">
        <v>8326</v>
      </c>
    </row>
    <row r="4565" spans="1:6" ht="30" x14ac:dyDescent="0.25">
      <c r="A4565" s="461">
        <v>41986</v>
      </c>
      <c r="B4565" s="460" t="s">
        <v>13479</v>
      </c>
      <c r="C4565" s="461" t="s">
        <v>1107</v>
      </c>
      <c r="D4565" s="461">
        <v>3408.32</v>
      </c>
      <c r="E4565" s="461" t="s">
        <v>161</v>
      </c>
      <c r="F4565" s="461" t="s">
        <v>8328</v>
      </c>
    </row>
    <row r="4566" spans="1:6" ht="30" x14ac:dyDescent="0.25">
      <c r="A4566" s="461">
        <v>43422</v>
      </c>
      <c r="B4566" s="460" t="s">
        <v>12472</v>
      </c>
      <c r="C4566" s="461" t="s">
        <v>1107</v>
      </c>
      <c r="D4566" s="461">
        <v>4179.97</v>
      </c>
      <c r="E4566" s="461" t="s">
        <v>161</v>
      </c>
      <c r="F4566" s="461" t="s">
        <v>8328</v>
      </c>
    </row>
    <row r="4567" spans="1:6" ht="30" x14ac:dyDescent="0.25">
      <c r="A4567" s="461">
        <v>41987</v>
      </c>
      <c r="B4567" s="460" t="s">
        <v>13480</v>
      </c>
      <c r="C4567" s="461" t="s">
        <v>1107</v>
      </c>
      <c r="D4567" s="461">
        <v>4844.93</v>
      </c>
      <c r="E4567" s="461" t="s">
        <v>161</v>
      </c>
      <c r="F4567" s="461" t="s">
        <v>8328</v>
      </c>
    </row>
    <row r="4568" spans="1:6" ht="30" x14ac:dyDescent="0.25">
      <c r="A4568" s="461">
        <v>41988</v>
      </c>
      <c r="B4568" s="460" t="s">
        <v>13481</v>
      </c>
      <c r="C4568" s="461" t="s">
        <v>1107</v>
      </c>
      <c r="D4568" s="461">
        <v>6399.46</v>
      </c>
      <c r="E4568" s="461" t="s">
        <v>161</v>
      </c>
      <c r="F4568" s="461" t="s">
        <v>8328</v>
      </c>
    </row>
    <row r="4569" spans="1:6" ht="30" x14ac:dyDescent="0.25">
      <c r="A4569" s="461">
        <v>41697</v>
      </c>
      <c r="B4569" s="460" t="s">
        <v>13482</v>
      </c>
      <c r="C4569" s="461" t="s">
        <v>1107</v>
      </c>
      <c r="D4569" s="461">
        <v>1134.28</v>
      </c>
      <c r="E4569" s="461" t="s">
        <v>161</v>
      </c>
      <c r="F4569" s="461" t="s">
        <v>8328</v>
      </c>
    </row>
    <row r="4570" spans="1:6" ht="30" x14ac:dyDescent="0.25">
      <c r="A4570" s="461">
        <v>41985</v>
      </c>
      <c r="B4570" s="460" t="s">
        <v>13483</v>
      </c>
      <c r="C4570" s="461" t="s">
        <v>1107</v>
      </c>
      <c r="D4570" s="511">
        <v>1579.75</v>
      </c>
      <c r="E4570" s="461" t="s">
        <v>161</v>
      </c>
      <c r="F4570" s="461" t="s">
        <v>8328</v>
      </c>
    </row>
    <row r="4571" spans="1:6" ht="30" x14ac:dyDescent="0.25">
      <c r="A4571" s="461">
        <v>41699</v>
      </c>
      <c r="B4571" s="460" t="s">
        <v>13484</v>
      </c>
      <c r="C4571" s="461" t="s">
        <v>1107</v>
      </c>
      <c r="D4571" s="461">
        <v>2249.4899999999998</v>
      </c>
      <c r="E4571" s="461" t="s">
        <v>161</v>
      </c>
      <c r="F4571" s="461" t="s">
        <v>8328</v>
      </c>
    </row>
    <row r="4572" spans="1:6" ht="45" x14ac:dyDescent="0.25">
      <c r="A4572" s="461">
        <v>38053</v>
      </c>
      <c r="B4572" s="460" t="s">
        <v>12473</v>
      </c>
      <c r="C4572" s="461" t="s">
        <v>1107</v>
      </c>
      <c r="D4572" s="461">
        <v>26.15</v>
      </c>
      <c r="E4572" s="461" t="s">
        <v>161</v>
      </c>
      <c r="F4572" s="461" t="s">
        <v>8328</v>
      </c>
    </row>
    <row r="4573" spans="1:6" ht="45" x14ac:dyDescent="0.25">
      <c r="A4573" s="461">
        <v>38054</v>
      </c>
      <c r="B4573" s="460" t="s">
        <v>12474</v>
      </c>
      <c r="C4573" s="461" t="s">
        <v>1107</v>
      </c>
      <c r="D4573" s="511">
        <v>44.95</v>
      </c>
      <c r="E4573" s="461" t="s">
        <v>161</v>
      </c>
      <c r="F4573" s="461" t="s">
        <v>8328</v>
      </c>
    </row>
    <row r="4574" spans="1:6" ht="45" x14ac:dyDescent="0.25">
      <c r="A4574" s="461">
        <v>38052</v>
      </c>
      <c r="B4574" s="460" t="s">
        <v>12475</v>
      </c>
      <c r="C4574" s="461" t="s">
        <v>1107</v>
      </c>
      <c r="D4574" s="461">
        <v>12.66</v>
      </c>
      <c r="E4574" s="461" t="s">
        <v>161</v>
      </c>
      <c r="F4574" s="461" t="s">
        <v>8328</v>
      </c>
    </row>
    <row r="4575" spans="1:6" ht="45" x14ac:dyDescent="0.25">
      <c r="A4575" s="461">
        <v>38051</v>
      </c>
      <c r="B4575" s="460" t="s">
        <v>12476</v>
      </c>
      <c r="C4575" s="461" t="s">
        <v>1107</v>
      </c>
      <c r="D4575" s="511">
        <v>7.89</v>
      </c>
      <c r="E4575" s="461" t="s">
        <v>161</v>
      </c>
      <c r="F4575" s="461" t="s">
        <v>8328</v>
      </c>
    </row>
    <row r="4576" spans="1:6" ht="15" x14ac:dyDescent="0.25">
      <c r="A4576" s="461">
        <v>38787</v>
      </c>
      <c r="B4576" s="460" t="s">
        <v>12477</v>
      </c>
      <c r="C4576" s="461" t="s">
        <v>1107</v>
      </c>
      <c r="D4576" s="511">
        <v>4.82</v>
      </c>
      <c r="E4576" s="461" t="s">
        <v>161</v>
      </c>
      <c r="F4576" s="461" t="s">
        <v>8328</v>
      </c>
    </row>
    <row r="4577" spans="1:6" ht="15" x14ac:dyDescent="0.25">
      <c r="A4577" s="461">
        <v>38825</v>
      </c>
      <c r="B4577" s="460" t="s">
        <v>12478</v>
      </c>
      <c r="C4577" s="461" t="s">
        <v>1107</v>
      </c>
      <c r="D4577" s="461">
        <v>6.23</v>
      </c>
      <c r="E4577" s="461" t="s">
        <v>161</v>
      </c>
      <c r="F4577" s="461" t="s">
        <v>8328</v>
      </c>
    </row>
    <row r="4578" spans="1:6" ht="15" x14ac:dyDescent="0.25">
      <c r="A4578" s="461">
        <v>38826</v>
      </c>
      <c r="B4578" s="460" t="s">
        <v>12479</v>
      </c>
      <c r="C4578" s="461" t="s">
        <v>1107</v>
      </c>
      <c r="D4578" s="511">
        <v>8.86</v>
      </c>
      <c r="E4578" s="461" t="s">
        <v>161</v>
      </c>
      <c r="F4578" s="461" t="s">
        <v>8328</v>
      </c>
    </row>
    <row r="4579" spans="1:6" ht="15" x14ac:dyDescent="0.25">
      <c r="A4579" s="461">
        <v>38827</v>
      </c>
      <c r="B4579" s="460" t="s">
        <v>12480</v>
      </c>
      <c r="C4579" s="461" t="s">
        <v>1107</v>
      </c>
      <c r="D4579" s="511">
        <v>14.49</v>
      </c>
      <c r="E4579" s="461" t="s">
        <v>161</v>
      </c>
      <c r="F4579" s="461" t="s">
        <v>8328</v>
      </c>
    </row>
    <row r="4580" spans="1:6" ht="15" x14ac:dyDescent="0.25">
      <c r="A4580" s="461">
        <v>38828</v>
      </c>
      <c r="B4580" s="460" t="s">
        <v>12481</v>
      </c>
      <c r="C4580" s="461" t="s">
        <v>1107</v>
      </c>
      <c r="D4580" s="511">
        <v>9.2799999999999994</v>
      </c>
      <c r="E4580" s="461" t="s">
        <v>161</v>
      </c>
      <c r="F4580" s="461" t="s">
        <v>8328</v>
      </c>
    </row>
    <row r="4581" spans="1:6" ht="15" x14ac:dyDescent="0.25">
      <c r="A4581" s="461">
        <v>38829</v>
      </c>
      <c r="B4581" s="460" t="s">
        <v>12482</v>
      </c>
      <c r="C4581" s="461" t="s">
        <v>1107</v>
      </c>
      <c r="D4581" s="461">
        <v>15.2</v>
      </c>
      <c r="E4581" s="461" t="s">
        <v>161</v>
      </c>
      <c r="F4581" s="461" t="s">
        <v>8328</v>
      </c>
    </row>
    <row r="4582" spans="1:6" ht="15" x14ac:dyDescent="0.25">
      <c r="A4582" s="461">
        <v>38830</v>
      </c>
      <c r="B4582" s="460" t="s">
        <v>12483</v>
      </c>
      <c r="C4582" s="461" t="s">
        <v>1107</v>
      </c>
      <c r="D4582" s="511">
        <v>21.05</v>
      </c>
      <c r="E4582" s="461" t="s">
        <v>161</v>
      </c>
      <c r="F4582" s="461" t="s">
        <v>8328</v>
      </c>
    </row>
    <row r="4583" spans="1:6" ht="15" x14ac:dyDescent="0.25">
      <c r="A4583" s="461">
        <v>38831</v>
      </c>
      <c r="B4583" s="460" t="s">
        <v>12484</v>
      </c>
      <c r="C4583" s="461" t="s">
        <v>1107</v>
      </c>
      <c r="D4583" s="461">
        <v>29.36</v>
      </c>
      <c r="E4583" s="461" t="s">
        <v>161</v>
      </c>
      <c r="F4583" s="461" t="s">
        <v>8328</v>
      </c>
    </row>
    <row r="4584" spans="1:6" ht="15" x14ac:dyDescent="0.25">
      <c r="A4584" s="461">
        <v>36274</v>
      </c>
      <c r="B4584" s="460" t="s">
        <v>12485</v>
      </c>
      <c r="C4584" s="461" t="s">
        <v>1107</v>
      </c>
      <c r="D4584" s="461">
        <v>10.61</v>
      </c>
      <c r="E4584" s="461" t="s">
        <v>161</v>
      </c>
      <c r="F4584" s="461" t="s">
        <v>8333</v>
      </c>
    </row>
    <row r="4585" spans="1:6" ht="15" x14ac:dyDescent="0.25">
      <c r="A4585" s="461">
        <v>36278</v>
      </c>
      <c r="B4585" s="460" t="s">
        <v>12486</v>
      </c>
      <c r="C4585" s="461" t="s">
        <v>1107</v>
      </c>
      <c r="D4585" s="511">
        <v>14.39</v>
      </c>
      <c r="E4585" s="461" t="s">
        <v>161</v>
      </c>
      <c r="F4585" s="461" t="s">
        <v>8326</v>
      </c>
    </row>
    <row r="4586" spans="1:6" ht="15" x14ac:dyDescent="0.25">
      <c r="A4586" s="461">
        <v>38977</v>
      </c>
      <c r="B4586" s="460" t="s">
        <v>12487</v>
      </c>
      <c r="C4586" s="461" t="s">
        <v>1107</v>
      </c>
      <c r="D4586" s="511">
        <v>140.76</v>
      </c>
      <c r="E4586" s="461" t="s">
        <v>161</v>
      </c>
      <c r="F4586" s="461" t="s">
        <v>8326</v>
      </c>
    </row>
    <row r="4587" spans="1:6" ht="15" x14ac:dyDescent="0.25">
      <c r="A4587" s="461">
        <v>38971</v>
      </c>
      <c r="B4587" s="460" t="s">
        <v>12488</v>
      </c>
      <c r="C4587" s="461" t="s">
        <v>1107</v>
      </c>
      <c r="D4587" s="511">
        <v>11.81</v>
      </c>
      <c r="E4587" s="461" t="s">
        <v>161</v>
      </c>
      <c r="F4587" s="461" t="s">
        <v>8326</v>
      </c>
    </row>
    <row r="4588" spans="1:6" ht="15" x14ac:dyDescent="0.25">
      <c r="A4588" s="461">
        <v>38972</v>
      </c>
      <c r="B4588" s="460" t="s">
        <v>12489</v>
      </c>
      <c r="C4588" s="461" t="s">
        <v>1107</v>
      </c>
      <c r="D4588" s="511">
        <v>15.93</v>
      </c>
      <c r="E4588" s="461" t="s">
        <v>161</v>
      </c>
      <c r="F4588" s="461" t="s">
        <v>8326</v>
      </c>
    </row>
    <row r="4589" spans="1:6" ht="15" x14ac:dyDescent="0.25">
      <c r="A4589" s="461">
        <v>38973</v>
      </c>
      <c r="B4589" s="460" t="s">
        <v>12490</v>
      </c>
      <c r="C4589" s="461" t="s">
        <v>1107</v>
      </c>
      <c r="D4589" s="511">
        <v>26.32</v>
      </c>
      <c r="E4589" s="461" t="s">
        <v>161</v>
      </c>
      <c r="F4589" s="461" t="s">
        <v>8326</v>
      </c>
    </row>
    <row r="4590" spans="1:6" ht="15" x14ac:dyDescent="0.25">
      <c r="A4590" s="461">
        <v>38974</v>
      </c>
      <c r="B4590" s="460" t="s">
        <v>12491</v>
      </c>
      <c r="C4590" s="461" t="s">
        <v>1107</v>
      </c>
      <c r="D4590" s="511">
        <v>42.74</v>
      </c>
      <c r="E4590" s="461" t="s">
        <v>161</v>
      </c>
      <c r="F4590" s="461" t="s">
        <v>8326</v>
      </c>
    </row>
    <row r="4591" spans="1:6" ht="15" x14ac:dyDescent="0.25">
      <c r="A4591" s="461">
        <v>38975</v>
      </c>
      <c r="B4591" s="460" t="s">
        <v>12492</v>
      </c>
      <c r="C4591" s="461" t="s">
        <v>1107</v>
      </c>
      <c r="D4591" s="511">
        <v>54.8</v>
      </c>
      <c r="E4591" s="461" t="s">
        <v>161</v>
      </c>
      <c r="F4591" s="461" t="s">
        <v>8326</v>
      </c>
    </row>
    <row r="4592" spans="1:6" ht="15" x14ac:dyDescent="0.25">
      <c r="A4592" s="461">
        <v>38976</v>
      </c>
      <c r="B4592" s="460" t="s">
        <v>12493</v>
      </c>
      <c r="C4592" s="461" t="s">
        <v>1107</v>
      </c>
      <c r="D4592" s="461">
        <v>94.21</v>
      </c>
      <c r="E4592" s="461" t="s">
        <v>161</v>
      </c>
      <c r="F4592" s="461" t="s">
        <v>8326</v>
      </c>
    </row>
    <row r="4593" spans="1:6" ht="30" x14ac:dyDescent="0.25">
      <c r="A4593" s="461">
        <v>44176</v>
      </c>
      <c r="B4593" s="460" t="s">
        <v>12494</v>
      </c>
      <c r="C4593" s="461" t="s">
        <v>1107</v>
      </c>
      <c r="D4593" s="461">
        <v>21.65</v>
      </c>
      <c r="E4593" s="461" t="s">
        <v>161</v>
      </c>
      <c r="F4593" s="461" t="s">
        <v>8326</v>
      </c>
    </row>
    <row r="4594" spans="1:6" ht="15" x14ac:dyDescent="0.25">
      <c r="A4594" s="461">
        <v>38986</v>
      </c>
      <c r="B4594" s="460" t="s">
        <v>12495</v>
      </c>
      <c r="C4594" s="461" t="s">
        <v>1107</v>
      </c>
      <c r="D4594" s="461">
        <v>284.38</v>
      </c>
      <c r="E4594" s="461" t="s">
        <v>161</v>
      </c>
      <c r="F4594" s="461" t="s">
        <v>8326</v>
      </c>
    </row>
    <row r="4595" spans="1:6" ht="15" x14ac:dyDescent="0.25">
      <c r="A4595" s="461">
        <v>38978</v>
      </c>
      <c r="B4595" s="460" t="s">
        <v>12496</v>
      </c>
      <c r="C4595" s="461" t="s">
        <v>1107</v>
      </c>
      <c r="D4595" s="461">
        <v>11.66</v>
      </c>
      <c r="E4595" s="461" t="s">
        <v>161</v>
      </c>
      <c r="F4595" s="461" t="s">
        <v>8326</v>
      </c>
    </row>
    <row r="4596" spans="1:6" ht="15" x14ac:dyDescent="0.25">
      <c r="A4596" s="461">
        <v>38979</v>
      </c>
      <c r="B4596" s="460" t="s">
        <v>12497</v>
      </c>
      <c r="C4596" s="461" t="s">
        <v>1107</v>
      </c>
      <c r="D4596" s="461">
        <v>16.13</v>
      </c>
      <c r="E4596" s="461" t="s">
        <v>161</v>
      </c>
      <c r="F4596" s="461" t="s">
        <v>8326</v>
      </c>
    </row>
    <row r="4597" spans="1:6" ht="15" x14ac:dyDescent="0.25">
      <c r="A4597" s="461">
        <v>38980</v>
      </c>
      <c r="B4597" s="460" t="s">
        <v>12498</v>
      </c>
      <c r="C4597" s="461" t="s">
        <v>1107</v>
      </c>
      <c r="D4597" s="461">
        <v>21.58</v>
      </c>
      <c r="E4597" s="461" t="s">
        <v>161</v>
      </c>
      <c r="F4597" s="461" t="s">
        <v>8326</v>
      </c>
    </row>
    <row r="4598" spans="1:6" ht="15" x14ac:dyDescent="0.25">
      <c r="A4598" s="461">
        <v>38981</v>
      </c>
      <c r="B4598" s="460" t="s">
        <v>12499</v>
      </c>
      <c r="C4598" s="461" t="s">
        <v>1107</v>
      </c>
      <c r="D4598" s="461">
        <v>31.14</v>
      </c>
      <c r="E4598" s="461" t="s">
        <v>161</v>
      </c>
      <c r="F4598" s="461" t="s">
        <v>8326</v>
      </c>
    </row>
    <row r="4599" spans="1:6" ht="15" x14ac:dyDescent="0.25">
      <c r="A4599" s="461">
        <v>38982</v>
      </c>
      <c r="B4599" s="460" t="s">
        <v>12500</v>
      </c>
      <c r="C4599" s="461" t="s">
        <v>1107</v>
      </c>
      <c r="D4599" s="461">
        <v>49.21</v>
      </c>
      <c r="E4599" s="461" t="s">
        <v>161</v>
      </c>
      <c r="F4599" s="461" t="s">
        <v>8326</v>
      </c>
    </row>
    <row r="4600" spans="1:6" ht="15" x14ac:dyDescent="0.25">
      <c r="A4600" s="461">
        <v>38983</v>
      </c>
      <c r="B4600" s="460" t="s">
        <v>12501</v>
      </c>
      <c r="C4600" s="461" t="s">
        <v>1107</v>
      </c>
      <c r="D4600" s="461">
        <v>86.59</v>
      </c>
      <c r="E4600" s="461" t="s">
        <v>161</v>
      </c>
      <c r="F4600" s="461" t="s">
        <v>8326</v>
      </c>
    </row>
    <row r="4601" spans="1:6" ht="15" x14ac:dyDescent="0.25">
      <c r="A4601" s="461">
        <v>38984</v>
      </c>
      <c r="B4601" s="460" t="s">
        <v>12502</v>
      </c>
      <c r="C4601" s="461" t="s">
        <v>1107</v>
      </c>
      <c r="D4601" s="461">
        <v>119.03</v>
      </c>
      <c r="E4601" s="461" t="s">
        <v>161</v>
      </c>
      <c r="F4601" s="461" t="s">
        <v>8326</v>
      </c>
    </row>
    <row r="4602" spans="1:6" ht="15" x14ac:dyDescent="0.25">
      <c r="A4602" s="461">
        <v>38985</v>
      </c>
      <c r="B4602" s="460" t="s">
        <v>12503</v>
      </c>
      <c r="C4602" s="461" t="s">
        <v>1107</v>
      </c>
      <c r="D4602" s="461">
        <v>204.65</v>
      </c>
      <c r="E4602" s="461" t="s">
        <v>161</v>
      </c>
      <c r="F4602" s="461" t="s">
        <v>8326</v>
      </c>
    </row>
    <row r="4603" spans="1:6" ht="30" x14ac:dyDescent="0.25">
      <c r="A4603" s="461">
        <v>38032</v>
      </c>
      <c r="B4603" s="460" t="s">
        <v>12504</v>
      </c>
      <c r="C4603" s="461" t="s">
        <v>1107</v>
      </c>
      <c r="D4603" s="461">
        <v>49.35</v>
      </c>
      <c r="E4603" s="461" t="s">
        <v>161</v>
      </c>
      <c r="F4603" s="461" t="s">
        <v>8326</v>
      </c>
    </row>
    <row r="4604" spans="1:6" ht="30" x14ac:dyDescent="0.25">
      <c r="A4604" s="461">
        <v>38033</v>
      </c>
      <c r="B4604" s="460" t="s">
        <v>12505</v>
      </c>
      <c r="C4604" s="461" t="s">
        <v>1107</v>
      </c>
      <c r="D4604" s="461">
        <v>83.89</v>
      </c>
      <c r="E4604" s="461" t="s">
        <v>161</v>
      </c>
      <c r="F4604" s="461" t="s">
        <v>8326</v>
      </c>
    </row>
    <row r="4605" spans="1:6" ht="30" x14ac:dyDescent="0.25">
      <c r="A4605" s="461">
        <v>38034</v>
      </c>
      <c r="B4605" s="460" t="s">
        <v>12506</v>
      </c>
      <c r="C4605" s="461" t="s">
        <v>1107</v>
      </c>
      <c r="D4605" s="461">
        <v>131.41999999999999</v>
      </c>
      <c r="E4605" s="461" t="s">
        <v>161</v>
      </c>
      <c r="F4605" s="461" t="s">
        <v>8326</v>
      </c>
    </row>
    <row r="4606" spans="1:6" ht="30" x14ac:dyDescent="0.25">
      <c r="A4606" s="461">
        <v>38035</v>
      </c>
      <c r="B4606" s="460" t="s">
        <v>13485</v>
      </c>
      <c r="C4606" s="461" t="s">
        <v>1107</v>
      </c>
      <c r="D4606" s="461">
        <v>193.33</v>
      </c>
      <c r="E4606" s="461" t="s">
        <v>161</v>
      </c>
      <c r="F4606" s="461" t="s">
        <v>8326</v>
      </c>
    </row>
    <row r="4607" spans="1:6" ht="30" x14ac:dyDescent="0.25">
      <c r="A4607" s="461">
        <v>38036</v>
      </c>
      <c r="B4607" s="460" t="s">
        <v>12507</v>
      </c>
      <c r="C4607" s="461" t="s">
        <v>1107</v>
      </c>
      <c r="D4607" s="461">
        <v>260.45</v>
      </c>
      <c r="E4607" s="461" t="s">
        <v>161</v>
      </c>
      <c r="F4607" s="461" t="s">
        <v>8326</v>
      </c>
    </row>
    <row r="4608" spans="1:6" ht="30" x14ac:dyDescent="0.25">
      <c r="A4608" s="461">
        <v>38037</v>
      </c>
      <c r="B4608" s="460" t="s">
        <v>12508</v>
      </c>
      <c r="C4608" s="461" t="s">
        <v>1107</v>
      </c>
      <c r="D4608" s="461">
        <v>344.02</v>
      </c>
      <c r="E4608" s="461" t="s">
        <v>161</v>
      </c>
      <c r="F4608" s="461" t="s">
        <v>8326</v>
      </c>
    </row>
    <row r="4609" spans="1:6" ht="30" x14ac:dyDescent="0.25">
      <c r="A4609" s="461">
        <v>9850</v>
      </c>
      <c r="B4609" s="460" t="s">
        <v>12509</v>
      </c>
      <c r="C4609" s="461" t="s">
        <v>1107</v>
      </c>
      <c r="D4609" s="461">
        <v>147.75</v>
      </c>
      <c r="E4609" s="461" t="s">
        <v>161</v>
      </c>
      <c r="F4609" s="461" t="s">
        <v>8328</v>
      </c>
    </row>
    <row r="4610" spans="1:6" ht="30" x14ac:dyDescent="0.25">
      <c r="A4610" s="461">
        <v>9853</v>
      </c>
      <c r="B4610" s="460" t="s">
        <v>12510</v>
      </c>
      <c r="C4610" s="461" t="s">
        <v>1107</v>
      </c>
      <c r="D4610" s="461">
        <v>262.74</v>
      </c>
      <c r="E4610" s="461" t="s">
        <v>161</v>
      </c>
      <c r="F4610" s="461" t="s">
        <v>8328</v>
      </c>
    </row>
    <row r="4611" spans="1:6" ht="30" x14ac:dyDescent="0.25">
      <c r="A4611" s="461">
        <v>9854</v>
      </c>
      <c r="B4611" s="460" t="s">
        <v>12511</v>
      </c>
      <c r="C4611" s="461" t="s">
        <v>1107</v>
      </c>
      <c r="D4611" s="461">
        <v>115.12</v>
      </c>
      <c r="E4611" s="461" t="s">
        <v>161</v>
      </c>
      <c r="F4611" s="461" t="s">
        <v>8328</v>
      </c>
    </row>
    <row r="4612" spans="1:6" ht="30" x14ac:dyDescent="0.25">
      <c r="A4612" s="461">
        <v>9851</v>
      </c>
      <c r="B4612" s="460" t="s">
        <v>12512</v>
      </c>
      <c r="C4612" s="461" t="s">
        <v>1107</v>
      </c>
      <c r="D4612" s="461">
        <v>199.62</v>
      </c>
      <c r="E4612" s="461" t="s">
        <v>161</v>
      </c>
      <c r="F4612" s="461" t="s">
        <v>8328</v>
      </c>
    </row>
    <row r="4613" spans="1:6" ht="15" x14ac:dyDescent="0.25">
      <c r="A4613" s="461">
        <v>9825</v>
      </c>
      <c r="B4613" s="460" t="s">
        <v>12513</v>
      </c>
      <c r="C4613" s="461" t="s">
        <v>1107</v>
      </c>
      <c r="D4613" s="461">
        <v>37.99</v>
      </c>
      <c r="E4613" s="461" t="s">
        <v>161</v>
      </c>
      <c r="F4613" s="461" t="s">
        <v>8328</v>
      </c>
    </row>
    <row r="4614" spans="1:6" ht="15" x14ac:dyDescent="0.25">
      <c r="A4614" s="461">
        <v>9828</v>
      </c>
      <c r="B4614" s="460" t="s">
        <v>13486</v>
      </c>
      <c r="C4614" s="461" t="s">
        <v>1107</v>
      </c>
      <c r="D4614" s="461">
        <v>102.24</v>
      </c>
      <c r="E4614" s="461" t="s">
        <v>161</v>
      </c>
      <c r="F4614" s="461" t="s">
        <v>8328</v>
      </c>
    </row>
    <row r="4615" spans="1:6" ht="15" x14ac:dyDescent="0.25">
      <c r="A4615" s="461">
        <v>9829</v>
      </c>
      <c r="B4615" s="460" t="s">
        <v>12514</v>
      </c>
      <c r="C4615" s="461" t="s">
        <v>1107</v>
      </c>
      <c r="D4615" s="461">
        <v>173.28</v>
      </c>
      <c r="E4615" s="461" t="s">
        <v>161</v>
      </c>
      <c r="F4615" s="461" t="s">
        <v>8328</v>
      </c>
    </row>
    <row r="4616" spans="1:6" ht="15" x14ac:dyDescent="0.25">
      <c r="A4616" s="461">
        <v>9826</v>
      </c>
      <c r="B4616" s="460" t="s">
        <v>12515</v>
      </c>
      <c r="C4616" s="461" t="s">
        <v>1107</v>
      </c>
      <c r="D4616" s="461">
        <v>263.79000000000002</v>
      </c>
      <c r="E4616" s="461" t="s">
        <v>161</v>
      </c>
      <c r="F4616" s="461" t="s">
        <v>8328</v>
      </c>
    </row>
    <row r="4617" spans="1:6" ht="15" x14ac:dyDescent="0.25">
      <c r="A4617" s="461">
        <v>9827</v>
      </c>
      <c r="B4617" s="460" t="s">
        <v>12516</v>
      </c>
      <c r="C4617" s="461" t="s">
        <v>1107</v>
      </c>
      <c r="D4617" s="461">
        <v>374.58</v>
      </c>
      <c r="E4617" s="461" t="s">
        <v>161</v>
      </c>
      <c r="F4617" s="461" t="s">
        <v>8328</v>
      </c>
    </row>
    <row r="4618" spans="1:6" ht="15" x14ac:dyDescent="0.25">
      <c r="A4618" s="461">
        <v>36374</v>
      </c>
      <c r="B4618" s="460" t="s">
        <v>12517</v>
      </c>
      <c r="C4618" s="461" t="s">
        <v>1107</v>
      </c>
      <c r="D4618" s="461">
        <v>45.53</v>
      </c>
      <c r="E4618" s="461" t="s">
        <v>161</v>
      </c>
      <c r="F4618" s="461" t="s">
        <v>8328</v>
      </c>
    </row>
    <row r="4619" spans="1:6" ht="15" x14ac:dyDescent="0.25">
      <c r="A4619" s="461">
        <v>36084</v>
      </c>
      <c r="B4619" s="460" t="s">
        <v>12518</v>
      </c>
      <c r="C4619" s="461" t="s">
        <v>1107</v>
      </c>
      <c r="D4619" s="461">
        <v>13.49</v>
      </c>
      <c r="E4619" s="461" t="s">
        <v>161</v>
      </c>
      <c r="F4619" s="461" t="s">
        <v>8328</v>
      </c>
    </row>
    <row r="4620" spans="1:6" ht="15" x14ac:dyDescent="0.25">
      <c r="A4620" s="461">
        <v>36373</v>
      </c>
      <c r="B4620" s="460" t="s">
        <v>12519</v>
      </c>
      <c r="C4620" s="461" t="s">
        <v>1107</v>
      </c>
      <c r="D4620" s="461">
        <v>28.01</v>
      </c>
      <c r="E4620" s="461" t="s">
        <v>161</v>
      </c>
      <c r="F4620" s="461" t="s">
        <v>8328</v>
      </c>
    </row>
    <row r="4621" spans="1:6" ht="15" x14ac:dyDescent="0.25">
      <c r="A4621" s="461">
        <v>36377</v>
      </c>
      <c r="B4621" s="460" t="s">
        <v>12520</v>
      </c>
      <c r="C4621" s="461" t="s">
        <v>1107</v>
      </c>
      <c r="D4621" s="461">
        <v>54.62</v>
      </c>
      <c r="E4621" s="461" t="s">
        <v>161</v>
      </c>
      <c r="F4621" s="461" t="s">
        <v>8328</v>
      </c>
    </row>
    <row r="4622" spans="1:6" ht="15" x14ac:dyDescent="0.25">
      <c r="A4622" s="461">
        <v>36375</v>
      </c>
      <c r="B4622" s="460" t="s">
        <v>12521</v>
      </c>
      <c r="C4622" s="461" t="s">
        <v>1107</v>
      </c>
      <c r="D4622" s="461">
        <v>16.64</v>
      </c>
      <c r="E4622" s="461" t="s">
        <v>161</v>
      </c>
      <c r="F4622" s="461" t="s">
        <v>8328</v>
      </c>
    </row>
    <row r="4623" spans="1:6" ht="15" x14ac:dyDescent="0.25">
      <c r="A4623" s="461">
        <v>36376</v>
      </c>
      <c r="B4623" s="460" t="s">
        <v>12522</v>
      </c>
      <c r="C4623" s="461" t="s">
        <v>1107</v>
      </c>
      <c r="D4623" s="461">
        <v>32.69</v>
      </c>
      <c r="E4623" s="461" t="s">
        <v>161</v>
      </c>
      <c r="F4623" s="461" t="s">
        <v>8328</v>
      </c>
    </row>
    <row r="4624" spans="1:6" ht="15" x14ac:dyDescent="0.25">
      <c r="A4624" s="461">
        <v>36380</v>
      </c>
      <c r="B4624" s="460" t="s">
        <v>12523</v>
      </c>
      <c r="C4624" s="461" t="s">
        <v>1107</v>
      </c>
      <c r="D4624" s="461">
        <v>68.3</v>
      </c>
      <c r="E4624" s="461" t="s">
        <v>161</v>
      </c>
      <c r="F4624" s="461" t="s">
        <v>8328</v>
      </c>
    </row>
    <row r="4625" spans="1:6" ht="15" x14ac:dyDescent="0.25">
      <c r="A4625" s="461">
        <v>36378</v>
      </c>
      <c r="B4625" s="460" t="s">
        <v>12524</v>
      </c>
      <c r="C4625" s="461" t="s">
        <v>1107</v>
      </c>
      <c r="D4625" s="461">
        <v>20.46</v>
      </c>
      <c r="E4625" s="461" t="s">
        <v>161</v>
      </c>
      <c r="F4625" s="461" t="s">
        <v>8328</v>
      </c>
    </row>
    <row r="4626" spans="1:6" ht="15" x14ac:dyDescent="0.25">
      <c r="A4626" s="461">
        <v>36379</v>
      </c>
      <c r="B4626" s="460" t="s">
        <v>12525</v>
      </c>
      <c r="C4626" s="461" t="s">
        <v>1107</v>
      </c>
      <c r="D4626" s="461">
        <v>41.25</v>
      </c>
      <c r="E4626" s="461" t="s">
        <v>161</v>
      </c>
      <c r="F4626" s="461" t="s">
        <v>8328</v>
      </c>
    </row>
    <row r="4627" spans="1:6" ht="15" x14ac:dyDescent="0.25">
      <c r="A4627" s="461">
        <v>9859</v>
      </c>
      <c r="B4627" s="460" t="s">
        <v>13487</v>
      </c>
      <c r="C4627" s="461" t="s">
        <v>1107</v>
      </c>
      <c r="D4627" s="461">
        <v>9.99</v>
      </c>
      <c r="E4627" s="461" t="s">
        <v>161</v>
      </c>
      <c r="F4627" s="461" t="s">
        <v>8326</v>
      </c>
    </row>
    <row r="4628" spans="1:6" ht="15" x14ac:dyDescent="0.25">
      <c r="A4628" s="461">
        <v>9836</v>
      </c>
      <c r="B4628" s="460" t="s">
        <v>13488</v>
      </c>
      <c r="C4628" s="461" t="s">
        <v>1107</v>
      </c>
      <c r="D4628" s="461">
        <v>12.49</v>
      </c>
      <c r="E4628" s="461" t="s">
        <v>161</v>
      </c>
      <c r="F4628" s="461" t="s">
        <v>8333</v>
      </c>
    </row>
    <row r="4629" spans="1:6" ht="15" x14ac:dyDescent="0.25">
      <c r="A4629" s="461">
        <v>20065</v>
      </c>
      <c r="B4629" s="460" t="s">
        <v>13489</v>
      </c>
      <c r="C4629" s="461" t="s">
        <v>1107</v>
      </c>
      <c r="D4629" s="461">
        <v>32.65</v>
      </c>
      <c r="E4629" s="461" t="s">
        <v>161</v>
      </c>
      <c r="F4629" s="461" t="s">
        <v>8326</v>
      </c>
    </row>
    <row r="4630" spans="1:6" ht="15" x14ac:dyDescent="0.25">
      <c r="A4630" s="461">
        <v>9835</v>
      </c>
      <c r="B4630" s="460" t="s">
        <v>13490</v>
      </c>
      <c r="C4630" s="461" t="s">
        <v>1107</v>
      </c>
      <c r="D4630" s="461">
        <v>5.45</v>
      </c>
      <c r="E4630" s="461" t="s">
        <v>161</v>
      </c>
      <c r="F4630" s="461" t="s">
        <v>8326</v>
      </c>
    </row>
    <row r="4631" spans="1:6" ht="15" x14ac:dyDescent="0.25">
      <c r="A4631" s="461">
        <v>9838</v>
      </c>
      <c r="B4631" s="460" t="s">
        <v>12526</v>
      </c>
      <c r="C4631" s="461" t="s">
        <v>1107</v>
      </c>
      <c r="D4631" s="461">
        <v>9.01</v>
      </c>
      <c r="E4631" s="461" t="s">
        <v>161</v>
      </c>
      <c r="F4631" s="461" t="s">
        <v>8326</v>
      </c>
    </row>
    <row r="4632" spans="1:6" ht="15" x14ac:dyDescent="0.25">
      <c r="A4632" s="461">
        <v>9837</v>
      </c>
      <c r="B4632" s="460" t="s">
        <v>12527</v>
      </c>
      <c r="C4632" s="461" t="s">
        <v>1107</v>
      </c>
      <c r="D4632" s="461">
        <v>11.82</v>
      </c>
      <c r="E4632" s="461" t="s">
        <v>161</v>
      </c>
      <c r="F4632" s="461" t="s">
        <v>8326</v>
      </c>
    </row>
    <row r="4633" spans="1:6" ht="30" x14ac:dyDescent="0.25">
      <c r="A4633" s="461">
        <v>44315</v>
      </c>
      <c r="B4633" s="460" t="s">
        <v>12528</v>
      </c>
      <c r="C4633" s="461" t="s">
        <v>1107</v>
      </c>
      <c r="D4633" s="461">
        <v>48.9</v>
      </c>
      <c r="E4633" s="461" t="s">
        <v>161</v>
      </c>
      <c r="F4633" s="461" t="s">
        <v>8326</v>
      </c>
    </row>
    <row r="4634" spans="1:6" ht="15" x14ac:dyDescent="0.25">
      <c r="A4634" s="461">
        <v>9862</v>
      </c>
      <c r="B4634" s="460" t="s">
        <v>13491</v>
      </c>
      <c r="C4634" s="461" t="s">
        <v>1107</v>
      </c>
      <c r="D4634" s="461">
        <v>30.78</v>
      </c>
      <c r="E4634" s="461" t="s">
        <v>161</v>
      </c>
      <c r="F4634" s="461" t="s">
        <v>8326</v>
      </c>
    </row>
    <row r="4635" spans="1:6" ht="15" x14ac:dyDescent="0.25">
      <c r="A4635" s="461">
        <v>9861</v>
      </c>
      <c r="B4635" s="460" t="s">
        <v>12529</v>
      </c>
      <c r="C4635" s="461" t="s">
        <v>1107</v>
      </c>
      <c r="D4635" s="461">
        <v>24.18</v>
      </c>
      <c r="E4635" s="461" t="s">
        <v>161</v>
      </c>
      <c r="F4635" s="461" t="s">
        <v>8326</v>
      </c>
    </row>
    <row r="4636" spans="1:6" ht="15" x14ac:dyDescent="0.25">
      <c r="A4636" s="461">
        <v>9856</v>
      </c>
      <c r="B4636" s="460" t="s">
        <v>12530</v>
      </c>
      <c r="C4636" s="461" t="s">
        <v>1107</v>
      </c>
      <c r="D4636" s="461">
        <v>7.8</v>
      </c>
      <c r="E4636" s="461" t="s">
        <v>161</v>
      </c>
      <c r="F4636" s="461" t="s">
        <v>8326</v>
      </c>
    </row>
    <row r="4637" spans="1:6" ht="15" x14ac:dyDescent="0.25">
      <c r="A4637" s="461">
        <v>9866</v>
      </c>
      <c r="B4637" s="460" t="s">
        <v>12531</v>
      </c>
      <c r="C4637" s="461" t="s">
        <v>1107</v>
      </c>
      <c r="D4637" s="461">
        <v>20.86</v>
      </c>
      <c r="E4637" s="461" t="s">
        <v>161</v>
      </c>
      <c r="F4637" s="461" t="s">
        <v>8326</v>
      </c>
    </row>
    <row r="4638" spans="1:6" ht="15" x14ac:dyDescent="0.25">
      <c r="A4638" s="461">
        <v>9863</v>
      </c>
      <c r="B4638" s="460" t="s">
        <v>13492</v>
      </c>
      <c r="C4638" s="461" t="s">
        <v>1107</v>
      </c>
      <c r="D4638" s="461">
        <v>60.35</v>
      </c>
      <c r="E4638" s="461" t="s">
        <v>161</v>
      </c>
      <c r="F4638" s="461" t="s">
        <v>8326</v>
      </c>
    </row>
    <row r="4639" spans="1:6" ht="15" x14ac:dyDescent="0.25">
      <c r="A4639" s="461">
        <v>9860</v>
      </c>
      <c r="B4639" s="460" t="s">
        <v>13493</v>
      </c>
      <c r="C4639" s="461" t="s">
        <v>1107</v>
      </c>
      <c r="D4639" s="461">
        <v>44.05</v>
      </c>
      <c r="E4639" s="461" t="s">
        <v>161</v>
      </c>
      <c r="F4639" s="461" t="s">
        <v>8326</v>
      </c>
    </row>
    <row r="4640" spans="1:6" ht="30" x14ac:dyDescent="0.25">
      <c r="A4640" s="461">
        <v>9841</v>
      </c>
      <c r="B4640" s="460" t="s">
        <v>12532</v>
      </c>
      <c r="C4640" s="461" t="s">
        <v>1107</v>
      </c>
      <c r="D4640" s="461">
        <v>23.52</v>
      </c>
      <c r="E4640" s="461" t="s">
        <v>161</v>
      </c>
      <c r="F4640" s="461" t="s">
        <v>8326</v>
      </c>
    </row>
    <row r="4641" spans="1:6" ht="30" x14ac:dyDescent="0.25">
      <c r="A4641" s="461">
        <v>9840</v>
      </c>
      <c r="B4641" s="460" t="s">
        <v>12533</v>
      </c>
      <c r="C4641" s="461" t="s">
        <v>1107</v>
      </c>
      <c r="D4641" s="461">
        <v>49.68</v>
      </c>
      <c r="E4641" s="461" t="s">
        <v>161</v>
      </c>
      <c r="F4641" s="461" t="s">
        <v>8326</v>
      </c>
    </row>
    <row r="4642" spans="1:6" ht="30" x14ac:dyDescent="0.25">
      <c r="A4642" s="461">
        <v>20067</v>
      </c>
      <c r="B4642" s="460" t="s">
        <v>12534</v>
      </c>
      <c r="C4642" s="461" t="s">
        <v>1107</v>
      </c>
      <c r="D4642" s="461">
        <v>7.63</v>
      </c>
      <c r="E4642" s="461" t="s">
        <v>161</v>
      </c>
      <c r="F4642" s="461" t="s">
        <v>8326</v>
      </c>
    </row>
    <row r="4643" spans="1:6" ht="30" x14ac:dyDescent="0.25">
      <c r="A4643" s="461">
        <v>20068</v>
      </c>
      <c r="B4643" s="460" t="s">
        <v>12535</v>
      </c>
      <c r="C4643" s="461" t="s">
        <v>1107</v>
      </c>
      <c r="D4643" s="461">
        <v>10.74</v>
      </c>
      <c r="E4643" s="461" t="s">
        <v>161</v>
      </c>
      <c r="F4643" s="461" t="s">
        <v>8326</v>
      </c>
    </row>
    <row r="4644" spans="1:6" ht="30" x14ac:dyDescent="0.25">
      <c r="A4644" s="461">
        <v>9839</v>
      </c>
      <c r="B4644" s="460" t="s">
        <v>12536</v>
      </c>
      <c r="C4644" s="461" t="s">
        <v>1107</v>
      </c>
      <c r="D4644" s="461">
        <v>19.48</v>
      </c>
      <c r="E4644" s="461" t="s">
        <v>161</v>
      </c>
      <c r="F4644" s="461" t="s">
        <v>8326</v>
      </c>
    </row>
    <row r="4645" spans="1:6" ht="15" x14ac:dyDescent="0.25">
      <c r="A4645" s="461">
        <v>9870</v>
      </c>
      <c r="B4645" s="460" t="s">
        <v>12537</v>
      </c>
      <c r="C4645" s="461" t="s">
        <v>1107</v>
      </c>
      <c r="D4645" s="461">
        <v>90.01</v>
      </c>
      <c r="E4645" s="461" t="s">
        <v>161</v>
      </c>
      <c r="F4645" s="461" t="s">
        <v>8326</v>
      </c>
    </row>
    <row r="4646" spans="1:6" ht="15" x14ac:dyDescent="0.25">
      <c r="A4646" s="461">
        <v>9867</v>
      </c>
      <c r="B4646" s="460" t="s">
        <v>12538</v>
      </c>
      <c r="C4646" s="461" t="s">
        <v>1107</v>
      </c>
      <c r="D4646" s="461">
        <v>3.61</v>
      </c>
      <c r="E4646" s="461" t="s">
        <v>161</v>
      </c>
      <c r="F4646" s="461" t="s">
        <v>8326</v>
      </c>
    </row>
    <row r="4647" spans="1:6" ht="15" x14ac:dyDescent="0.25">
      <c r="A4647" s="461">
        <v>9868</v>
      </c>
      <c r="B4647" s="460" t="s">
        <v>12539</v>
      </c>
      <c r="C4647" s="461" t="s">
        <v>1107</v>
      </c>
      <c r="D4647" s="461">
        <v>4.08</v>
      </c>
      <c r="E4647" s="461" t="s">
        <v>161</v>
      </c>
      <c r="F4647" s="461" t="s">
        <v>8333</v>
      </c>
    </row>
    <row r="4648" spans="1:6" ht="15" x14ac:dyDescent="0.25">
      <c r="A4648" s="461">
        <v>9869</v>
      </c>
      <c r="B4648" s="460" t="s">
        <v>12540</v>
      </c>
      <c r="C4648" s="461" t="s">
        <v>1107</v>
      </c>
      <c r="D4648" s="461">
        <v>8.8000000000000007</v>
      </c>
      <c r="E4648" s="461" t="s">
        <v>161</v>
      </c>
      <c r="F4648" s="461" t="s">
        <v>8326</v>
      </c>
    </row>
    <row r="4649" spans="1:6" ht="15" x14ac:dyDescent="0.25">
      <c r="A4649" s="461">
        <v>9874</v>
      </c>
      <c r="B4649" s="460" t="s">
        <v>12541</v>
      </c>
      <c r="C4649" s="461" t="s">
        <v>1107</v>
      </c>
      <c r="D4649" s="461">
        <v>13.83</v>
      </c>
      <c r="E4649" s="461" t="s">
        <v>161</v>
      </c>
      <c r="F4649" s="461" t="s">
        <v>8326</v>
      </c>
    </row>
    <row r="4650" spans="1:6" ht="15" x14ac:dyDescent="0.25">
      <c r="A4650" s="461">
        <v>9875</v>
      </c>
      <c r="B4650" s="460" t="s">
        <v>12542</v>
      </c>
      <c r="C4650" s="461" t="s">
        <v>1107</v>
      </c>
      <c r="D4650" s="461">
        <v>15.16</v>
      </c>
      <c r="E4650" s="461" t="s">
        <v>161</v>
      </c>
      <c r="F4650" s="461" t="s">
        <v>8326</v>
      </c>
    </row>
    <row r="4651" spans="1:6" ht="15" x14ac:dyDescent="0.25">
      <c r="A4651" s="461">
        <v>9873</v>
      </c>
      <c r="B4651" s="460" t="s">
        <v>12543</v>
      </c>
      <c r="C4651" s="461" t="s">
        <v>1107</v>
      </c>
      <c r="D4651" s="461">
        <v>24.95</v>
      </c>
      <c r="E4651" s="461" t="s">
        <v>161</v>
      </c>
      <c r="F4651" s="461" t="s">
        <v>8326</v>
      </c>
    </row>
    <row r="4652" spans="1:6" ht="15" x14ac:dyDescent="0.25">
      <c r="A4652" s="461">
        <v>9871</v>
      </c>
      <c r="B4652" s="460" t="s">
        <v>12544</v>
      </c>
      <c r="C4652" s="461" t="s">
        <v>1107</v>
      </c>
      <c r="D4652" s="461">
        <v>41.34</v>
      </c>
      <c r="E4652" s="461" t="s">
        <v>161</v>
      </c>
      <c r="F4652" s="461" t="s">
        <v>8326</v>
      </c>
    </row>
    <row r="4653" spans="1:6" ht="15" x14ac:dyDescent="0.25">
      <c r="A4653" s="461">
        <v>9872</v>
      </c>
      <c r="B4653" s="460" t="s">
        <v>12545</v>
      </c>
      <c r="C4653" s="461" t="s">
        <v>1107</v>
      </c>
      <c r="D4653" s="461">
        <v>57.52</v>
      </c>
      <c r="E4653" s="461" t="s">
        <v>161</v>
      </c>
      <c r="F4653" s="461" t="s">
        <v>8326</v>
      </c>
    </row>
    <row r="4654" spans="1:6" ht="15" x14ac:dyDescent="0.25">
      <c r="A4654" s="461">
        <v>7667</v>
      </c>
      <c r="B4654" s="460" t="s">
        <v>12546</v>
      </c>
      <c r="C4654" s="461" t="s">
        <v>1107</v>
      </c>
      <c r="D4654" s="461">
        <v>3216.8</v>
      </c>
      <c r="E4654" s="461" t="s">
        <v>161</v>
      </c>
      <c r="F4654" s="461" t="s">
        <v>8328</v>
      </c>
    </row>
    <row r="4655" spans="1:6" ht="15" x14ac:dyDescent="0.25">
      <c r="A4655" s="461">
        <v>7660</v>
      </c>
      <c r="B4655" s="460" t="s">
        <v>12547</v>
      </c>
      <c r="C4655" s="461" t="s">
        <v>1107</v>
      </c>
      <c r="D4655" s="461">
        <v>4100.66</v>
      </c>
      <c r="E4655" s="461" t="s">
        <v>161</v>
      </c>
      <c r="F4655" s="461" t="s">
        <v>8328</v>
      </c>
    </row>
    <row r="4656" spans="1:6" ht="15" x14ac:dyDescent="0.25">
      <c r="A4656" s="461">
        <v>7676</v>
      </c>
      <c r="B4656" s="460" t="s">
        <v>12548</v>
      </c>
      <c r="C4656" s="461" t="s">
        <v>1107</v>
      </c>
      <c r="D4656" s="461">
        <v>4147.5200000000004</v>
      </c>
      <c r="E4656" s="461" t="s">
        <v>161</v>
      </c>
      <c r="F4656" s="461" t="s">
        <v>8328</v>
      </c>
    </row>
    <row r="4657" spans="1:6" ht="15" x14ac:dyDescent="0.25">
      <c r="A4657" s="461">
        <v>12426</v>
      </c>
      <c r="B4657" s="460" t="s">
        <v>12549</v>
      </c>
      <c r="C4657" s="461" t="s">
        <v>1104</v>
      </c>
      <c r="D4657" s="461">
        <v>50.7</v>
      </c>
      <c r="E4657" s="461" t="s">
        <v>161</v>
      </c>
      <c r="F4657" s="461" t="s">
        <v>8328</v>
      </c>
    </row>
    <row r="4658" spans="1:6" ht="15" x14ac:dyDescent="0.25">
      <c r="A4658" s="461">
        <v>12425</v>
      </c>
      <c r="B4658" s="460" t="s">
        <v>12550</v>
      </c>
      <c r="C4658" s="461" t="s">
        <v>1104</v>
      </c>
      <c r="D4658" s="461">
        <v>69.650000000000006</v>
      </c>
      <c r="E4658" s="461" t="s">
        <v>161</v>
      </c>
      <c r="F4658" s="461" t="s">
        <v>8328</v>
      </c>
    </row>
    <row r="4659" spans="1:6" ht="15" x14ac:dyDescent="0.25">
      <c r="A4659" s="461">
        <v>12427</v>
      </c>
      <c r="B4659" s="460" t="s">
        <v>12551</v>
      </c>
      <c r="C4659" s="461" t="s">
        <v>1104</v>
      </c>
      <c r="D4659" s="461">
        <v>289.11</v>
      </c>
      <c r="E4659" s="461" t="s">
        <v>161</v>
      </c>
      <c r="F4659" s="461" t="s">
        <v>8328</v>
      </c>
    </row>
    <row r="4660" spans="1:6" ht="15" x14ac:dyDescent="0.25">
      <c r="A4660" s="461">
        <v>12428</v>
      </c>
      <c r="B4660" s="460" t="s">
        <v>12552</v>
      </c>
      <c r="C4660" s="461" t="s">
        <v>1104</v>
      </c>
      <c r="D4660" s="461">
        <v>185.57</v>
      </c>
      <c r="E4660" s="461" t="s">
        <v>161</v>
      </c>
      <c r="F4660" s="461" t="s">
        <v>8328</v>
      </c>
    </row>
    <row r="4661" spans="1:6" ht="15" x14ac:dyDescent="0.25">
      <c r="A4661" s="461">
        <v>12430</v>
      </c>
      <c r="B4661" s="460" t="s">
        <v>12553</v>
      </c>
      <c r="C4661" s="461" t="s">
        <v>1104</v>
      </c>
      <c r="D4661" s="461">
        <v>62.15</v>
      </c>
      <c r="E4661" s="461" t="s">
        <v>161</v>
      </c>
      <c r="F4661" s="461" t="s">
        <v>8328</v>
      </c>
    </row>
    <row r="4662" spans="1:6" ht="15" x14ac:dyDescent="0.25">
      <c r="A4662" s="461">
        <v>12429</v>
      </c>
      <c r="B4662" s="460" t="s">
        <v>12554</v>
      </c>
      <c r="C4662" s="461" t="s">
        <v>1104</v>
      </c>
      <c r="D4662" s="461">
        <v>467.5</v>
      </c>
      <c r="E4662" s="461" t="s">
        <v>161</v>
      </c>
      <c r="F4662" s="461" t="s">
        <v>8328</v>
      </c>
    </row>
    <row r="4663" spans="1:6" ht="15" x14ac:dyDescent="0.25">
      <c r="A4663" s="461">
        <v>12431</v>
      </c>
      <c r="B4663" s="460" t="s">
        <v>12555</v>
      </c>
      <c r="C4663" s="461" t="s">
        <v>1104</v>
      </c>
      <c r="D4663" s="461">
        <v>795.6</v>
      </c>
      <c r="E4663" s="461" t="s">
        <v>161</v>
      </c>
      <c r="F4663" s="461" t="s">
        <v>8328</v>
      </c>
    </row>
    <row r="4664" spans="1:6" ht="15" x14ac:dyDescent="0.25">
      <c r="A4664" s="461">
        <v>12432</v>
      </c>
      <c r="B4664" s="460" t="s">
        <v>12556</v>
      </c>
      <c r="C4664" s="461" t="s">
        <v>1104</v>
      </c>
      <c r="D4664" s="461">
        <v>163.63</v>
      </c>
      <c r="E4664" s="461" t="s">
        <v>161</v>
      </c>
      <c r="F4664" s="461" t="s">
        <v>8328</v>
      </c>
    </row>
    <row r="4665" spans="1:6" ht="15" x14ac:dyDescent="0.25">
      <c r="A4665" s="461">
        <v>12434</v>
      </c>
      <c r="B4665" s="460" t="s">
        <v>12557</v>
      </c>
      <c r="C4665" s="461" t="s">
        <v>1104</v>
      </c>
      <c r="D4665" s="461">
        <v>53.32</v>
      </c>
      <c r="E4665" s="461" t="s">
        <v>161</v>
      </c>
      <c r="F4665" s="461" t="s">
        <v>8328</v>
      </c>
    </row>
    <row r="4666" spans="1:6" ht="15" x14ac:dyDescent="0.25">
      <c r="A4666" s="461">
        <v>12433</v>
      </c>
      <c r="B4666" s="460" t="s">
        <v>12558</v>
      </c>
      <c r="C4666" s="461" t="s">
        <v>1104</v>
      </c>
      <c r="D4666" s="461">
        <v>104.17</v>
      </c>
      <c r="E4666" s="461" t="s">
        <v>161</v>
      </c>
      <c r="F4666" s="461" t="s">
        <v>8328</v>
      </c>
    </row>
    <row r="4667" spans="1:6" ht="15" x14ac:dyDescent="0.25">
      <c r="A4667" s="461">
        <v>12435</v>
      </c>
      <c r="B4667" s="460" t="s">
        <v>12559</v>
      </c>
      <c r="C4667" s="461" t="s">
        <v>1104</v>
      </c>
      <c r="D4667" s="461">
        <v>322.38</v>
      </c>
      <c r="E4667" s="461" t="s">
        <v>161</v>
      </c>
      <c r="F4667" s="461" t="s">
        <v>8328</v>
      </c>
    </row>
    <row r="4668" spans="1:6" ht="15" x14ac:dyDescent="0.25">
      <c r="A4668" s="461">
        <v>12437</v>
      </c>
      <c r="B4668" s="460" t="s">
        <v>12560</v>
      </c>
      <c r="C4668" s="461" t="s">
        <v>1104</v>
      </c>
      <c r="D4668" s="461">
        <v>260.36</v>
      </c>
      <c r="E4668" s="461" t="s">
        <v>161</v>
      </c>
      <c r="F4668" s="461" t="s">
        <v>8328</v>
      </c>
    </row>
    <row r="4669" spans="1:6" ht="15" x14ac:dyDescent="0.25">
      <c r="A4669" s="461">
        <v>12439</v>
      </c>
      <c r="B4669" s="460" t="s">
        <v>12561</v>
      </c>
      <c r="C4669" s="461" t="s">
        <v>1104</v>
      </c>
      <c r="D4669" s="461">
        <v>83.56</v>
      </c>
      <c r="E4669" s="461" t="s">
        <v>161</v>
      </c>
      <c r="F4669" s="461" t="s">
        <v>8328</v>
      </c>
    </row>
    <row r="4670" spans="1:6" ht="15" x14ac:dyDescent="0.25">
      <c r="A4670" s="461">
        <v>12438</v>
      </c>
      <c r="B4670" s="460" t="s">
        <v>12562</v>
      </c>
      <c r="C4670" s="461" t="s">
        <v>1104</v>
      </c>
      <c r="D4670" s="461">
        <v>471.17</v>
      </c>
      <c r="E4670" s="461" t="s">
        <v>161</v>
      </c>
      <c r="F4670" s="461" t="s">
        <v>8328</v>
      </c>
    </row>
    <row r="4671" spans="1:6" ht="15" x14ac:dyDescent="0.25">
      <c r="A4671" s="461">
        <v>12436</v>
      </c>
      <c r="B4671" s="460" t="s">
        <v>12563</v>
      </c>
      <c r="C4671" s="461" t="s">
        <v>1104</v>
      </c>
      <c r="D4671" s="461">
        <v>595.19000000000005</v>
      </c>
      <c r="E4671" s="461" t="s">
        <v>161</v>
      </c>
      <c r="F4671" s="461" t="s">
        <v>8328</v>
      </c>
    </row>
    <row r="4672" spans="1:6" ht="15" x14ac:dyDescent="0.25">
      <c r="A4672" s="461">
        <v>36357</v>
      </c>
      <c r="B4672" s="460" t="s">
        <v>12564</v>
      </c>
      <c r="C4672" s="461" t="s">
        <v>1104</v>
      </c>
      <c r="D4672" s="461">
        <v>157.05000000000001</v>
      </c>
      <c r="E4672" s="461" t="s">
        <v>161</v>
      </c>
      <c r="F4672" s="461" t="s">
        <v>8326</v>
      </c>
    </row>
    <row r="4673" spans="1:6" ht="15" x14ac:dyDescent="0.25">
      <c r="A4673" s="461">
        <v>12424</v>
      </c>
      <c r="B4673" s="460" t="s">
        <v>12565</v>
      </c>
      <c r="C4673" s="461" t="s">
        <v>1104</v>
      </c>
      <c r="D4673" s="461">
        <v>107.25</v>
      </c>
      <c r="E4673" s="461" t="s">
        <v>161</v>
      </c>
      <c r="F4673" s="461" t="s">
        <v>8328</v>
      </c>
    </row>
    <row r="4674" spans="1:6" ht="15" x14ac:dyDescent="0.25">
      <c r="A4674" s="461">
        <v>12440</v>
      </c>
      <c r="B4674" s="460" t="s">
        <v>12566</v>
      </c>
      <c r="C4674" s="461" t="s">
        <v>1104</v>
      </c>
      <c r="D4674" s="511">
        <v>103.67</v>
      </c>
      <c r="E4674" s="461" t="s">
        <v>161</v>
      </c>
      <c r="F4674" s="461" t="s">
        <v>8328</v>
      </c>
    </row>
    <row r="4675" spans="1:6" ht="15" x14ac:dyDescent="0.25">
      <c r="A4675" s="461">
        <v>9884</v>
      </c>
      <c r="B4675" s="460" t="s">
        <v>12567</v>
      </c>
      <c r="C4675" s="461" t="s">
        <v>1104</v>
      </c>
      <c r="D4675" s="511">
        <v>77.319999999999993</v>
      </c>
      <c r="E4675" s="461" t="s">
        <v>161</v>
      </c>
      <c r="F4675" s="461" t="s">
        <v>8328</v>
      </c>
    </row>
    <row r="4676" spans="1:6" ht="15" x14ac:dyDescent="0.25">
      <c r="A4676" s="461">
        <v>9888</v>
      </c>
      <c r="B4676" s="460" t="s">
        <v>12568</v>
      </c>
      <c r="C4676" s="461" t="s">
        <v>1104</v>
      </c>
      <c r="D4676" s="511">
        <v>62.13</v>
      </c>
      <c r="E4676" s="461" t="s">
        <v>161</v>
      </c>
      <c r="F4676" s="461" t="s">
        <v>8328</v>
      </c>
    </row>
    <row r="4677" spans="1:6" ht="15" x14ac:dyDescent="0.25">
      <c r="A4677" s="461">
        <v>9883</v>
      </c>
      <c r="B4677" s="460" t="s">
        <v>12569</v>
      </c>
      <c r="C4677" s="461" t="s">
        <v>1104</v>
      </c>
      <c r="D4677" s="461">
        <v>27.11</v>
      </c>
      <c r="E4677" s="461" t="s">
        <v>161</v>
      </c>
      <c r="F4677" s="461" t="s">
        <v>8328</v>
      </c>
    </row>
    <row r="4678" spans="1:6" ht="15" x14ac:dyDescent="0.25">
      <c r="A4678" s="461">
        <v>9886</v>
      </c>
      <c r="B4678" s="460" t="s">
        <v>12570</v>
      </c>
      <c r="C4678" s="461" t="s">
        <v>1104</v>
      </c>
      <c r="D4678" s="461">
        <v>37.130000000000003</v>
      </c>
      <c r="E4678" s="461" t="s">
        <v>161</v>
      </c>
      <c r="F4678" s="461" t="s">
        <v>8328</v>
      </c>
    </row>
    <row r="4679" spans="1:6" ht="15" x14ac:dyDescent="0.25">
      <c r="A4679" s="461">
        <v>9889</v>
      </c>
      <c r="B4679" s="460" t="s">
        <v>12571</v>
      </c>
      <c r="C4679" s="461" t="s">
        <v>1104</v>
      </c>
      <c r="D4679" s="461">
        <v>188.12</v>
      </c>
      <c r="E4679" s="461" t="s">
        <v>161</v>
      </c>
      <c r="F4679" s="461" t="s">
        <v>8328</v>
      </c>
    </row>
    <row r="4680" spans="1:6" ht="15" x14ac:dyDescent="0.25">
      <c r="A4680" s="461">
        <v>9887</v>
      </c>
      <c r="B4680" s="460" t="s">
        <v>12572</v>
      </c>
      <c r="C4680" s="461" t="s">
        <v>1104</v>
      </c>
      <c r="D4680" s="461">
        <v>113.7</v>
      </c>
      <c r="E4680" s="461" t="s">
        <v>161</v>
      </c>
      <c r="F4680" s="461" t="s">
        <v>8328</v>
      </c>
    </row>
    <row r="4681" spans="1:6" ht="15" x14ac:dyDescent="0.25">
      <c r="A4681" s="461">
        <v>9885</v>
      </c>
      <c r="B4681" s="460" t="s">
        <v>12573</v>
      </c>
      <c r="C4681" s="461" t="s">
        <v>1104</v>
      </c>
      <c r="D4681" s="461">
        <v>35.9</v>
      </c>
      <c r="E4681" s="461" t="s">
        <v>161</v>
      </c>
      <c r="F4681" s="461" t="s">
        <v>8328</v>
      </c>
    </row>
    <row r="4682" spans="1:6" ht="15" x14ac:dyDescent="0.25">
      <c r="A4682" s="461">
        <v>9890</v>
      </c>
      <c r="B4682" s="460" t="s">
        <v>12574</v>
      </c>
      <c r="C4682" s="461" t="s">
        <v>1104</v>
      </c>
      <c r="D4682" s="461">
        <v>291.45</v>
      </c>
      <c r="E4682" s="461" t="s">
        <v>161</v>
      </c>
      <c r="F4682" s="461" t="s">
        <v>8328</v>
      </c>
    </row>
    <row r="4683" spans="1:6" ht="15" x14ac:dyDescent="0.25">
      <c r="A4683" s="461">
        <v>9891</v>
      </c>
      <c r="B4683" s="460" t="s">
        <v>12575</v>
      </c>
      <c r="C4683" s="461" t="s">
        <v>1104</v>
      </c>
      <c r="D4683" s="461">
        <v>409.14</v>
      </c>
      <c r="E4683" s="461" t="s">
        <v>161</v>
      </c>
      <c r="F4683" s="461" t="s">
        <v>8328</v>
      </c>
    </row>
    <row r="4684" spans="1:6" ht="15" x14ac:dyDescent="0.25">
      <c r="A4684" s="461">
        <v>36316</v>
      </c>
      <c r="B4684" s="460" t="s">
        <v>12576</v>
      </c>
      <c r="C4684" s="461" t="s">
        <v>1104</v>
      </c>
      <c r="D4684" s="461">
        <v>25.6</v>
      </c>
      <c r="E4684" s="461" t="s">
        <v>161</v>
      </c>
      <c r="F4684" s="461" t="s">
        <v>8326</v>
      </c>
    </row>
    <row r="4685" spans="1:6" ht="15" x14ac:dyDescent="0.25">
      <c r="A4685" s="461">
        <v>36313</v>
      </c>
      <c r="B4685" s="460" t="s">
        <v>12577</v>
      </c>
      <c r="C4685" s="461" t="s">
        <v>1104</v>
      </c>
      <c r="D4685" s="461">
        <v>16.43</v>
      </c>
      <c r="E4685" s="461" t="s">
        <v>161</v>
      </c>
      <c r="F4685" s="461" t="s">
        <v>8326</v>
      </c>
    </row>
    <row r="4686" spans="1:6" ht="30" x14ac:dyDescent="0.25">
      <c r="A4686" s="461">
        <v>64</v>
      </c>
      <c r="B4686" s="460" t="s">
        <v>12578</v>
      </c>
      <c r="C4686" s="461" t="s">
        <v>1104</v>
      </c>
      <c r="D4686" s="461">
        <v>4.76</v>
      </c>
      <c r="E4686" s="461" t="s">
        <v>161</v>
      </c>
      <c r="F4686" s="461" t="s">
        <v>8328</v>
      </c>
    </row>
    <row r="4687" spans="1:6" ht="30" x14ac:dyDescent="0.25">
      <c r="A4687" s="461">
        <v>37423</v>
      </c>
      <c r="B4687" s="460" t="s">
        <v>12579</v>
      </c>
      <c r="C4687" s="461" t="s">
        <v>1104</v>
      </c>
      <c r="D4687" s="461">
        <v>11.76</v>
      </c>
      <c r="E4687" s="461" t="s">
        <v>161</v>
      </c>
      <c r="F4687" s="461" t="s">
        <v>8328</v>
      </c>
    </row>
    <row r="4688" spans="1:6" ht="15" x14ac:dyDescent="0.25">
      <c r="A4688" s="461">
        <v>9892</v>
      </c>
      <c r="B4688" s="460" t="s">
        <v>13494</v>
      </c>
      <c r="C4688" s="461" t="s">
        <v>1104</v>
      </c>
      <c r="D4688" s="461">
        <v>6.62</v>
      </c>
      <c r="E4688" s="461" t="s">
        <v>161</v>
      </c>
      <c r="F4688" s="461" t="s">
        <v>8326</v>
      </c>
    </row>
    <row r="4689" spans="1:6" ht="15" x14ac:dyDescent="0.25">
      <c r="A4689" s="461">
        <v>9901</v>
      </c>
      <c r="B4689" s="460" t="s">
        <v>13495</v>
      </c>
      <c r="C4689" s="461" t="s">
        <v>1104</v>
      </c>
      <c r="D4689" s="461">
        <v>32.04</v>
      </c>
      <c r="E4689" s="461" t="s">
        <v>161</v>
      </c>
      <c r="F4689" s="461" t="s">
        <v>8326</v>
      </c>
    </row>
    <row r="4690" spans="1:6" ht="15" x14ac:dyDescent="0.25">
      <c r="A4690" s="461">
        <v>9900</v>
      </c>
      <c r="B4690" s="460" t="s">
        <v>13496</v>
      </c>
      <c r="C4690" s="461" t="s">
        <v>1104</v>
      </c>
      <c r="D4690" s="461">
        <v>18.559999999999999</v>
      </c>
      <c r="E4690" s="461" t="s">
        <v>161</v>
      </c>
      <c r="F4690" s="461" t="s">
        <v>8326</v>
      </c>
    </row>
    <row r="4691" spans="1:6" ht="15" x14ac:dyDescent="0.25">
      <c r="A4691" s="461">
        <v>9899</v>
      </c>
      <c r="B4691" s="460" t="s">
        <v>13497</v>
      </c>
      <c r="C4691" s="461" t="s">
        <v>1104</v>
      </c>
      <c r="D4691" s="461">
        <v>8.32</v>
      </c>
      <c r="E4691" s="461" t="s">
        <v>161</v>
      </c>
      <c r="F4691" s="461" t="s">
        <v>8326</v>
      </c>
    </row>
    <row r="4692" spans="1:6" ht="15" x14ac:dyDescent="0.25">
      <c r="A4692" s="461">
        <v>9908</v>
      </c>
      <c r="B4692" s="460" t="s">
        <v>13498</v>
      </c>
      <c r="C4692" s="461" t="s">
        <v>1104</v>
      </c>
      <c r="D4692" s="461">
        <v>374.19</v>
      </c>
      <c r="E4692" s="461" t="s">
        <v>161</v>
      </c>
      <c r="F4692" s="461" t="s">
        <v>8326</v>
      </c>
    </row>
    <row r="4693" spans="1:6" ht="15" x14ac:dyDescent="0.25">
      <c r="A4693" s="461">
        <v>9905</v>
      </c>
      <c r="B4693" s="460" t="s">
        <v>13499</v>
      </c>
      <c r="C4693" s="461" t="s">
        <v>1104</v>
      </c>
      <c r="D4693" s="461">
        <v>6.51</v>
      </c>
      <c r="E4693" s="461" t="s">
        <v>161</v>
      </c>
      <c r="F4693" s="461" t="s">
        <v>8326</v>
      </c>
    </row>
    <row r="4694" spans="1:6" ht="15" x14ac:dyDescent="0.25">
      <c r="A4694" s="461">
        <v>9906</v>
      </c>
      <c r="B4694" s="460" t="s">
        <v>13500</v>
      </c>
      <c r="C4694" s="461" t="s">
        <v>1104</v>
      </c>
      <c r="D4694" s="461">
        <v>7.85</v>
      </c>
      <c r="E4694" s="461" t="s">
        <v>161</v>
      </c>
      <c r="F4694" s="461" t="s">
        <v>8326</v>
      </c>
    </row>
    <row r="4695" spans="1:6" ht="15" x14ac:dyDescent="0.25">
      <c r="A4695" s="461">
        <v>9895</v>
      </c>
      <c r="B4695" s="460" t="s">
        <v>13501</v>
      </c>
      <c r="C4695" s="461" t="s">
        <v>1104</v>
      </c>
      <c r="D4695" s="461">
        <v>13.22</v>
      </c>
      <c r="E4695" s="461" t="s">
        <v>161</v>
      </c>
      <c r="F4695" s="461" t="s">
        <v>8326</v>
      </c>
    </row>
    <row r="4696" spans="1:6" ht="15" x14ac:dyDescent="0.25">
      <c r="A4696" s="461">
        <v>9894</v>
      </c>
      <c r="B4696" s="460" t="s">
        <v>13502</v>
      </c>
      <c r="C4696" s="461" t="s">
        <v>1104</v>
      </c>
      <c r="D4696" s="461">
        <v>25.42</v>
      </c>
      <c r="E4696" s="461" t="s">
        <v>161</v>
      </c>
      <c r="F4696" s="461" t="s">
        <v>8326</v>
      </c>
    </row>
    <row r="4697" spans="1:6" ht="15" x14ac:dyDescent="0.25">
      <c r="A4697" s="461">
        <v>9897</v>
      </c>
      <c r="B4697" s="460" t="s">
        <v>13503</v>
      </c>
      <c r="C4697" s="461" t="s">
        <v>1104</v>
      </c>
      <c r="D4697" s="461">
        <v>27.15</v>
      </c>
      <c r="E4697" s="461" t="s">
        <v>161</v>
      </c>
      <c r="F4697" s="461" t="s">
        <v>8326</v>
      </c>
    </row>
    <row r="4698" spans="1:6" ht="15" x14ac:dyDescent="0.25">
      <c r="A4698" s="461">
        <v>9910</v>
      </c>
      <c r="B4698" s="460" t="s">
        <v>13504</v>
      </c>
      <c r="C4698" s="461" t="s">
        <v>1104</v>
      </c>
      <c r="D4698" s="461">
        <v>70.63</v>
      </c>
      <c r="E4698" s="461" t="s">
        <v>161</v>
      </c>
      <c r="F4698" s="461" t="s">
        <v>8326</v>
      </c>
    </row>
    <row r="4699" spans="1:6" ht="15" x14ac:dyDescent="0.25">
      <c r="A4699" s="461">
        <v>9909</v>
      </c>
      <c r="B4699" s="460" t="s">
        <v>13505</v>
      </c>
      <c r="C4699" s="461" t="s">
        <v>1104</v>
      </c>
      <c r="D4699" s="461">
        <v>143.85</v>
      </c>
      <c r="E4699" s="461" t="s">
        <v>161</v>
      </c>
      <c r="F4699" s="461" t="s">
        <v>8326</v>
      </c>
    </row>
    <row r="4700" spans="1:6" ht="15" x14ac:dyDescent="0.25">
      <c r="A4700" s="461">
        <v>9907</v>
      </c>
      <c r="B4700" s="460" t="s">
        <v>13506</v>
      </c>
      <c r="C4700" s="461" t="s">
        <v>1104</v>
      </c>
      <c r="D4700" s="461">
        <v>169.84</v>
      </c>
      <c r="E4700" s="461" t="s">
        <v>161</v>
      </c>
      <c r="F4700" s="461" t="s">
        <v>8326</v>
      </c>
    </row>
    <row r="4701" spans="1:6" ht="30" x14ac:dyDescent="0.25">
      <c r="A4701" s="461">
        <v>20973</v>
      </c>
      <c r="B4701" s="460" t="s">
        <v>12580</v>
      </c>
      <c r="C4701" s="461" t="s">
        <v>1104</v>
      </c>
      <c r="D4701" s="461">
        <v>122.48</v>
      </c>
      <c r="E4701" s="461" t="s">
        <v>161</v>
      </c>
      <c r="F4701" s="461" t="s">
        <v>8326</v>
      </c>
    </row>
    <row r="4702" spans="1:6" ht="30" x14ac:dyDescent="0.25">
      <c r="A4702" s="461">
        <v>20974</v>
      </c>
      <c r="B4702" s="460" t="s">
        <v>12581</v>
      </c>
      <c r="C4702" s="461" t="s">
        <v>1104</v>
      </c>
      <c r="D4702" s="461">
        <v>175.23</v>
      </c>
      <c r="E4702" s="461" t="s">
        <v>161</v>
      </c>
      <c r="F4702" s="461" t="s">
        <v>8326</v>
      </c>
    </row>
    <row r="4703" spans="1:6" ht="15" x14ac:dyDescent="0.25">
      <c r="A4703" s="461">
        <v>37989</v>
      </c>
      <c r="B4703" s="460" t="s">
        <v>12582</v>
      </c>
      <c r="C4703" s="461" t="s">
        <v>1104</v>
      </c>
      <c r="D4703" s="461">
        <v>12.3</v>
      </c>
      <c r="E4703" s="461" t="s">
        <v>161</v>
      </c>
      <c r="F4703" s="461" t="s">
        <v>8326</v>
      </c>
    </row>
    <row r="4704" spans="1:6" ht="15" x14ac:dyDescent="0.25">
      <c r="A4704" s="461">
        <v>37990</v>
      </c>
      <c r="B4704" s="460" t="s">
        <v>12583</v>
      </c>
      <c r="C4704" s="461" t="s">
        <v>1104</v>
      </c>
      <c r="D4704" s="461">
        <v>13.56</v>
      </c>
      <c r="E4704" s="461" t="s">
        <v>161</v>
      </c>
      <c r="F4704" s="461" t="s">
        <v>8326</v>
      </c>
    </row>
    <row r="4705" spans="1:6" ht="15" x14ac:dyDescent="0.25">
      <c r="A4705" s="461">
        <v>37991</v>
      </c>
      <c r="B4705" s="460" t="s">
        <v>12584</v>
      </c>
      <c r="C4705" s="461" t="s">
        <v>1104</v>
      </c>
      <c r="D4705" s="461">
        <v>18.05</v>
      </c>
      <c r="E4705" s="461" t="s">
        <v>161</v>
      </c>
      <c r="F4705" s="461" t="s">
        <v>8326</v>
      </c>
    </row>
    <row r="4706" spans="1:6" ht="15" x14ac:dyDescent="0.25">
      <c r="A4706" s="461">
        <v>37992</v>
      </c>
      <c r="B4706" s="460" t="s">
        <v>12585</v>
      </c>
      <c r="C4706" s="461" t="s">
        <v>1104</v>
      </c>
      <c r="D4706" s="461">
        <v>28.01</v>
      </c>
      <c r="E4706" s="461" t="s">
        <v>161</v>
      </c>
      <c r="F4706" s="461" t="s">
        <v>8326</v>
      </c>
    </row>
    <row r="4707" spans="1:6" ht="15" x14ac:dyDescent="0.25">
      <c r="A4707" s="461">
        <v>37993</v>
      </c>
      <c r="B4707" s="460" t="s">
        <v>12586</v>
      </c>
      <c r="C4707" s="461" t="s">
        <v>1104</v>
      </c>
      <c r="D4707" s="461">
        <v>42.5</v>
      </c>
      <c r="E4707" s="461" t="s">
        <v>161</v>
      </c>
      <c r="F4707" s="461" t="s">
        <v>8326</v>
      </c>
    </row>
    <row r="4708" spans="1:6" ht="15" x14ac:dyDescent="0.25">
      <c r="A4708" s="461">
        <v>37994</v>
      </c>
      <c r="B4708" s="460" t="s">
        <v>12587</v>
      </c>
      <c r="C4708" s="461" t="s">
        <v>1104</v>
      </c>
      <c r="D4708" s="461">
        <v>101.21</v>
      </c>
      <c r="E4708" s="461" t="s">
        <v>161</v>
      </c>
      <c r="F4708" s="461" t="s">
        <v>8326</v>
      </c>
    </row>
    <row r="4709" spans="1:6" ht="15" x14ac:dyDescent="0.25">
      <c r="A4709" s="461">
        <v>37995</v>
      </c>
      <c r="B4709" s="460" t="s">
        <v>12588</v>
      </c>
      <c r="C4709" s="461" t="s">
        <v>1104</v>
      </c>
      <c r="D4709" s="461">
        <v>131.93</v>
      </c>
      <c r="E4709" s="461" t="s">
        <v>161</v>
      </c>
      <c r="F4709" s="461" t="s">
        <v>8326</v>
      </c>
    </row>
    <row r="4710" spans="1:6" ht="15" x14ac:dyDescent="0.25">
      <c r="A4710" s="461">
        <v>37996</v>
      </c>
      <c r="B4710" s="460" t="s">
        <v>12589</v>
      </c>
      <c r="C4710" s="461" t="s">
        <v>1104</v>
      </c>
      <c r="D4710" s="461">
        <v>200.89</v>
      </c>
      <c r="E4710" s="461" t="s">
        <v>161</v>
      </c>
      <c r="F4710" s="461" t="s">
        <v>8326</v>
      </c>
    </row>
    <row r="4711" spans="1:6" ht="30" x14ac:dyDescent="0.25">
      <c r="A4711" s="461">
        <v>13883</v>
      </c>
      <c r="B4711" s="460" t="s">
        <v>12590</v>
      </c>
      <c r="C4711" s="461" t="s">
        <v>1104</v>
      </c>
      <c r="D4711" s="461">
        <v>172381.7</v>
      </c>
      <c r="E4711" s="461" t="s">
        <v>1497</v>
      </c>
      <c r="F4711" s="461" t="s">
        <v>8328</v>
      </c>
    </row>
    <row r="4712" spans="1:6" ht="30" x14ac:dyDescent="0.25">
      <c r="A4712" s="461">
        <v>38604</v>
      </c>
      <c r="B4712" s="460" t="s">
        <v>12591</v>
      </c>
      <c r="C4712" s="461" t="s">
        <v>1104</v>
      </c>
      <c r="D4712" s="461">
        <v>214699.12</v>
      </c>
      <c r="E4712" s="461" t="s">
        <v>1497</v>
      </c>
      <c r="F4712" s="461" t="s">
        <v>8328</v>
      </c>
    </row>
    <row r="4713" spans="1:6" ht="30" x14ac:dyDescent="0.25">
      <c r="A4713" s="461">
        <v>10601</v>
      </c>
      <c r="B4713" s="460" t="s">
        <v>12592</v>
      </c>
      <c r="C4713" s="461" t="s">
        <v>1104</v>
      </c>
      <c r="D4713" s="461">
        <v>4176326.08</v>
      </c>
      <c r="E4713" s="461" t="s">
        <v>1497</v>
      </c>
      <c r="F4713" s="461" t="s">
        <v>8328</v>
      </c>
    </row>
    <row r="4714" spans="1:6" ht="15" x14ac:dyDescent="0.25">
      <c r="A4714" s="461">
        <v>44469</v>
      </c>
      <c r="B4714" s="460" t="s">
        <v>12593</v>
      </c>
      <c r="C4714" s="461" t="s">
        <v>1104</v>
      </c>
      <c r="D4714" s="461">
        <v>10996119.18</v>
      </c>
      <c r="E4714" s="461" t="s">
        <v>1497</v>
      </c>
      <c r="F4714" s="461" t="s">
        <v>8328</v>
      </c>
    </row>
    <row r="4715" spans="1:6" ht="15" x14ac:dyDescent="0.25">
      <c r="A4715" s="461">
        <v>13894</v>
      </c>
      <c r="B4715" s="460" t="s">
        <v>12594</v>
      </c>
      <c r="C4715" s="461" t="s">
        <v>1104</v>
      </c>
      <c r="D4715" s="461">
        <v>399604.75</v>
      </c>
      <c r="E4715" s="461" t="s">
        <v>1497</v>
      </c>
      <c r="F4715" s="461" t="s">
        <v>8328</v>
      </c>
    </row>
    <row r="4716" spans="1:6" ht="15" x14ac:dyDescent="0.25">
      <c r="A4716" s="461">
        <v>13895</v>
      </c>
      <c r="B4716" s="460" t="s">
        <v>12595</v>
      </c>
      <c r="C4716" s="461" t="s">
        <v>1104</v>
      </c>
      <c r="D4716" s="461">
        <v>537335.18000000005</v>
      </c>
      <c r="E4716" s="461" t="s">
        <v>1497</v>
      </c>
      <c r="F4716" s="461" t="s">
        <v>8328</v>
      </c>
    </row>
    <row r="4717" spans="1:6" ht="15" x14ac:dyDescent="0.25">
      <c r="A4717" s="461">
        <v>13892</v>
      </c>
      <c r="B4717" s="460" t="s">
        <v>12596</v>
      </c>
      <c r="C4717" s="461" t="s">
        <v>1104</v>
      </c>
      <c r="D4717" s="461">
        <v>658491.12</v>
      </c>
      <c r="E4717" s="461" t="s">
        <v>1497</v>
      </c>
      <c r="F4717" s="461" t="s">
        <v>8328</v>
      </c>
    </row>
    <row r="4718" spans="1:6" ht="15" x14ac:dyDescent="0.25">
      <c r="A4718" s="461">
        <v>9914</v>
      </c>
      <c r="B4718" s="460" t="s">
        <v>12597</v>
      </c>
      <c r="C4718" s="461" t="s">
        <v>1104</v>
      </c>
      <c r="D4718" s="461">
        <v>712400</v>
      </c>
      <c r="E4718" s="461" t="s">
        <v>1497</v>
      </c>
      <c r="F4718" s="461" t="s">
        <v>8328</v>
      </c>
    </row>
    <row r="4719" spans="1:6" ht="45" x14ac:dyDescent="0.25">
      <c r="A4719" s="461">
        <v>36485</v>
      </c>
      <c r="B4719" s="460" t="s">
        <v>12598</v>
      </c>
      <c r="C4719" s="461" t="s">
        <v>1104</v>
      </c>
      <c r="D4719" s="461">
        <v>665336.65</v>
      </c>
      <c r="E4719" s="461" t="s">
        <v>1497</v>
      </c>
      <c r="F4719" s="461" t="s">
        <v>8328</v>
      </c>
    </row>
    <row r="4720" spans="1:6" ht="30" x14ac:dyDescent="0.25">
      <c r="A4720" s="461">
        <v>9912</v>
      </c>
      <c r="B4720" s="460" t="s">
        <v>12599</v>
      </c>
      <c r="C4720" s="461" t="s">
        <v>1104</v>
      </c>
      <c r="D4720" s="461">
        <v>3400000</v>
      </c>
      <c r="E4720" s="461" t="s">
        <v>1497</v>
      </c>
      <c r="F4720" s="461" t="s">
        <v>8328</v>
      </c>
    </row>
    <row r="4721" spans="1:6" ht="30" x14ac:dyDescent="0.25">
      <c r="A4721" s="461">
        <v>9921</v>
      </c>
      <c r="B4721" s="460" t="s">
        <v>13507</v>
      </c>
      <c r="C4721" s="461" t="s">
        <v>1104</v>
      </c>
      <c r="D4721" s="461">
        <v>1753880.82</v>
      </c>
      <c r="E4721" s="461" t="s">
        <v>1497</v>
      </c>
      <c r="F4721" s="461" t="s">
        <v>8328</v>
      </c>
    </row>
    <row r="4722" spans="1:6" ht="30" x14ac:dyDescent="0.25">
      <c r="A4722" s="461">
        <v>21112</v>
      </c>
      <c r="B4722" s="460" t="s">
        <v>12600</v>
      </c>
      <c r="C4722" s="461" t="s">
        <v>1104</v>
      </c>
      <c r="D4722" s="461">
        <v>308.38</v>
      </c>
      <c r="E4722" s="461" t="s">
        <v>161</v>
      </c>
      <c r="F4722" s="461" t="s">
        <v>8326</v>
      </c>
    </row>
    <row r="4723" spans="1:6" ht="15" x14ac:dyDescent="0.25">
      <c r="A4723" s="461">
        <v>10228</v>
      </c>
      <c r="B4723" s="460" t="s">
        <v>13508</v>
      </c>
      <c r="C4723" s="461" t="s">
        <v>1104</v>
      </c>
      <c r="D4723" s="461">
        <v>358.25</v>
      </c>
      <c r="E4723" s="461" t="s">
        <v>161</v>
      </c>
      <c r="F4723" s="461" t="s">
        <v>8333</v>
      </c>
    </row>
    <row r="4724" spans="1:6" ht="15" x14ac:dyDescent="0.25">
      <c r="A4724" s="461">
        <v>11781</v>
      </c>
      <c r="B4724" s="460" t="s">
        <v>13509</v>
      </c>
      <c r="C4724" s="461" t="s">
        <v>1104</v>
      </c>
      <c r="D4724" s="461">
        <v>290.22000000000003</v>
      </c>
      <c r="E4724" s="461" t="s">
        <v>161</v>
      </c>
      <c r="F4724" s="461" t="s">
        <v>8326</v>
      </c>
    </row>
    <row r="4725" spans="1:6" ht="30" x14ac:dyDescent="0.25">
      <c r="A4725" s="461">
        <v>37588</v>
      </c>
      <c r="B4725" s="460" t="s">
        <v>12601</v>
      </c>
      <c r="C4725" s="461" t="s">
        <v>1104</v>
      </c>
      <c r="D4725" s="461">
        <v>51.42</v>
      </c>
      <c r="E4725" s="461" t="s">
        <v>161</v>
      </c>
      <c r="F4725" s="461" t="s">
        <v>8326</v>
      </c>
    </row>
    <row r="4726" spans="1:6" ht="15" x14ac:dyDescent="0.25">
      <c r="A4726" s="461">
        <v>11751</v>
      </c>
      <c r="B4726" s="460" t="s">
        <v>13510</v>
      </c>
      <c r="C4726" s="461" t="s">
        <v>1104</v>
      </c>
      <c r="D4726" s="461">
        <v>154.72</v>
      </c>
      <c r="E4726" s="461" t="s">
        <v>161</v>
      </c>
      <c r="F4726" s="461" t="s">
        <v>8326</v>
      </c>
    </row>
    <row r="4727" spans="1:6" ht="15" x14ac:dyDescent="0.25">
      <c r="A4727" s="461">
        <v>11750</v>
      </c>
      <c r="B4727" s="460" t="s">
        <v>13511</v>
      </c>
      <c r="C4727" s="461" t="s">
        <v>1104</v>
      </c>
      <c r="D4727" s="461">
        <v>128.4</v>
      </c>
      <c r="E4727" s="461" t="s">
        <v>161</v>
      </c>
      <c r="F4727" s="461" t="s">
        <v>8326</v>
      </c>
    </row>
    <row r="4728" spans="1:6" ht="15" x14ac:dyDescent="0.25">
      <c r="A4728" s="461">
        <v>11748</v>
      </c>
      <c r="B4728" s="460" t="s">
        <v>13512</v>
      </c>
      <c r="C4728" s="461" t="s">
        <v>1104</v>
      </c>
      <c r="D4728" s="461">
        <v>55.28</v>
      </c>
      <c r="E4728" s="461" t="s">
        <v>161</v>
      </c>
      <c r="F4728" s="461" t="s">
        <v>8326</v>
      </c>
    </row>
    <row r="4729" spans="1:6" ht="15" x14ac:dyDescent="0.25">
      <c r="A4729" s="461">
        <v>11746</v>
      </c>
      <c r="B4729" s="460" t="s">
        <v>13513</v>
      </c>
      <c r="C4729" s="461" t="s">
        <v>1104</v>
      </c>
      <c r="D4729" s="461">
        <v>86.15</v>
      </c>
      <c r="E4729" s="461" t="s">
        <v>161</v>
      </c>
      <c r="F4729" s="461" t="s">
        <v>8326</v>
      </c>
    </row>
    <row r="4730" spans="1:6" ht="15" x14ac:dyDescent="0.25">
      <c r="A4730" s="461">
        <v>11747</v>
      </c>
      <c r="B4730" s="460" t="s">
        <v>13514</v>
      </c>
      <c r="C4730" s="461" t="s">
        <v>1104</v>
      </c>
      <c r="D4730" s="461">
        <v>238.58</v>
      </c>
      <c r="E4730" s="461" t="s">
        <v>161</v>
      </c>
      <c r="F4730" s="461" t="s">
        <v>8326</v>
      </c>
    </row>
    <row r="4731" spans="1:6" ht="15" x14ac:dyDescent="0.25">
      <c r="A4731" s="461">
        <v>11749</v>
      </c>
      <c r="B4731" s="460" t="s">
        <v>13515</v>
      </c>
      <c r="C4731" s="461" t="s">
        <v>1104</v>
      </c>
      <c r="D4731" s="511">
        <v>63.81</v>
      </c>
      <c r="E4731" s="461" t="s">
        <v>161</v>
      </c>
      <c r="F4731" s="461" t="s">
        <v>8326</v>
      </c>
    </row>
    <row r="4732" spans="1:6" ht="30" x14ac:dyDescent="0.25">
      <c r="A4732" s="461">
        <v>10236</v>
      </c>
      <c r="B4732" s="460" t="s">
        <v>12602</v>
      </c>
      <c r="C4732" s="461" t="s">
        <v>1104</v>
      </c>
      <c r="D4732" s="511">
        <v>132.34</v>
      </c>
      <c r="E4732" s="461" t="s">
        <v>161</v>
      </c>
      <c r="F4732" s="461" t="s">
        <v>8328</v>
      </c>
    </row>
    <row r="4733" spans="1:6" ht="30" x14ac:dyDescent="0.25">
      <c r="A4733" s="461">
        <v>10233</v>
      </c>
      <c r="B4733" s="460" t="s">
        <v>12603</v>
      </c>
      <c r="C4733" s="461" t="s">
        <v>1104</v>
      </c>
      <c r="D4733" s="511">
        <v>124.01</v>
      </c>
      <c r="E4733" s="461" t="s">
        <v>161</v>
      </c>
      <c r="F4733" s="461" t="s">
        <v>8328</v>
      </c>
    </row>
    <row r="4734" spans="1:6" ht="30" x14ac:dyDescent="0.25">
      <c r="A4734" s="461">
        <v>10234</v>
      </c>
      <c r="B4734" s="460" t="s">
        <v>12604</v>
      </c>
      <c r="C4734" s="461" t="s">
        <v>1104</v>
      </c>
      <c r="D4734" s="511">
        <v>78.12</v>
      </c>
      <c r="E4734" s="461" t="s">
        <v>161</v>
      </c>
      <c r="F4734" s="461" t="s">
        <v>8328</v>
      </c>
    </row>
    <row r="4735" spans="1:6" ht="30" x14ac:dyDescent="0.25">
      <c r="A4735" s="461">
        <v>10231</v>
      </c>
      <c r="B4735" s="460" t="s">
        <v>12605</v>
      </c>
      <c r="C4735" s="461" t="s">
        <v>1104</v>
      </c>
      <c r="D4735" s="511">
        <v>358.24</v>
      </c>
      <c r="E4735" s="461" t="s">
        <v>161</v>
      </c>
      <c r="F4735" s="461" t="s">
        <v>8328</v>
      </c>
    </row>
    <row r="4736" spans="1:6" ht="30" x14ac:dyDescent="0.25">
      <c r="A4736" s="461">
        <v>10232</v>
      </c>
      <c r="B4736" s="460" t="s">
        <v>12606</v>
      </c>
      <c r="C4736" s="461" t="s">
        <v>1104</v>
      </c>
      <c r="D4736" s="511">
        <v>200.46</v>
      </c>
      <c r="E4736" s="461" t="s">
        <v>161</v>
      </c>
      <c r="F4736" s="461" t="s">
        <v>8328</v>
      </c>
    </row>
    <row r="4737" spans="1:6" ht="30" x14ac:dyDescent="0.25">
      <c r="A4737" s="461">
        <v>10229</v>
      </c>
      <c r="B4737" s="460" t="s">
        <v>12607</v>
      </c>
      <c r="C4737" s="461" t="s">
        <v>1104</v>
      </c>
      <c r="D4737" s="511">
        <v>70.650000000000006</v>
      </c>
      <c r="E4737" s="461" t="s">
        <v>161</v>
      </c>
      <c r="F4737" s="461" t="s">
        <v>8328</v>
      </c>
    </row>
    <row r="4738" spans="1:6" ht="30" x14ac:dyDescent="0.25">
      <c r="A4738" s="461">
        <v>10235</v>
      </c>
      <c r="B4738" s="460" t="s">
        <v>12608</v>
      </c>
      <c r="C4738" s="461" t="s">
        <v>1104</v>
      </c>
      <c r="D4738" s="511">
        <v>491.1</v>
      </c>
      <c r="E4738" s="461" t="s">
        <v>161</v>
      </c>
      <c r="F4738" s="461" t="s">
        <v>8328</v>
      </c>
    </row>
    <row r="4739" spans="1:6" ht="30" x14ac:dyDescent="0.25">
      <c r="A4739" s="461">
        <v>10230</v>
      </c>
      <c r="B4739" s="460" t="s">
        <v>12609</v>
      </c>
      <c r="C4739" s="461" t="s">
        <v>1104</v>
      </c>
      <c r="D4739" s="511">
        <v>864.29</v>
      </c>
      <c r="E4739" s="461" t="s">
        <v>161</v>
      </c>
      <c r="F4739" s="461" t="s">
        <v>8328</v>
      </c>
    </row>
    <row r="4740" spans="1:6" ht="30" x14ac:dyDescent="0.25">
      <c r="A4740" s="461">
        <v>10409</v>
      </c>
      <c r="B4740" s="460" t="s">
        <v>12610</v>
      </c>
      <c r="C4740" s="461" t="s">
        <v>1104</v>
      </c>
      <c r="D4740" s="511">
        <v>256.77</v>
      </c>
      <c r="E4740" s="461" t="s">
        <v>161</v>
      </c>
      <c r="F4740" s="461" t="s">
        <v>8328</v>
      </c>
    </row>
    <row r="4741" spans="1:6" ht="30" x14ac:dyDescent="0.25">
      <c r="A4741" s="461">
        <v>10411</v>
      </c>
      <c r="B4741" s="460" t="s">
        <v>12611</v>
      </c>
      <c r="C4741" s="461" t="s">
        <v>1104</v>
      </c>
      <c r="D4741" s="511">
        <v>229.76</v>
      </c>
      <c r="E4741" s="461" t="s">
        <v>161</v>
      </c>
      <c r="F4741" s="461" t="s">
        <v>8328</v>
      </c>
    </row>
    <row r="4742" spans="1:6" ht="30" x14ac:dyDescent="0.25">
      <c r="A4742" s="461">
        <v>10404</v>
      </c>
      <c r="B4742" s="460" t="s">
        <v>12612</v>
      </c>
      <c r="C4742" s="461" t="s">
        <v>1104</v>
      </c>
      <c r="D4742" s="461">
        <v>93.18</v>
      </c>
      <c r="E4742" s="461" t="s">
        <v>161</v>
      </c>
      <c r="F4742" s="461" t="s">
        <v>8328</v>
      </c>
    </row>
    <row r="4743" spans="1:6" ht="30" x14ac:dyDescent="0.25">
      <c r="A4743" s="461">
        <v>10410</v>
      </c>
      <c r="B4743" s="460" t="s">
        <v>12613</v>
      </c>
      <c r="C4743" s="461" t="s">
        <v>1104</v>
      </c>
      <c r="D4743" s="461">
        <v>153.47999999999999</v>
      </c>
      <c r="E4743" s="461" t="s">
        <v>161</v>
      </c>
      <c r="F4743" s="461" t="s">
        <v>8328</v>
      </c>
    </row>
    <row r="4744" spans="1:6" ht="30" x14ac:dyDescent="0.25">
      <c r="A4744" s="461">
        <v>10405</v>
      </c>
      <c r="B4744" s="460" t="s">
        <v>12614</v>
      </c>
      <c r="C4744" s="461" t="s">
        <v>1104</v>
      </c>
      <c r="D4744" s="461">
        <v>514.44000000000005</v>
      </c>
      <c r="E4744" s="461" t="s">
        <v>161</v>
      </c>
      <c r="F4744" s="461" t="s">
        <v>8328</v>
      </c>
    </row>
    <row r="4745" spans="1:6" ht="30" x14ac:dyDescent="0.25">
      <c r="A4745" s="461">
        <v>10408</v>
      </c>
      <c r="B4745" s="460" t="s">
        <v>12615</v>
      </c>
      <c r="C4745" s="461" t="s">
        <v>1104</v>
      </c>
      <c r="D4745" s="461">
        <v>359.74</v>
      </c>
      <c r="E4745" s="461" t="s">
        <v>161</v>
      </c>
      <c r="F4745" s="461" t="s">
        <v>8328</v>
      </c>
    </row>
    <row r="4746" spans="1:6" ht="30" x14ac:dyDescent="0.25">
      <c r="A4746" s="461">
        <v>10412</v>
      </c>
      <c r="B4746" s="460" t="s">
        <v>12616</v>
      </c>
      <c r="C4746" s="461" t="s">
        <v>1104</v>
      </c>
      <c r="D4746" s="461">
        <v>112.92</v>
      </c>
      <c r="E4746" s="461" t="s">
        <v>161</v>
      </c>
      <c r="F4746" s="461" t="s">
        <v>8328</v>
      </c>
    </row>
    <row r="4747" spans="1:6" ht="30" x14ac:dyDescent="0.25">
      <c r="A4747" s="461">
        <v>10406</v>
      </c>
      <c r="B4747" s="460" t="s">
        <v>12617</v>
      </c>
      <c r="C4747" s="461" t="s">
        <v>1104</v>
      </c>
      <c r="D4747" s="461">
        <v>710.55</v>
      </c>
      <c r="E4747" s="461" t="s">
        <v>161</v>
      </c>
      <c r="F4747" s="461" t="s">
        <v>8328</v>
      </c>
    </row>
    <row r="4748" spans="1:6" ht="30" x14ac:dyDescent="0.25">
      <c r="A4748" s="461">
        <v>10407</v>
      </c>
      <c r="B4748" s="460" t="s">
        <v>12618</v>
      </c>
      <c r="C4748" s="461" t="s">
        <v>1104</v>
      </c>
      <c r="D4748" s="461">
        <v>1102.07</v>
      </c>
      <c r="E4748" s="461" t="s">
        <v>161</v>
      </c>
      <c r="F4748" s="461" t="s">
        <v>8328</v>
      </c>
    </row>
    <row r="4749" spans="1:6" ht="30" x14ac:dyDescent="0.25">
      <c r="A4749" s="461">
        <v>10416</v>
      </c>
      <c r="B4749" s="460" t="s">
        <v>12619</v>
      </c>
      <c r="C4749" s="461" t="s">
        <v>1104</v>
      </c>
      <c r="D4749" s="461">
        <v>136.69999999999999</v>
      </c>
      <c r="E4749" s="461" t="s">
        <v>161</v>
      </c>
      <c r="F4749" s="461" t="s">
        <v>8328</v>
      </c>
    </row>
    <row r="4750" spans="1:6" ht="30" x14ac:dyDescent="0.25">
      <c r="A4750" s="461">
        <v>10419</v>
      </c>
      <c r="B4750" s="460" t="s">
        <v>12620</v>
      </c>
      <c r="C4750" s="461" t="s">
        <v>1104</v>
      </c>
      <c r="D4750" s="461">
        <v>118.65</v>
      </c>
      <c r="E4750" s="461" t="s">
        <v>161</v>
      </c>
      <c r="F4750" s="461" t="s">
        <v>8328</v>
      </c>
    </row>
    <row r="4751" spans="1:6" ht="30" x14ac:dyDescent="0.25">
      <c r="A4751" s="461">
        <v>21092</v>
      </c>
      <c r="B4751" s="460" t="s">
        <v>12621</v>
      </c>
      <c r="C4751" s="461" t="s">
        <v>1104</v>
      </c>
      <c r="D4751" s="461">
        <v>67.83</v>
      </c>
      <c r="E4751" s="461" t="s">
        <v>161</v>
      </c>
      <c r="F4751" s="461" t="s">
        <v>8328</v>
      </c>
    </row>
    <row r="4752" spans="1:6" ht="30" x14ac:dyDescent="0.25">
      <c r="A4752" s="461">
        <v>10418</v>
      </c>
      <c r="B4752" s="460" t="s">
        <v>12622</v>
      </c>
      <c r="C4752" s="461" t="s">
        <v>1104</v>
      </c>
      <c r="D4752" s="461">
        <v>79.09</v>
      </c>
      <c r="E4752" s="461" t="s">
        <v>161</v>
      </c>
      <c r="F4752" s="461" t="s">
        <v>8328</v>
      </c>
    </row>
    <row r="4753" spans="1:6" ht="30" x14ac:dyDescent="0.25">
      <c r="A4753" s="461">
        <v>12657</v>
      </c>
      <c r="B4753" s="460" t="s">
        <v>12623</v>
      </c>
      <c r="C4753" s="461" t="s">
        <v>1104</v>
      </c>
      <c r="D4753" s="461">
        <v>319.16000000000003</v>
      </c>
      <c r="E4753" s="461" t="s">
        <v>161</v>
      </c>
      <c r="F4753" s="461" t="s">
        <v>8328</v>
      </c>
    </row>
    <row r="4754" spans="1:6" ht="30" x14ac:dyDescent="0.25">
      <c r="A4754" s="461">
        <v>10417</v>
      </c>
      <c r="B4754" s="460" t="s">
        <v>12624</v>
      </c>
      <c r="C4754" s="461" t="s">
        <v>1104</v>
      </c>
      <c r="D4754" s="461">
        <v>199.17</v>
      </c>
      <c r="E4754" s="461" t="s">
        <v>161</v>
      </c>
      <c r="F4754" s="461" t="s">
        <v>8328</v>
      </c>
    </row>
    <row r="4755" spans="1:6" ht="30" x14ac:dyDescent="0.25">
      <c r="A4755" s="461">
        <v>10413</v>
      </c>
      <c r="B4755" s="460" t="s">
        <v>12625</v>
      </c>
      <c r="C4755" s="461" t="s">
        <v>1104</v>
      </c>
      <c r="D4755" s="461">
        <v>72.39</v>
      </c>
      <c r="E4755" s="461" t="s">
        <v>161</v>
      </c>
      <c r="F4755" s="461" t="s">
        <v>8328</v>
      </c>
    </row>
    <row r="4756" spans="1:6" ht="30" x14ac:dyDescent="0.25">
      <c r="A4756" s="461">
        <v>10414</v>
      </c>
      <c r="B4756" s="460" t="s">
        <v>12626</v>
      </c>
      <c r="C4756" s="461" t="s">
        <v>1104</v>
      </c>
      <c r="D4756" s="461">
        <v>435.84</v>
      </c>
      <c r="E4756" s="461" t="s">
        <v>161</v>
      </c>
      <c r="F4756" s="461" t="s">
        <v>8328</v>
      </c>
    </row>
    <row r="4757" spans="1:6" ht="30" x14ac:dyDescent="0.25">
      <c r="A4757" s="461">
        <v>10415</v>
      </c>
      <c r="B4757" s="460" t="s">
        <v>12627</v>
      </c>
      <c r="C4757" s="461" t="s">
        <v>1104</v>
      </c>
      <c r="D4757" s="461">
        <v>756.42</v>
      </c>
      <c r="E4757" s="461" t="s">
        <v>161</v>
      </c>
      <c r="F4757" s="461" t="s">
        <v>8328</v>
      </c>
    </row>
    <row r="4758" spans="1:6" ht="15" x14ac:dyDescent="0.25">
      <c r="A4758" s="461">
        <v>38643</v>
      </c>
      <c r="B4758" s="460" t="s">
        <v>13516</v>
      </c>
      <c r="C4758" s="461" t="s">
        <v>1104</v>
      </c>
      <c r="D4758" s="461">
        <v>40.86</v>
      </c>
      <c r="E4758" s="461" t="s">
        <v>161</v>
      </c>
      <c r="F4758" s="461" t="s">
        <v>8326</v>
      </c>
    </row>
    <row r="4759" spans="1:6" ht="15" x14ac:dyDescent="0.25">
      <c r="A4759" s="461">
        <v>6157</v>
      </c>
      <c r="B4759" s="460" t="s">
        <v>13517</v>
      </c>
      <c r="C4759" s="461" t="s">
        <v>1104</v>
      </c>
      <c r="D4759" s="461">
        <v>55.82</v>
      </c>
      <c r="E4759" s="461" t="s">
        <v>161</v>
      </c>
      <c r="F4759" s="461" t="s">
        <v>8326</v>
      </c>
    </row>
    <row r="4760" spans="1:6" ht="15" x14ac:dyDescent="0.25">
      <c r="A4760" s="461">
        <v>6158</v>
      </c>
      <c r="B4760" s="460" t="s">
        <v>12628</v>
      </c>
      <c r="C4760" s="461" t="s">
        <v>1104</v>
      </c>
      <c r="D4760" s="461">
        <v>7.6</v>
      </c>
      <c r="E4760" s="461" t="s">
        <v>161</v>
      </c>
      <c r="F4760" s="461" t="s">
        <v>8326</v>
      </c>
    </row>
    <row r="4761" spans="1:6" ht="30" x14ac:dyDescent="0.25">
      <c r="A4761" s="461">
        <v>6153</v>
      </c>
      <c r="B4761" s="460" t="s">
        <v>12629</v>
      </c>
      <c r="C4761" s="461" t="s">
        <v>1104</v>
      </c>
      <c r="D4761" s="461">
        <v>5.23</v>
      </c>
      <c r="E4761" s="461" t="s">
        <v>161</v>
      </c>
      <c r="F4761" s="461" t="s">
        <v>8326</v>
      </c>
    </row>
    <row r="4762" spans="1:6" ht="30" x14ac:dyDescent="0.25">
      <c r="A4762" s="461">
        <v>6156</v>
      </c>
      <c r="B4762" s="460" t="s">
        <v>13518</v>
      </c>
      <c r="C4762" s="461" t="s">
        <v>1104</v>
      </c>
      <c r="D4762" s="461">
        <v>6.52</v>
      </c>
      <c r="E4762" s="461" t="s">
        <v>161</v>
      </c>
      <c r="F4762" s="461" t="s">
        <v>8326</v>
      </c>
    </row>
    <row r="4763" spans="1:6" ht="15" x14ac:dyDescent="0.25">
      <c r="A4763" s="461">
        <v>6154</v>
      </c>
      <c r="B4763" s="460" t="s">
        <v>12630</v>
      </c>
      <c r="C4763" s="461" t="s">
        <v>1104</v>
      </c>
      <c r="D4763" s="461">
        <v>9.3000000000000007</v>
      </c>
      <c r="E4763" s="461" t="s">
        <v>161</v>
      </c>
      <c r="F4763" s="461" t="s">
        <v>8326</v>
      </c>
    </row>
    <row r="4764" spans="1:6" ht="30" x14ac:dyDescent="0.25">
      <c r="A4764" s="461">
        <v>6155</v>
      </c>
      <c r="B4764" s="460" t="s">
        <v>13519</v>
      </c>
      <c r="C4764" s="461" t="s">
        <v>1104</v>
      </c>
      <c r="D4764" s="461">
        <v>21.41</v>
      </c>
      <c r="E4764" s="461" t="s">
        <v>161</v>
      </c>
      <c r="F4764" s="461" t="s">
        <v>8326</v>
      </c>
    </row>
    <row r="4765" spans="1:6" ht="30" x14ac:dyDescent="0.25">
      <c r="A4765" s="461">
        <v>43595</v>
      </c>
      <c r="B4765" s="460" t="s">
        <v>12631</v>
      </c>
      <c r="C4765" s="461" t="s">
        <v>1104</v>
      </c>
      <c r="D4765" s="461">
        <v>17.22</v>
      </c>
      <c r="E4765" s="461" t="s">
        <v>161</v>
      </c>
      <c r="F4765" s="461" t="s">
        <v>8326</v>
      </c>
    </row>
    <row r="4766" spans="1:6" ht="30" x14ac:dyDescent="0.25">
      <c r="A4766" s="461">
        <v>43596</v>
      </c>
      <c r="B4766" s="460" t="s">
        <v>12632</v>
      </c>
      <c r="C4766" s="461" t="s">
        <v>1104</v>
      </c>
      <c r="D4766" s="461">
        <v>19.899999999999999</v>
      </c>
      <c r="E4766" s="461" t="s">
        <v>161</v>
      </c>
      <c r="F4766" s="461" t="s">
        <v>8326</v>
      </c>
    </row>
    <row r="4767" spans="1:6" ht="15" x14ac:dyDescent="0.25">
      <c r="A4767" s="461">
        <v>38108</v>
      </c>
      <c r="B4767" s="460" t="s">
        <v>12633</v>
      </c>
      <c r="C4767" s="461" t="s">
        <v>1104</v>
      </c>
      <c r="D4767" s="461">
        <v>61.97</v>
      </c>
      <c r="E4767" s="461" t="s">
        <v>161</v>
      </c>
      <c r="F4767" s="461" t="s">
        <v>8326</v>
      </c>
    </row>
    <row r="4768" spans="1:6" ht="30" x14ac:dyDescent="0.25">
      <c r="A4768" s="461">
        <v>38087</v>
      </c>
      <c r="B4768" s="460" t="s">
        <v>12634</v>
      </c>
      <c r="C4768" s="461" t="s">
        <v>1104</v>
      </c>
      <c r="D4768" s="511">
        <v>79.709999999999994</v>
      </c>
      <c r="E4768" s="461" t="s">
        <v>161</v>
      </c>
      <c r="F4768" s="461" t="s">
        <v>8326</v>
      </c>
    </row>
    <row r="4769" spans="1:6" ht="15" x14ac:dyDescent="0.25">
      <c r="A4769" s="461">
        <v>38109</v>
      </c>
      <c r="B4769" s="460" t="s">
        <v>12635</v>
      </c>
      <c r="C4769" s="461" t="s">
        <v>1104</v>
      </c>
      <c r="D4769" s="461">
        <v>99.05</v>
      </c>
      <c r="E4769" s="461" t="s">
        <v>161</v>
      </c>
      <c r="F4769" s="461" t="s">
        <v>8326</v>
      </c>
    </row>
    <row r="4770" spans="1:6" ht="30" x14ac:dyDescent="0.25">
      <c r="A4770" s="461">
        <v>38088</v>
      </c>
      <c r="B4770" s="460" t="s">
        <v>12636</v>
      </c>
      <c r="C4770" s="461" t="s">
        <v>1104</v>
      </c>
      <c r="D4770" s="461">
        <v>104.15</v>
      </c>
      <c r="E4770" s="461" t="s">
        <v>161</v>
      </c>
      <c r="F4770" s="461" t="s">
        <v>8326</v>
      </c>
    </row>
    <row r="4771" spans="1:6" ht="15" x14ac:dyDescent="0.25">
      <c r="A4771" s="461">
        <v>38110</v>
      </c>
      <c r="B4771" s="460" t="s">
        <v>12637</v>
      </c>
      <c r="C4771" s="461" t="s">
        <v>1104</v>
      </c>
      <c r="D4771" s="461">
        <v>38.1</v>
      </c>
      <c r="E4771" s="461" t="s">
        <v>161</v>
      </c>
      <c r="F4771" s="461" t="s">
        <v>8326</v>
      </c>
    </row>
    <row r="4772" spans="1:6" ht="45" x14ac:dyDescent="0.25">
      <c r="A4772" s="461">
        <v>38089</v>
      </c>
      <c r="B4772" s="460" t="s">
        <v>12638</v>
      </c>
      <c r="C4772" s="461" t="s">
        <v>1104</v>
      </c>
      <c r="D4772" s="461">
        <v>66.39</v>
      </c>
      <c r="E4772" s="461" t="s">
        <v>161</v>
      </c>
      <c r="F4772" s="461" t="s">
        <v>8326</v>
      </c>
    </row>
    <row r="4773" spans="1:6" ht="15" x14ac:dyDescent="0.25">
      <c r="A4773" s="461">
        <v>38111</v>
      </c>
      <c r="B4773" s="460" t="s">
        <v>12639</v>
      </c>
      <c r="C4773" s="461" t="s">
        <v>1104</v>
      </c>
      <c r="D4773" s="461">
        <v>42.61</v>
      </c>
      <c r="E4773" s="461" t="s">
        <v>161</v>
      </c>
      <c r="F4773" s="461" t="s">
        <v>8326</v>
      </c>
    </row>
    <row r="4774" spans="1:6" ht="45" x14ac:dyDescent="0.25">
      <c r="A4774" s="461">
        <v>38090</v>
      </c>
      <c r="B4774" s="460" t="s">
        <v>12640</v>
      </c>
      <c r="C4774" s="461" t="s">
        <v>1104</v>
      </c>
      <c r="D4774" s="461">
        <v>68.62</v>
      </c>
      <c r="E4774" s="461" t="s">
        <v>161</v>
      </c>
      <c r="F4774" s="461" t="s">
        <v>8326</v>
      </c>
    </row>
    <row r="4775" spans="1:6" ht="30" x14ac:dyDescent="0.25">
      <c r="A4775" s="461">
        <v>13726</v>
      </c>
      <c r="B4775" s="460" t="s">
        <v>12641</v>
      </c>
      <c r="C4775" s="461" t="s">
        <v>1104</v>
      </c>
      <c r="D4775" s="461">
        <v>66249.990000000005</v>
      </c>
      <c r="E4775" s="461" t="s">
        <v>1497</v>
      </c>
      <c r="F4775" s="461" t="s">
        <v>8328</v>
      </c>
    </row>
    <row r="4776" spans="1:6" ht="15" x14ac:dyDescent="0.25">
      <c r="A4776" s="461">
        <v>38400</v>
      </c>
      <c r="B4776" s="460" t="s">
        <v>12642</v>
      </c>
      <c r="C4776" s="461" t="s">
        <v>1104</v>
      </c>
      <c r="D4776" s="461">
        <v>16.47</v>
      </c>
      <c r="E4776" s="461" t="s">
        <v>161</v>
      </c>
      <c r="F4776" s="461" t="s">
        <v>8326</v>
      </c>
    </row>
    <row r="4777" spans="1:6" ht="30" x14ac:dyDescent="0.25">
      <c r="A4777" s="461">
        <v>12627</v>
      </c>
      <c r="B4777" s="460" t="s">
        <v>12643</v>
      </c>
      <c r="C4777" s="461" t="s">
        <v>1104</v>
      </c>
      <c r="D4777" s="461">
        <v>1.07</v>
      </c>
      <c r="E4777" s="461" t="s">
        <v>161</v>
      </c>
      <c r="F4777" s="461" t="s">
        <v>8326</v>
      </c>
    </row>
    <row r="4778" spans="1:6" ht="15" x14ac:dyDescent="0.25">
      <c r="A4778" s="461">
        <v>39996</v>
      </c>
      <c r="B4778" s="460" t="s">
        <v>13520</v>
      </c>
      <c r="C4778" s="461" t="s">
        <v>1107</v>
      </c>
      <c r="D4778" s="461">
        <v>3</v>
      </c>
      <c r="E4778" s="461" t="s">
        <v>161</v>
      </c>
      <c r="F4778" s="461" t="s">
        <v>8326</v>
      </c>
    </row>
    <row r="4779" spans="1:6" ht="30" x14ac:dyDescent="0.25">
      <c r="A4779" s="461">
        <v>10478</v>
      </c>
      <c r="B4779" s="460" t="s">
        <v>12644</v>
      </c>
      <c r="C4779" s="461" t="s">
        <v>1109</v>
      </c>
      <c r="D4779" s="461">
        <v>35.700000000000003</v>
      </c>
      <c r="E4779" s="461" t="s">
        <v>161</v>
      </c>
      <c r="F4779" s="461" t="s">
        <v>8333</v>
      </c>
    </row>
    <row r="4780" spans="1:6" ht="30" x14ac:dyDescent="0.25">
      <c r="A4780" s="461">
        <v>10481</v>
      </c>
      <c r="B4780" s="460" t="s">
        <v>12645</v>
      </c>
      <c r="C4780" s="461" t="s">
        <v>1109</v>
      </c>
      <c r="D4780" s="461">
        <v>31.75</v>
      </c>
      <c r="E4780" s="461" t="s">
        <v>161</v>
      </c>
      <c r="F4780" s="461" t="s">
        <v>8326</v>
      </c>
    </row>
    <row r="4781" spans="1:6" ht="15" x14ac:dyDescent="0.25">
      <c r="A4781" s="461">
        <v>10475</v>
      </c>
      <c r="B4781" s="460" t="s">
        <v>12646</v>
      </c>
      <c r="C4781" s="461" t="s">
        <v>1109</v>
      </c>
      <c r="D4781" s="461">
        <v>30.72</v>
      </c>
      <c r="E4781" s="461" t="s">
        <v>161</v>
      </c>
      <c r="F4781" s="461" t="s">
        <v>8326</v>
      </c>
    </row>
    <row r="4782" spans="1:6" ht="15" x14ac:dyDescent="0.25">
      <c r="A4782" s="461">
        <v>4030</v>
      </c>
      <c r="B4782" s="460" t="s">
        <v>12647</v>
      </c>
      <c r="C4782" s="461" t="s">
        <v>1106</v>
      </c>
      <c r="D4782" s="461">
        <v>6.31</v>
      </c>
      <c r="E4782" s="461" t="s">
        <v>161</v>
      </c>
      <c r="F4782" s="461" t="s">
        <v>8326</v>
      </c>
    </row>
    <row r="4783" spans="1:6" ht="15" x14ac:dyDescent="0.25">
      <c r="A4783" s="461">
        <v>4031</v>
      </c>
      <c r="B4783" s="460" t="s">
        <v>12648</v>
      </c>
      <c r="C4783" s="461" t="s">
        <v>1106</v>
      </c>
      <c r="D4783" s="461">
        <v>29.68</v>
      </c>
      <c r="E4783" s="461" t="s">
        <v>161</v>
      </c>
      <c r="F4783" s="461" t="s">
        <v>8326</v>
      </c>
    </row>
    <row r="4784" spans="1:6" ht="15" x14ac:dyDescent="0.25">
      <c r="A4784" s="461">
        <v>39399</v>
      </c>
      <c r="B4784" s="460" t="s">
        <v>12649</v>
      </c>
      <c r="C4784" s="461" t="s">
        <v>1104</v>
      </c>
      <c r="D4784" s="461">
        <v>1402.87</v>
      </c>
      <c r="E4784" s="461" t="s">
        <v>161</v>
      </c>
      <c r="F4784" s="461" t="s">
        <v>8328</v>
      </c>
    </row>
    <row r="4785" spans="1:6" ht="30" x14ac:dyDescent="0.25">
      <c r="A4785" s="461">
        <v>39400</v>
      </c>
      <c r="B4785" s="460" t="s">
        <v>12650</v>
      </c>
      <c r="C4785" s="461" t="s">
        <v>1104</v>
      </c>
      <c r="D4785" s="461">
        <v>1524.86</v>
      </c>
      <c r="E4785" s="461" t="s">
        <v>161</v>
      </c>
      <c r="F4785" s="461" t="s">
        <v>8328</v>
      </c>
    </row>
    <row r="4786" spans="1:6" ht="30" x14ac:dyDescent="0.25">
      <c r="A4786" s="461">
        <v>39401</v>
      </c>
      <c r="B4786" s="460" t="s">
        <v>12651</v>
      </c>
      <c r="C4786" s="461" t="s">
        <v>1104</v>
      </c>
      <c r="D4786" s="461">
        <v>1710.52</v>
      </c>
      <c r="E4786" s="461" t="s">
        <v>161</v>
      </c>
      <c r="F4786" s="461" t="s">
        <v>8328</v>
      </c>
    </row>
    <row r="4787" spans="1:6" ht="30" x14ac:dyDescent="0.25">
      <c r="A4787" s="461">
        <v>11652</v>
      </c>
      <c r="B4787" s="460" t="s">
        <v>12652</v>
      </c>
      <c r="C4787" s="461" t="s">
        <v>1104</v>
      </c>
      <c r="D4787" s="461">
        <v>3680</v>
      </c>
      <c r="E4787" s="461" t="s">
        <v>161</v>
      </c>
      <c r="F4787" s="461" t="s">
        <v>8328</v>
      </c>
    </row>
    <row r="4788" spans="1:6" ht="30" x14ac:dyDescent="0.25">
      <c r="A4788" s="461">
        <v>13896</v>
      </c>
      <c r="B4788" s="460" t="s">
        <v>12653</v>
      </c>
      <c r="C4788" s="461" t="s">
        <v>1104</v>
      </c>
      <c r="D4788" s="461">
        <v>3301.28</v>
      </c>
      <c r="E4788" s="461" t="s">
        <v>161</v>
      </c>
      <c r="F4788" s="461" t="s">
        <v>8328</v>
      </c>
    </row>
    <row r="4789" spans="1:6" ht="30" x14ac:dyDescent="0.25">
      <c r="A4789" s="461">
        <v>13475</v>
      </c>
      <c r="B4789" s="460" t="s">
        <v>12654</v>
      </c>
      <c r="C4789" s="461" t="s">
        <v>1104</v>
      </c>
      <c r="D4789" s="461">
        <v>4021.36</v>
      </c>
      <c r="E4789" s="461" t="s">
        <v>161</v>
      </c>
      <c r="F4789" s="461" t="s">
        <v>8328</v>
      </c>
    </row>
    <row r="4790" spans="1:6" ht="30" x14ac:dyDescent="0.25">
      <c r="A4790" s="461">
        <v>44491</v>
      </c>
      <c r="B4790" s="460" t="s">
        <v>12655</v>
      </c>
      <c r="C4790" s="461" t="s">
        <v>1104</v>
      </c>
      <c r="D4790" s="461">
        <v>3848924.78</v>
      </c>
      <c r="E4790" s="461" t="s">
        <v>1497</v>
      </c>
      <c r="F4790" s="461" t="s">
        <v>8328</v>
      </c>
    </row>
    <row r="4791" spans="1:6" ht="30" x14ac:dyDescent="0.25">
      <c r="A4791" s="461">
        <v>44470</v>
      </c>
      <c r="B4791" s="460" t="s">
        <v>12656</v>
      </c>
      <c r="C4791" s="461" t="s">
        <v>1104</v>
      </c>
      <c r="D4791" s="461">
        <v>1620352.66</v>
      </c>
      <c r="E4791" s="461" t="s">
        <v>1497</v>
      </c>
      <c r="F4791" s="461" t="s">
        <v>8328</v>
      </c>
    </row>
    <row r="4792" spans="1:6" ht="30" x14ac:dyDescent="0.25">
      <c r="A4792" s="461">
        <v>13476</v>
      </c>
      <c r="B4792" s="460" t="s">
        <v>12657</v>
      </c>
      <c r="C4792" s="461" t="s">
        <v>1104</v>
      </c>
      <c r="D4792" s="461">
        <v>1632094.46</v>
      </c>
      <c r="E4792" s="461" t="s">
        <v>1497</v>
      </c>
      <c r="F4792" s="461" t="s">
        <v>8328</v>
      </c>
    </row>
    <row r="4793" spans="1:6" ht="30" x14ac:dyDescent="0.25">
      <c r="A4793" s="461">
        <v>10488</v>
      </c>
      <c r="B4793" s="460" t="s">
        <v>12658</v>
      </c>
      <c r="C4793" s="461" t="s">
        <v>1104</v>
      </c>
      <c r="D4793" s="461">
        <v>1977300</v>
      </c>
      <c r="E4793" s="461" t="s">
        <v>1497</v>
      </c>
      <c r="F4793" s="461" t="s">
        <v>8328</v>
      </c>
    </row>
    <row r="4794" spans="1:6" ht="30" x14ac:dyDescent="0.25">
      <c r="A4794" s="461">
        <v>13606</v>
      </c>
      <c r="B4794" s="460" t="s">
        <v>12659</v>
      </c>
      <c r="C4794" s="461" t="s">
        <v>1104</v>
      </c>
      <c r="D4794" s="461">
        <v>1751859.52</v>
      </c>
      <c r="E4794" s="461" t="s">
        <v>1497</v>
      </c>
      <c r="F4794" s="461" t="s">
        <v>8328</v>
      </c>
    </row>
    <row r="4795" spans="1:6" ht="15" x14ac:dyDescent="0.25">
      <c r="A4795" s="461">
        <v>10489</v>
      </c>
      <c r="B4795" s="460" t="s">
        <v>12660</v>
      </c>
      <c r="C4795" s="461" t="s">
        <v>1103</v>
      </c>
      <c r="D4795" s="511">
        <v>19.62</v>
      </c>
      <c r="E4795" s="461" t="s">
        <v>4455</v>
      </c>
      <c r="F4795" s="461" t="s">
        <v>8326</v>
      </c>
    </row>
    <row r="4796" spans="1:6" ht="15" x14ac:dyDescent="0.25">
      <c r="A4796" s="461">
        <v>41073</v>
      </c>
      <c r="B4796" s="460" t="s">
        <v>12661</v>
      </c>
      <c r="C4796" s="461" t="s">
        <v>1110</v>
      </c>
      <c r="D4796" s="461">
        <v>3496.32</v>
      </c>
      <c r="E4796" s="461" t="s">
        <v>4455</v>
      </c>
      <c r="F4796" s="461" t="s">
        <v>8326</v>
      </c>
    </row>
    <row r="4797" spans="1:6" ht="30" x14ac:dyDescent="0.25">
      <c r="A4797" s="461">
        <v>34391</v>
      </c>
      <c r="B4797" s="460" t="s">
        <v>12662</v>
      </c>
      <c r="C4797" s="461" t="s">
        <v>1106</v>
      </c>
      <c r="D4797" s="461">
        <v>645.97</v>
      </c>
      <c r="E4797" s="461" t="s">
        <v>161</v>
      </c>
      <c r="F4797" s="461" t="s">
        <v>8326</v>
      </c>
    </row>
    <row r="4798" spans="1:6" ht="30" x14ac:dyDescent="0.25">
      <c r="A4798" s="461">
        <v>10496</v>
      </c>
      <c r="B4798" s="460" t="s">
        <v>12663</v>
      </c>
      <c r="C4798" s="461" t="s">
        <v>1106</v>
      </c>
      <c r="D4798" s="461">
        <v>562.20000000000005</v>
      </c>
      <c r="E4798" s="461" t="s">
        <v>161</v>
      </c>
      <c r="F4798" s="461" t="s">
        <v>8326</v>
      </c>
    </row>
    <row r="4799" spans="1:6" ht="30" x14ac:dyDescent="0.25">
      <c r="A4799" s="461">
        <v>10497</v>
      </c>
      <c r="B4799" s="460" t="s">
        <v>13521</v>
      </c>
      <c r="C4799" s="461" t="s">
        <v>1106</v>
      </c>
      <c r="D4799" s="461">
        <v>1461.74</v>
      </c>
      <c r="E4799" s="461" t="s">
        <v>161</v>
      </c>
      <c r="F4799" s="461" t="s">
        <v>8326</v>
      </c>
    </row>
    <row r="4800" spans="1:6" ht="30" x14ac:dyDescent="0.25">
      <c r="A4800" s="461">
        <v>10504</v>
      </c>
      <c r="B4800" s="460" t="s">
        <v>12664</v>
      </c>
      <c r="C4800" s="461" t="s">
        <v>1106</v>
      </c>
      <c r="D4800" s="461">
        <v>1709.11</v>
      </c>
      <c r="E4800" s="461" t="s">
        <v>161</v>
      </c>
      <c r="F4800" s="461" t="s">
        <v>8326</v>
      </c>
    </row>
    <row r="4801" spans="1:6" ht="15" x14ac:dyDescent="0.25">
      <c r="A4801" s="461">
        <v>34390</v>
      </c>
      <c r="B4801" s="460" t="s">
        <v>12665</v>
      </c>
      <c r="C4801" s="461" t="s">
        <v>1106</v>
      </c>
      <c r="D4801" s="461">
        <v>503.73</v>
      </c>
      <c r="E4801" s="461" t="s">
        <v>161</v>
      </c>
      <c r="F4801" s="461" t="s">
        <v>8326</v>
      </c>
    </row>
    <row r="4802" spans="1:6" ht="15" x14ac:dyDescent="0.25">
      <c r="A4802" s="461">
        <v>34389</v>
      </c>
      <c r="B4802" s="460" t="s">
        <v>12666</v>
      </c>
      <c r="C4802" s="461" t="s">
        <v>1106</v>
      </c>
      <c r="D4802" s="461">
        <v>157.41</v>
      </c>
      <c r="E4802" s="461" t="s">
        <v>161</v>
      </c>
      <c r="F4802" s="461" t="s">
        <v>8326</v>
      </c>
    </row>
    <row r="4803" spans="1:6" ht="15" x14ac:dyDescent="0.25">
      <c r="A4803" s="461">
        <v>34388</v>
      </c>
      <c r="B4803" s="460" t="s">
        <v>12667</v>
      </c>
      <c r="C4803" s="461" t="s">
        <v>1106</v>
      </c>
      <c r="D4803" s="461">
        <v>223.73</v>
      </c>
      <c r="E4803" s="461" t="s">
        <v>161</v>
      </c>
      <c r="F4803" s="461" t="s">
        <v>8326</v>
      </c>
    </row>
    <row r="4804" spans="1:6" ht="15" x14ac:dyDescent="0.25">
      <c r="A4804" s="461">
        <v>34387</v>
      </c>
      <c r="B4804" s="460" t="s">
        <v>12668</v>
      </c>
      <c r="C4804" s="461" t="s">
        <v>1106</v>
      </c>
      <c r="D4804" s="511">
        <v>363.18</v>
      </c>
      <c r="E4804" s="461" t="s">
        <v>161</v>
      </c>
      <c r="F4804" s="461" t="s">
        <v>8326</v>
      </c>
    </row>
    <row r="4805" spans="1:6" ht="15" x14ac:dyDescent="0.25">
      <c r="A4805" s="461">
        <v>11188</v>
      </c>
      <c r="B4805" s="460" t="s">
        <v>12669</v>
      </c>
      <c r="C4805" s="461" t="s">
        <v>1106</v>
      </c>
      <c r="D4805" s="511">
        <v>179.9</v>
      </c>
      <c r="E4805" s="461" t="s">
        <v>161</v>
      </c>
      <c r="F4805" s="461" t="s">
        <v>8326</v>
      </c>
    </row>
    <row r="4806" spans="1:6" ht="15" x14ac:dyDescent="0.25">
      <c r="A4806" s="461">
        <v>11189</v>
      </c>
      <c r="B4806" s="460" t="s">
        <v>12670</v>
      </c>
      <c r="C4806" s="461" t="s">
        <v>1106</v>
      </c>
      <c r="D4806" s="511">
        <v>269.86</v>
      </c>
      <c r="E4806" s="461" t="s">
        <v>161</v>
      </c>
      <c r="F4806" s="461" t="s">
        <v>8326</v>
      </c>
    </row>
    <row r="4807" spans="1:6" ht="15" x14ac:dyDescent="0.25">
      <c r="A4807" s="461">
        <v>21107</v>
      </c>
      <c r="B4807" s="460" t="s">
        <v>12671</v>
      </c>
      <c r="C4807" s="461" t="s">
        <v>1106</v>
      </c>
      <c r="D4807" s="511">
        <v>194.2</v>
      </c>
      <c r="E4807" s="461" t="s">
        <v>161</v>
      </c>
      <c r="F4807" s="461" t="s">
        <v>8326</v>
      </c>
    </row>
    <row r="4808" spans="1:6" ht="15" x14ac:dyDescent="0.25">
      <c r="A4808" s="461">
        <v>34386</v>
      </c>
      <c r="B4808" s="460" t="s">
        <v>12672</v>
      </c>
      <c r="C4808" s="461" t="s">
        <v>1106</v>
      </c>
      <c r="D4808" s="511">
        <v>337.32</v>
      </c>
      <c r="E4808" s="461" t="s">
        <v>161</v>
      </c>
      <c r="F4808" s="461" t="s">
        <v>8326</v>
      </c>
    </row>
    <row r="4809" spans="1:6" ht="15" x14ac:dyDescent="0.25">
      <c r="A4809" s="461">
        <v>10490</v>
      </c>
      <c r="B4809" s="460" t="s">
        <v>12673</v>
      </c>
      <c r="C4809" s="461" t="s">
        <v>1106</v>
      </c>
      <c r="D4809" s="511">
        <v>118.06</v>
      </c>
      <c r="E4809" s="461" t="s">
        <v>161</v>
      </c>
      <c r="F4809" s="461" t="s">
        <v>8326</v>
      </c>
    </row>
    <row r="4810" spans="1:6" ht="15" x14ac:dyDescent="0.25">
      <c r="A4810" s="461">
        <v>10492</v>
      </c>
      <c r="B4810" s="460" t="s">
        <v>12674</v>
      </c>
      <c r="C4810" s="461" t="s">
        <v>1106</v>
      </c>
      <c r="D4810" s="511">
        <v>134.93</v>
      </c>
      <c r="E4810" s="461" t="s">
        <v>161</v>
      </c>
      <c r="F4810" s="461" t="s">
        <v>8333</v>
      </c>
    </row>
    <row r="4811" spans="1:6" ht="15" x14ac:dyDescent="0.25">
      <c r="A4811" s="461">
        <v>10493</v>
      </c>
      <c r="B4811" s="460" t="s">
        <v>12675</v>
      </c>
      <c r="C4811" s="461" t="s">
        <v>1106</v>
      </c>
      <c r="D4811" s="511">
        <v>157.41</v>
      </c>
      <c r="E4811" s="461" t="s">
        <v>161</v>
      </c>
      <c r="F4811" s="461" t="s">
        <v>8326</v>
      </c>
    </row>
    <row r="4812" spans="1:6" ht="15" x14ac:dyDescent="0.25">
      <c r="A4812" s="461">
        <v>10491</v>
      </c>
      <c r="B4812" s="460" t="s">
        <v>12676</v>
      </c>
      <c r="C4812" s="461" t="s">
        <v>1106</v>
      </c>
      <c r="D4812" s="511">
        <v>191.15</v>
      </c>
      <c r="E4812" s="461" t="s">
        <v>161</v>
      </c>
      <c r="F4812" s="461" t="s">
        <v>8326</v>
      </c>
    </row>
    <row r="4813" spans="1:6" ht="15" x14ac:dyDescent="0.25">
      <c r="A4813" s="461">
        <v>34385</v>
      </c>
      <c r="B4813" s="460" t="s">
        <v>12677</v>
      </c>
      <c r="C4813" s="461" t="s">
        <v>1106</v>
      </c>
      <c r="D4813" s="511">
        <v>278.85000000000002</v>
      </c>
      <c r="E4813" s="461" t="s">
        <v>161</v>
      </c>
      <c r="F4813" s="461" t="s">
        <v>8326</v>
      </c>
    </row>
    <row r="4814" spans="1:6" ht="15" x14ac:dyDescent="0.25">
      <c r="A4814" s="461">
        <v>10499</v>
      </c>
      <c r="B4814" s="460" t="s">
        <v>12678</v>
      </c>
      <c r="C4814" s="461" t="s">
        <v>1106</v>
      </c>
      <c r="D4814" s="511">
        <v>112.44</v>
      </c>
      <c r="E4814" s="461" t="s">
        <v>161</v>
      </c>
      <c r="F4814" s="461" t="s">
        <v>8326</v>
      </c>
    </row>
    <row r="4815" spans="1:6" ht="15" x14ac:dyDescent="0.25">
      <c r="A4815" s="461">
        <v>34384</v>
      </c>
      <c r="B4815" s="460" t="s">
        <v>12679</v>
      </c>
      <c r="C4815" s="461" t="s">
        <v>1106</v>
      </c>
      <c r="D4815" s="461">
        <v>337.32</v>
      </c>
      <c r="E4815" s="461" t="s">
        <v>161</v>
      </c>
      <c r="F4815" s="461" t="s">
        <v>8326</v>
      </c>
    </row>
    <row r="4816" spans="1:6" ht="15" x14ac:dyDescent="0.25">
      <c r="A4816" s="461">
        <v>11185</v>
      </c>
      <c r="B4816" s="460" t="s">
        <v>12680</v>
      </c>
      <c r="C4816" s="461" t="s">
        <v>1106</v>
      </c>
      <c r="D4816" s="511">
        <v>348.56</v>
      </c>
      <c r="E4816" s="461" t="s">
        <v>161</v>
      </c>
      <c r="F4816" s="461" t="s">
        <v>8326</v>
      </c>
    </row>
    <row r="4817" spans="1:6" ht="15" x14ac:dyDescent="0.25">
      <c r="A4817" s="461">
        <v>10507</v>
      </c>
      <c r="B4817" s="460" t="s">
        <v>12681</v>
      </c>
      <c r="C4817" s="461" t="s">
        <v>1106</v>
      </c>
      <c r="D4817" s="461">
        <v>298.57</v>
      </c>
      <c r="E4817" s="461" t="s">
        <v>161</v>
      </c>
      <c r="F4817" s="461" t="s">
        <v>8326</v>
      </c>
    </row>
    <row r="4818" spans="1:6" ht="15" x14ac:dyDescent="0.25">
      <c r="A4818" s="461">
        <v>10505</v>
      </c>
      <c r="B4818" s="460" t="s">
        <v>12682</v>
      </c>
      <c r="C4818" s="461" t="s">
        <v>1106</v>
      </c>
      <c r="D4818" s="461">
        <v>176.18</v>
      </c>
      <c r="E4818" s="461" t="s">
        <v>161</v>
      </c>
      <c r="F4818" s="461" t="s">
        <v>8326</v>
      </c>
    </row>
    <row r="4819" spans="1:6" ht="15" x14ac:dyDescent="0.25">
      <c r="A4819" s="461">
        <v>10506</v>
      </c>
      <c r="B4819" s="460" t="s">
        <v>12683</v>
      </c>
      <c r="C4819" s="461" t="s">
        <v>1106</v>
      </c>
      <c r="D4819" s="511">
        <v>229.99</v>
      </c>
      <c r="E4819" s="461" t="s">
        <v>161</v>
      </c>
      <c r="F4819" s="461" t="s">
        <v>8326</v>
      </c>
    </row>
    <row r="4820" spans="1:6" ht="30" x14ac:dyDescent="0.25">
      <c r="A4820" s="461">
        <v>5031</v>
      </c>
      <c r="B4820" s="460" t="s">
        <v>12684</v>
      </c>
      <c r="C4820" s="461" t="s">
        <v>1106</v>
      </c>
      <c r="D4820" s="511">
        <v>322.94</v>
      </c>
      <c r="E4820" s="461" t="s">
        <v>161</v>
      </c>
      <c r="F4820" s="461" t="s">
        <v>8333</v>
      </c>
    </row>
    <row r="4821" spans="1:6" ht="15" x14ac:dyDescent="0.25">
      <c r="A4821" s="461">
        <v>10502</v>
      </c>
      <c r="B4821" s="460" t="s">
        <v>12685</v>
      </c>
      <c r="C4821" s="461" t="s">
        <v>1106</v>
      </c>
      <c r="D4821" s="461">
        <v>376.3</v>
      </c>
      <c r="E4821" s="461" t="s">
        <v>161</v>
      </c>
      <c r="F4821" s="461" t="s">
        <v>8326</v>
      </c>
    </row>
    <row r="4822" spans="1:6" ht="15" x14ac:dyDescent="0.25">
      <c r="A4822" s="461">
        <v>10501</v>
      </c>
      <c r="B4822" s="460" t="s">
        <v>12686</v>
      </c>
      <c r="C4822" s="461" t="s">
        <v>1106</v>
      </c>
      <c r="D4822" s="461">
        <v>212.6</v>
      </c>
      <c r="E4822" s="461" t="s">
        <v>161</v>
      </c>
      <c r="F4822" s="461" t="s">
        <v>8326</v>
      </c>
    </row>
    <row r="4823" spans="1:6" ht="15" x14ac:dyDescent="0.25">
      <c r="A4823" s="461">
        <v>10503</v>
      </c>
      <c r="B4823" s="460" t="s">
        <v>12687</v>
      </c>
      <c r="C4823" s="461" t="s">
        <v>1106</v>
      </c>
      <c r="D4823" s="461">
        <v>287.22000000000003</v>
      </c>
      <c r="E4823" s="461" t="s">
        <v>161</v>
      </c>
      <c r="F4823" s="461" t="s">
        <v>8326</v>
      </c>
    </row>
    <row r="4824" spans="1:6" ht="15" x14ac:dyDescent="0.25">
      <c r="A4824" s="461">
        <v>4500</v>
      </c>
      <c r="B4824" s="460" t="s">
        <v>12688</v>
      </c>
      <c r="C4824" s="461" t="s">
        <v>1107</v>
      </c>
      <c r="D4824" s="461">
        <v>14.65</v>
      </c>
      <c r="E4824" s="461" t="s">
        <v>161</v>
      </c>
      <c r="F4824" s="461" t="s">
        <v>8326</v>
      </c>
    </row>
    <row r="4825" spans="1:6" ht="15" x14ac:dyDescent="0.25">
      <c r="A4825" s="461">
        <v>4448</v>
      </c>
      <c r="B4825" s="460" t="s">
        <v>12689</v>
      </c>
      <c r="C4825" s="461" t="s">
        <v>1107</v>
      </c>
      <c r="D4825" s="461">
        <v>20.12</v>
      </c>
      <c r="E4825" s="461" t="s">
        <v>161</v>
      </c>
      <c r="F4825" s="461" t="s">
        <v>8326</v>
      </c>
    </row>
    <row r="4826" spans="1:6" ht="30" x14ac:dyDescent="0.25">
      <c r="A4826" s="461">
        <v>20213</v>
      </c>
      <c r="B4826" s="460" t="s">
        <v>12690</v>
      </c>
      <c r="C4826" s="461" t="s">
        <v>1107</v>
      </c>
      <c r="D4826" s="461">
        <v>27.9</v>
      </c>
      <c r="E4826" s="461" t="s">
        <v>161</v>
      </c>
      <c r="F4826" s="461" t="s">
        <v>8326</v>
      </c>
    </row>
    <row r="4827" spans="1:6" ht="30" x14ac:dyDescent="0.25">
      <c r="A4827" s="461">
        <v>20211</v>
      </c>
      <c r="B4827" s="460" t="s">
        <v>12691</v>
      </c>
      <c r="C4827" s="461" t="s">
        <v>1107</v>
      </c>
      <c r="D4827" s="461">
        <v>36.950000000000003</v>
      </c>
      <c r="E4827" s="461" t="s">
        <v>161</v>
      </c>
      <c r="F4827" s="461" t="s">
        <v>8326</v>
      </c>
    </row>
    <row r="4828" spans="1:6" ht="30" x14ac:dyDescent="0.25">
      <c r="A4828" s="461">
        <v>40270</v>
      </c>
      <c r="B4828" s="460" t="s">
        <v>12692</v>
      </c>
      <c r="C4828" s="461" t="s">
        <v>1107</v>
      </c>
      <c r="D4828" s="461">
        <v>116.53</v>
      </c>
      <c r="E4828" s="461" t="s">
        <v>161</v>
      </c>
      <c r="F4828" s="461" t="s">
        <v>8328</v>
      </c>
    </row>
    <row r="4829" spans="1:6" ht="30" x14ac:dyDescent="0.25">
      <c r="A4829" s="461">
        <v>4425</v>
      </c>
      <c r="B4829" s="460" t="s">
        <v>12693</v>
      </c>
      <c r="C4829" s="461" t="s">
        <v>1107</v>
      </c>
      <c r="D4829" s="461">
        <v>30.54</v>
      </c>
      <c r="E4829" s="461" t="s">
        <v>161</v>
      </c>
      <c r="F4829" s="461" t="s">
        <v>8326</v>
      </c>
    </row>
    <row r="4830" spans="1:6" ht="30" x14ac:dyDescent="0.25">
      <c r="A4830" s="461">
        <v>4472</v>
      </c>
      <c r="B4830" s="460" t="s">
        <v>12694</v>
      </c>
      <c r="C4830" s="461" t="s">
        <v>1107</v>
      </c>
      <c r="D4830" s="461">
        <v>38.15</v>
      </c>
      <c r="E4830" s="461" t="s">
        <v>161</v>
      </c>
      <c r="F4830" s="461" t="s">
        <v>8326</v>
      </c>
    </row>
    <row r="4831" spans="1:6" ht="30" x14ac:dyDescent="0.25">
      <c r="A4831" s="461">
        <v>35272</v>
      </c>
      <c r="B4831" s="460" t="s">
        <v>12695</v>
      </c>
      <c r="C4831" s="461" t="s">
        <v>1107</v>
      </c>
      <c r="D4831" s="461">
        <v>55.15</v>
      </c>
      <c r="E4831" s="461" t="s">
        <v>161</v>
      </c>
      <c r="F4831" s="461" t="s">
        <v>8326</v>
      </c>
    </row>
    <row r="4832" spans="1:6" ht="30" x14ac:dyDescent="0.25">
      <c r="A4832" s="461">
        <v>4481</v>
      </c>
      <c r="B4832" s="460" t="s">
        <v>12696</v>
      </c>
      <c r="C4832" s="461" t="s">
        <v>1107</v>
      </c>
      <c r="D4832" s="461">
        <v>59.03</v>
      </c>
      <c r="E4832" s="461" t="s">
        <v>161</v>
      </c>
      <c r="F4832" s="461" t="s">
        <v>8326</v>
      </c>
    </row>
    <row r="4833" spans="1:7" ht="15" x14ac:dyDescent="0.25">
      <c r="A4833" s="461">
        <v>34345</v>
      </c>
      <c r="B4833" s="460" t="s">
        <v>12697</v>
      </c>
      <c r="C4833" s="461" t="s">
        <v>1103</v>
      </c>
      <c r="D4833" s="461">
        <v>15.38</v>
      </c>
      <c r="E4833" s="461" t="s">
        <v>4455</v>
      </c>
      <c r="F4833" s="461" t="s">
        <v>8326</v>
      </c>
    </row>
    <row r="4834" spans="1:7" ht="15" x14ac:dyDescent="0.25">
      <c r="A4834" s="461">
        <v>41096</v>
      </c>
      <c r="B4834" s="460" t="s">
        <v>12698</v>
      </c>
      <c r="C4834" s="461" t="s">
        <v>1110</v>
      </c>
      <c r="D4834" s="461">
        <v>2741.53</v>
      </c>
      <c r="E4834" s="461" t="s">
        <v>4455</v>
      </c>
      <c r="F4834" s="461" t="s">
        <v>8326</v>
      </c>
    </row>
    <row r="4835" spans="1:7" ht="15" x14ac:dyDescent="0.25">
      <c r="A4835" s="461" t="s">
        <v>156</v>
      </c>
      <c r="B4835" s="460"/>
      <c r="C4835" s="461"/>
      <c r="D4835" s="461"/>
      <c r="E4835" s="461"/>
      <c r="F4835" s="461"/>
    </row>
    <row r="4836" spans="1:7" ht="15" x14ac:dyDescent="0.25">
      <c r="A4836" s="461" t="s">
        <v>13522</v>
      </c>
      <c r="B4836" s="460"/>
      <c r="C4836" s="461"/>
      <c r="D4836" s="461"/>
      <c r="E4836" s="461"/>
      <c r="F4836" s="461"/>
    </row>
    <row r="4837" spans="1:7" ht="15" x14ac:dyDescent="0.25">
      <c r="A4837" s="461"/>
      <c r="B4837" s="460"/>
      <c r="C4837" s="461"/>
      <c r="D4837" s="461"/>
      <c r="E4837" s="461"/>
      <c r="F4837" s="461"/>
    </row>
    <row r="4838" spans="1:7" x14ac:dyDescent="0.2">
      <c r="D4838" s="203"/>
    </row>
    <row r="4839" spans="1:7" s="327" customFormat="1" ht="15.75" x14ac:dyDescent="0.2">
      <c r="A4839" s="590" t="s">
        <v>13523</v>
      </c>
      <c r="B4839" s="590"/>
      <c r="C4839" s="590"/>
      <c r="D4839" s="590"/>
      <c r="E4839" s="590"/>
    </row>
    <row r="4840" spans="1:7" s="327" customFormat="1" x14ac:dyDescent="0.2">
      <c r="A4840" s="545" t="s">
        <v>4574</v>
      </c>
      <c r="B4840" s="545" t="s">
        <v>4575</v>
      </c>
      <c r="C4840" s="545" t="s">
        <v>106</v>
      </c>
      <c r="D4840" s="546">
        <v>0.25490000000000002</v>
      </c>
      <c r="E4840" s="547" t="s">
        <v>161</v>
      </c>
      <c r="G4840" s="381"/>
    </row>
    <row r="4841" spans="1:7" s="327" customFormat="1" ht="25.5" x14ac:dyDescent="0.2">
      <c r="A4841" s="545" t="s">
        <v>4634</v>
      </c>
      <c r="B4841" s="545" t="s">
        <v>4636</v>
      </c>
      <c r="C4841" s="545" t="s">
        <v>166</v>
      </c>
      <c r="D4841" s="546">
        <v>34.036200000000001</v>
      </c>
      <c r="E4841" s="545" t="s">
        <v>1497</v>
      </c>
      <c r="G4841" s="381"/>
    </row>
    <row r="4842" spans="1:7" s="327" customFormat="1" x14ac:dyDescent="0.2">
      <c r="A4842" s="545" t="s">
        <v>4635</v>
      </c>
      <c r="B4842" s="545" t="s">
        <v>4637</v>
      </c>
      <c r="C4842" s="545" t="s">
        <v>166</v>
      </c>
      <c r="D4842" s="546">
        <v>254.28479999999999</v>
      </c>
      <c r="E4842" s="545" t="s">
        <v>1497</v>
      </c>
      <c r="G4842" s="381"/>
    </row>
    <row r="4843" spans="1:7" s="327" customFormat="1" x14ac:dyDescent="0.2">
      <c r="A4843" s="545" t="s">
        <v>4633</v>
      </c>
      <c r="B4843" s="545" t="s">
        <v>4637</v>
      </c>
      <c r="C4843" s="545" t="s">
        <v>4632</v>
      </c>
      <c r="D4843" s="546">
        <v>71.263599999999997</v>
      </c>
      <c r="E4843" s="545" t="s">
        <v>1497</v>
      </c>
      <c r="G4843" s="381"/>
    </row>
    <row r="4844" spans="1:7" s="327" customFormat="1" x14ac:dyDescent="0.2">
      <c r="A4844" s="324"/>
      <c r="B4844" s="324"/>
      <c r="C4844" s="324"/>
      <c r="D4844" s="325"/>
      <c r="E4844" s="324"/>
      <c r="G4844" s="381"/>
    </row>
    <row r="4845" spans="1:7" s="327" customFormat="1" x14ac:dyDescent="0.2">
      <c r="A4845" s="324"/>
      <c r="B4845" s="324"/>
      <c r="C4845" s="324"/>
      <c r="D4845" s="325"/>
      <c r="E4845" s="324"/>
      <c r="G4845" s="381"/>
    </row>
    <row r="4846" spans="1:7" s="327" customFormat="1" x14ac:dyDescent="0.2">
      <c r="A4846" s="324"/>
      <c r="B4846" s="324"/>
      <c r="C4846" s="324"/>
      <c r="D4846" s="325"/>
      <c r="E4846" s="324"/>
      <c r="G4846" s="381"/>
    </row>
    <row r="4847" spans="1:7" s="327" customFormat="1" x14ac:dyDescent="0.2">
      <c r="A4847" s="324"/>
      <c r="B4847" s="324"/>
      <c r="C4847" s="324"/>
      <c r="D4847" s="325"/>
      <c r="E4847" s="324"/>
      <c r="G4847" s="381"/>
    </row>
    <row r="4848" spans="1:7" s="327" customFormat="1" x14ac:dyDescent="0.2">
      <c r="A4848" s="324"/>
      <c r="B4848" s="324"/>
      <c r="C4848" s="324"/>
      <c r="D4848" s="325"/>
      <c r="E4848" s="324"/>
      <c r="G4848" s="381"/>
    </row>
    <row r="4849" spans="1:7" s="327" customFormat="1" x14ac:dyDescent="0.2">
      <c r="A4849" s="324"/>
      <c r="B4849" s="324"/>
      <c r="C4849" s="324"/>
      <c r="D4849" s="325"/>
      <c r="E4849" s="324"/>
      <c r="G4849" s="381"/>
    </row>
    <row r="4850" spans="1:7" s="327" customFormat="1" x14ac:dyDescent="0.2">
      <c r="A4850" s="324"/>
      <c r="B4850" s="324"/>
      <c r="C4850" s="324"/>
      <c r="D4850" s="325"/>
      <c r="E4850" s="324"/>
      <c r="G4850" s="381"/>
    </row>
    <row r="4851" spans="1:7" s="327" customFormat="1" x14ac:dyDescent="0.2">
      <c r="A4851" s="324"/>
      <c r="B4851" s="324"/>
      <c r="C4851" s="324"/>
      <c r="D4851" s="325"/>
      <c r="E4851" s="324"/>
      <c r="G4851" s="381"/>
    </row>
    <row r="4852" spans="1:7" s="327" customFormat="1" x14ac:dyDescent="0.2">
      <c r="A4852" s="324"/>
      <c r="B4852" s="324"/>
      <c r="C4852" s="324"/>
      <c r="D4852" s="325"/>
      <c r="E4852" s="324"/>
      <c r="G4852" s="381"/>
    </row>
    <row r="4853" spans="1:7" s="327" customFormat="1" x14ac:dyDescent="0.2">
      <c r="A4853" s="324"/>
      <c r="B4853" s="324"/>
      <c r="C4853" s="324"/>
      <c r="D4853" s="325"/>
      <c r="E4853" s="324"/>
      <c r="G4853" s="381"/>
    </row>
    <row r="4854" spans="1:7" s="327" customFormat="1" x14ac:dyDescent="0.2">
      <c r="A4854" s="324"/>
      <c r="B4854" s="324"/>
      <c r="C4854" s="324"/>
      <c r="D4854" s="325"/>
      <c r="E4854" s="324"/>
      <c r="G4854" s="381"/>
    </row>
    <row r="4855" spans="1:7" s="327" customFormat="1" x14ac:dyDescent="0.2">
      <c r="A4855" s="324"/>
      <c r="B4855" s="324"/>
      <c r="C4855" s="324"/>
      <c r="D4855" s="325"/>
      <c r="E4855" s="324"/>
      <c r="G4855" s="381"/>
    </row>
    <row r="4856" spans="1:7" s="327" customFormat="1" x14ac:dyDescent="0.2">
      <c r="A4856" s="324"/>
      <c r="B4856" s="324"/>
      <c r="C4856" s="324"/>
      <c r="D4856" s="325"/>
      <c r="E4856" s="324"/>
      <c r="G4856" s="381"/>
    </row>
    <row r="4857" spans="1:7" s="327" customFormat="1" x14ac:dyDescent="0.2">
      <c r="A4857" s="324"/>
      <c r="B4857" s="324"/>
      <c r="C4857" s="324"/>
      <c r="D4857" s="325"/>
      <c r="E4857" s="324"/>
      <c r="G4857" s="381"/>
    </row>
    <row r="4858" spans="1:7" s="327" customFormat="1" x14ac:dyDescent="0.2">
      <c r="A4858" s="324"/>
      <c r="B4858" s="324"/>
      <c r="C4858" s="324"/>
      <c r="D4858" s="325"/>
      <c r="E4858" s="324"/>
      <c r="G4858" s="381"/>
    </row>
    <row r="4859" spans="1:7" s="327" customFormat="1" x14ac:dyDescent="0.2">
      <c r="A4859" s="324"/>
      <c r="B4859" s="324"/>
      <c r="C4859" s="324"/>
      <c r="D4859" s="325"/>
      <c r="E4859" s="324"/>
      <c r="G4859" s="381"/>
    </row>
    <row r="4860" spans="1:7" s="327" customFormat="1" x14ac:dyDescent="0.2">
      <c r="A4860" s="324"/>
      <c r="B4860" s="324"/>
      <c r="C4860" s="324"/>
      <c r="D4860" s="325"/>
      <c r="E4860" s="324"/>
      <c r="G4860" s="381"/>
    </row>
    <row r="4861" spans="1:7" s="327" customFormat="1" x14ac:dyDescent="0.2">
      <c r="A4861" s="324"/>
      <c r="B4861" s="324"/>
      <c r="C4861" s="324"/>
      <c r="D4861" s="325"/>
      <c r="E4861" s="324"/>
    </row>
    <row r="4862" spans="1:7" s="327" customFormat="1" x14ac:dyDescent="0.2">
      <c r="A4862" s="324"/>
      <c r="B4862" s="324"/>
      <c r="C4862" s="324"/>
      <c r="D4862" s="325"/>
      <c r="E4862" s="324"/>
    </row>
    <row r="4863" spans="1:7" s="327" customFormat="1" x14ac:dyDescent="0.2">
      <c r="A4863" s="324"/>
      <c r="B4863" s="324"/>
      <c r="C4863" s="324"/>
      <c r="D4863" s="325"/>
      <c r="E4863" s="324"/>
    </row>
    <row r="4864" spans="1:7" s="327" customFormat="1" x14ac:dyDescent="0.2">
      <c r="A4864" s="324"/>
      <c r="B4864" s="324"/>
      <c r="C4864" s="324"/>
      <c r="D4864" s="325"/>
      <c r="E4864" s="324"/>
    </row>
    <row r="4865" spans="1:5" s="327" customFormat="1" x14ac:dyDescent="0.2">
      <c r="A4865" s="324"/>
      <c r="B4865" s="324"/>
      <c r="C4865" s="324"/>
      <c r="D4865" s="325"/>
      <c r="E4865" s="324"/>
    </row>
    <row r="4866" spans="1:5" s="327" customFormat="1" x14ac:dyDescent="0.2">
      <c r="A4866" s="324"/>
      <c r="B4866" s="324"/>
      <c r="C4866" s="324"/>
      <c r="D4866" s="325"/>
      <c r="E4866" s="324"/>
    </row>
    <row r="4867" spans="1:5" s="327" customFormat="1" x14ac:dyDescent="0.2">
      <c r="A4867" s="324"/>
      <c r="B4867" s="324"/>
      <c r="C4867" s="324"/>
      <c r="D4867" s="325"/>
      <c r="E4867" s="324"/>
    </row>
    <row r="4868" spans="1:5" s="327" customFormat="1" x14ac:dyDescent="0.2">
      <c r="A4868" s="324"/>
      <c r="B4868" s="324"/>
      <c r="C4868" s="324"/>
      <c r="D4868" s="325"/>
      <c r="E4868" s="324"/>
    </row>
    <row r="4869" spans="1:5" s="327" customFormat="1" x14ac:dyDescent="0.2">
      <c r="A4869" s="324"/>
      <c r="B4869" s="324"/>
      <c r="C4869" s="324"/>
      <c r="D4869" s="325"/>
      <c r="E4869" s="324"/>
    </row>
    <row r="4870" spans="1:5" s="327" customFormat="1" x14ac:dyDescent="0.2">
      <c r="A4870" s="324"/>
      <c r="B4870" s="324"/>
      <c r="C4870" s="324"/>
      <c r="D4870" s="325"/>
      <c r="E4870" s="324"/>
    </row>
    <row r="4871" spans="1:5" s="327" customFormat="1" x14ac:dyDescent="0.2">
      <c r="A4871" s="324"/>
      <c r="B4871" s="324"/>
      <c r="C4871" s="324"/>
      <c r="D4871" s="325"/>
      <c r="E4871" s="324"/>
    </row>
    <row r="4872" spans="1:5" s="327" customFormat="1" x14ac:dyDescent="0.2">
      <c r="A4872" s="324"/>
      <c r="B4872" s="324"/>
      <c r="C4872" s="324"/>
      <c r="D4872" s="325"/>
      <c r="E4872" s="324"/>
    </row>
    <row r="4873" spans="1:5" s="327" customFormat="1" x14ac:dyDescent="0.2">
      <c r="A4873" s="324"/>
      <c r="B4873" s="324"/>
      <c r="C4873" s="324"/>
      <c r="D4873" s="325"/>
      <c r="E4873" s="324"/>
    </row>
    <row r="4874" spans="1:5" s="327" customFormat="1" x14ac:dyDescent="0.2">
      <c r="A4874" s="324"/>
      <c r="B4874" s="324"/>
      <c r="C4874" s="324"/>
      <c r="D4874" s="325"/>
      <c r="E4874" s="324"/>
    </row>
    <row r="4875" spans="1:5" s="327" customFormat="1" x14ac:dyDescent="0.2">
      <c r="A4875" s="324"/>
      <c r="B4875" s="324"/>
      <c r="C4875" s="324"/>
      <c r="D4875" s="325"/>
      <c r="E4875" s="324"/>
    </row>
    <row r="4876" spans="1:5" s="327" customFormat="1" x14ac:dyDescent="0.2">
      <c r="A4876" s="324"/>
      <c r="B4876" s="324"/>
      <c r="C4876" s="324"/>
      <c r="D4876" s="325"/>
      <c r="E4876" s="324"/>
    </row>
    <row r="4877" spans="1:5" s="327" customFormat="1" x14ac:dyDescent="0.2">
      <c r="A4877" s="324"/>
      <c r="B4877" s="324"/>
      <c r="C4877" s="324"/>
      <c r="D4877" s="325"/>
      <c r="E4877" s="324"/>
    </row>
    <row r="4878" spans="1:5" s="327" customFormat="1" x14ac:dyDescent="0.2">
      <c r="A4878" s="324"/>
      <c r="B4878" s="324"/>
      <c r="C4878" s="324"/>
      <c r="D4878" s="325"/>
      <c r="E4878" s="324"/>
    </row>
    <row r="4879" spans="1:5" s="327" customFormat="1" x14ac:dyDescent="0.2">
      <c r="A4879" s="324"/>
      <c r="B4879" s="324"/>
      <c r="C4879" s="324"/>
      <c r="D4879" s="325"/>
      <c r="E4879" s="324"/>
    </row>
    <row r="4880" spans="1:5" s="327" customFormat="1" x14ac:dyDescent="0.2">
      <c r="A4880" s="324"/>
      <c r="B4880" s="324"/>
      <c r="C4880" s="324"/>
      <c r="D4880" s="325"/>
      <c r="E4880" s="324"/>
    </row>
    <row r="4881" spans="1:5" s="327" customFormat="1" x14ac:dyDescent="0.2">
      <c r="A4881" s="324"/>
      <c r="B4881" s="324"/>
      <c r="C4881" s="324"/>
      <c r="D4881" s="325"/>
      <c r="E4881" s="324"/>
    </row>
    <row r="4882" spans="1:5" s="327" customFormat="1" x14ac:dyDescent="0.2">
      <c r="A4882" s="324"/>
      <c r="B4882" s="324"/>
      <c r="C4882" s="324"/>
      <c r="D4882" s="325"/>
      <c r="E4882" s="324"/>
    </row>
    <row r="4883" spans="1:5" s="327" customFormat="1" x14ac:dyDescent="0.2">
      <c r="A4883" s="324"/>
      <c r="B4883" s="324"/>
      <c r="C4883" s="324"/>
      <c r="D4883" s="325"/>
      <c r="E4883" s="324"/>
    </row>
    <row r="4884" spans="1:5" s="327" customFormat="1" x14ac:dyDescent="0.2">
      <c r="A4884" s="324"/>
      <c r="B4884" s="324"/>
      <c r="C4884" s="324"/>
      <c r="D4884" s="325"/>
      <c r="E4884" s="324"/>
    </row>
    <row r="4885" spans="1:5" s="327" customFormat="1" x14ac:dyDescent="0.2">
      <c r="A4885" s="324"/>
      <c r="B4885" s="324"/>
      <c r="C4885" s="324"/>
      <c r="D4885" s="325"/>
      <c r="E4885" s="324"/>
    </row>
    <row r="4886" spans="1:5" s="327" customFormat="1" x14ac:dyDescent="0.2">
      <c r="A4886" s="324"/>
      <c r="B4886" s="324"/>
      <c r="C4886" s="324"/>
      <c r="D4886" s="325"/>
      <c r="E4886" s="324"/>
    </row>
    <row r="4887" spans="1:5" s="327" customFormat="1" x14ac:dyDescent="0.2">
      <c r="A4887" s="324"/>
      <c r="B4887" s="324"/>
      <c r="C4887" s="324"/>
      <c r="D4887" s="325"/>
      <c r="E4887" s="324"/>
    </row>
    <row r="4888" spans="1:5" s="327" customFormat="1" x14ac:dyDescent="0.2">
      <c r="A4888" s="324"/>
      <c r="B4888" s="324"/>
      <c r="C4888" s="324"/>
      <c r="D4888" s="325"/>
      <c r="E4888" s="324"/>
    </row>
    <row r="4889" spans="1:5" s="327" customFormat="1" x14ac:dyDescent="0.2">
      <c r="A4889" s="324"/>
      <c r="B4889" s="324"/>
      <c r="C4889" s="324"/>
      <c r="D4889" s="325"/>
      <c r="E4889" s="324"/>
    </row>
    <row r="4890" spans="1:5" s="327" customFormat="1" x14ac:dyDescent="0.2">
      <c r="A4890" s="324"/>
      <c r="B4890" s="324"/>
      <c r="C4890" s="324"/>
      <c r="D4890" s="325"/>
      <c r="E4890" s="324"/>
    </row>
    <row r="4891" spans="1:5" s="327" customFormat="1" x14ac:dyDescent="0.2">
      <c r="A4891" s="324"/>
      <c r="B4891" s="324"/>
      <c r="C4891" s="324"/>
      <c r="D4891" s="325"/>
      <c r="E4891" s="324"/>
    </row>
    <row r="4892" spans="1:5" s="327" customFormat="1" x14ac:dyDescent="0.2">
      <c r="A4892" s="324"/>
      <c r="B4892" s="324"/>
      <c r="C4892" s="324"/>
      <c r="D4892" s="325"/>
      <c r="E4892" s="324"/>
    </row>
    <row r="4893" spans="1:5" s="327" customFormat="1" x14ac:dyDescent="0.2">
      <c r="A4893" s="324"/>
      <c r="B4893" s="324"/>
      <c r="C4893" s="324"/>
      <c r="D4893" s="325"/>
      <c r="E4893" s="324"/>
    </row>
    <row r="4894" spans="1:5" s="327" customFormat="1" x14ac:dyDescent="0.2">
      <c r="A4894" s="324"/>
      <c r="B4894" s="324"/>
      <c r="C4894" s="324"/>
      <c r="D4894" s="325"/>
      <c r="E4894" s="324"/>
    </row>
    <row r="4895" spans="1:5" s="327" customFormat="1" x14ac:dyDescent="0.2">
      <c r="A4895" s="324"/>
      <c r="B4895" s="324"/>
      <c r="C4895" s="324"/>
      <c r="D4895" s="325"/>
      <c r="E4895" s="324"/>
    </row>
    <row r="4896" spans="1:5" s="327" customFormat="1" x14ac:dyDescent="0.2">
      <c r="A4896" s="324"/>
      <c r="B4896" s="324"/>
      <c r="C4896" s="324"/>
      <c r="D4896" s="325"/>
      <c r="E4896" s="324"/>
    </row>
    <row r="4897" spans="1:5" s="327" customFormat="1" x14ac:dyDescent="0.2">
      <c r="A4897" s="324"/>
      <c r="B4897" s="324"/>
      <c r="C4897" s="324"/>
      <c r="D4897" s="325"/>
      <c r="E4897" s="324"/>
    </row>
    <row r="4898" spans="1:5" s="327" customFormat="1" x14ac:dyDescent="0.2">
      <c r="A4898" s="324"/>
      <c r="B4898" s="324"/>
      <c r="C4898" s="324"/>
      <c r="D4898" s="325"/>
      <c r="E4898" s="324"/>
    </row>
    <row r="4899" spans="1:5" s="327" customFormat="1" x14ac:dyDescent="0.2">
      <c r="A4899" s="324"/>
      <c r="B4899" s="324"/>
      <c r="C4899" s="324"/>
      <c r="D4899" s="325"/>
      <c r="E4899" s="324"/>
    </row>
    <row r="4900" spans="1:5" s="327" customFormat="1" x14ac:dyDescent="0.2">
      <c r="A4900" s="324"/>
      <c r="B4900" s="324"/>
      <c r="C4900" s="324"/>
      <c r="D4900" s="325"/>
      <c r="E4900" s="324"/>
    </row>
    <row r="4901" spans="1:5" s="327" customFormat="1" x14ac:dyDescent="0.2">
      <c r="A4901" s="324"/>
      <c r="B4901" s="324"/>
      <c r="C4901" s="324"/>
      <c r="D4901" s="325"/>
      <c r="E4901" s="324"/>
    </row>
    <row r="4902" spans="1:5" s="327" customFormat="1" x14ac:dyDescent="0.2">
      <c r="A4902" s="324"/>
      <c r="B4902" s="324"/>
      <c r="C4902" s="324"/>
      <c r="D4902" s="325"/>
      <c r="E4902" s="324"/>
    </row>
    <row r="4903" spans="1:5" s="327" customFormat="1" x14ac:dyDescent="0.2">
      <c r="A4903" s="324"/>
      <c r="B4903" s="324"/>
      <c r="C4903" s="324"/>
      <c r="D4903" s="325"/>
      <c r="E4903" s="324"/>
    </row>
    <row r="4904" spans="1:5" s="327" customFormat="1" x14ac:dyDescent="0.2">
      <c r="A4904" s="324"/>
      <c r="B4904" s="324"/>
      <c r="C4904" s="324"/>
      <c r="D4904" s="325"/>
      <c r="E4904" s="324"/>
    </row>
    <row r="4905" spans="1:5" s="327" customFormat="1" x14ac:dyDescent="0.2">
      <c r="A4905" s="324"/>
      <c r="B4905" s="324"/>
      <c r="C4905" s="324"/>
      <c r="D4905" s="325"/>
      <c r="E4905" s="324"/>
    </row>
    <row r="4906" spans="1:5" s="327" customFormat="1" x14ac:dyDescent="0.2">
      <c r="A4906" s="324"/>
      <c r="B4906" s="324"/>
      <c r="C4906" s="324"/>
      <c r="D4906" s="325"/>
      <c r="E4906" s="324"/>
    </row>
    <row r="4907" spans="1:5" s="327" customFormat="1" x14ac:dyDescent="0.2">
      <c r="A4907" s="324"/>
      <c r="B4907" s="324"/>
      <c r="C4907" s="324"/>
      <c r="D4907" s="325"/>
      <c r="E4907" s="324"/>
    </row>
    <row r="4908" spans="1:5" s="327" customFormat="1" x14ac:dyDescent="0.2">
      <c r="A4908" s="324"/>
      <c r="B4908" s="324"/>
      <c r="C4908" s="324"/>
      <c r="D4908" s="325"/>
      <c r="E4908" s="324"/>
    </row>
    <row r="4909" spans="1:5" s="327" customFormat="1" x14ac:dyDescent="0.2">
      <c r="A4909" s="324"/>
      <c r="B4909" s="324"/>
      <c r="C4909" s="324"/>
      <c r="D4909" s="325"/>
      <c r="E4909" s="324"/>
    </row>
    <row r="4910" spans="1:5" s="327" customFormat="1" x14ac:dyDescent="0.2">
      <c r="A4910" s="324"/>
      <c r="B4910" s="324"/>
      <c r="C4910" s="324"/>
      <c r="D4910" s="325"/>
      <c r="E4910" s="324"/>
    </row>
    <row r="4911" spans="1:5" s="327" customFormat="1" x14ac:dyDescent="0.2">
      <c r="A4911" s="324"/>
      <c r="B4911" s="324"/>
      <c r="C4911" s="324"/>
      <c r="D4911" s="325"/>
      <c r="E4911" s="324"/>
    </row>
    <row r="4912" spans="1:5" s="327" customFormat="1" x14ac:dyDescent="0.2">
      <c r="A4912" s="324"/>
      <c r="B4912" s="324"/>
      <c r="C4912" s="324"/>
      <c r="D4912" s="325"/>
      <c r="E4912" s="324"/>
    </row>
    <row r="4913" spans="1:5" s="327" customFormat="1" x14ac:dyDescent="0.2">
      <c r="A4913" s="324"/>
      <c r="B4913" s="324"/>
      <c r="C4913" s="324"/>
      <c r="D4913" s="325"/>
      <c r="E4913" s="324"/>
    </row>
    <row r="4914" spans="1:5" s="327" customFormat="1" x14ac:dyDescent="0.2">
      <c r="A4914" s="324"/>
      <c r="B4914" s="324"/>
      <c r="C4914" s="324"/>
      <c r="D4914" s="325"/>
      <c r="E4914" s="324"/>
    </row>
    <row r="4915" spans="1:5" s="327" customFormat="1" x14ac:dyDescent="0.2">
      <c r="A4915" s="324"/>
      <c r="B4915" s="324"/>
      <c r="C4915" s="324"/>
      <c r="D4915" s="325"/>
      <c r="E4915" s="324"/>
    </row>
    <row r="4916" spans="1:5" s="327" customFormat="1" x14ac:dyDescent="0.2">
      <c r="A4916" s="324"/>
      <c r="B4916" s="324"/>
      <c r="C4916" s="324"/>
      <c r="D4916" s="325"/>
      <c r="E4916" s="324"/>
    </row>
    <row r="4917" spans="1:5" s="327" customFormat="1" x14ac:dyDescent="0.2">
      <c r="A4917" s="324"/>
      <c r="B4917" s="324"/>
      <c r="C4917" s="324"/>
      <c r="D4917" s="325"/>
      <c r="E4917" s="324"/>
    </row>
    <row r="4918" spans="1:5" s="327" customFormat="1" x14ac:dyDescent="0.2">
      <c r="A4918" s="324"/>
      <c r="B4918" s="324"/>
      <c r="C4918" s="324"/>
      <c r="D4918" s="325"/>
      <c r="E4918" s="324"/>
    </row>
    <row r="4919" spans="1:5" s="327" customFormat="1" x14ac:dyDescent="0.2">
      <c r="A4919" s="324"/>
      <c r="B4919" s="324"/>
      <c r="C4919" s="324"/>
      <c r="D4919" s="325"/>
      <c r="E4919" s="324"/>
    </row>
    <row r="4920" spans="1:5" s="327" customFormat="1" x14ac:dyDescent="0.2">
      <c r="A4920" s="324"/>
      <c r="B4920" s="324"/>
      <c r="C4920" s="324"/>
      <c r="D4920" s="325"/>
      <c r="E4920" s="324"/>
    </row>
    <row r="4921" spans="1:5" s="327" customFormat="1" x14ac:dyDescent="0.2">
      <c r="A4921" s="324"/>
      <c r="B4921" s="324"/>
      <c r="C4921" s="324"/>
      <c r="D4921" s="325"/>
      <c r="E4921" s="324"/>
    </row>
    <row r="4922" spans="1:5" s="327" customFormat="1" x14ac:dyDescent="0.2">
      <c r="A4922" s="324"/>
      <c r="B4922" s="324"/>
      <c r="C4922" s="324"/>
      <c r="D4922" s="325"/>
      <c r="E4922" s="324"/>
    </row>
    <row r="4923" spans="1:5" s="327" customFormat="1" x14ac:dyDescent="0.2">
      <c r="A4923" s="324"/>
      <c r="B4923" s="324"/>
      <c r="C4923" s="324"/>
      <c r="D4923" s="325"/>
      <c r="E4923" s="324"/>
    </row>
    <row r="4924" spans="1:5" s="327" customFormat="1" x14ac:dyDescent="0.2">
      <c r="A4924" s="324"/>
      <c r="B4924" s="324"/>
      <c r="C4924" s="324"/>
      <c r="D4924" s="325"/>
      <c r="E4924" s="324"/>
    </row>
    <row r="4925" spans="1:5" s="327" customFormat="1" x14ac:dyDescent="0.2">
      <c r="A4925" s="324"/>
      <c r="B4925" s="324"/>
      <c r="C4925" s="324"/>
      <c r="D4925" s="325"/>
      <c r="E4925" s="324"/>
    </row>
    <row r="4926" spans="1:5" s="327" customFormat="1" x14ac:dyDescent="0.2">
      <c r="A4926" s="324"/>
      <c r="B4926" s="324"/>
      <c r="C4926" s="324"/>
      <c r="D4926" s="325"/>
      <c r="E4926" s="324"/>
    </row>
    <row r="4927" spans="1:5" s="327" customFormat="1" x14ac:dyDescent="0.2">
      <c r="A4927" s="324"/>
      <c r="B4927" s="324"/>
      <c r="C4927" s="324"/>
      <c r="D4927" s="325"/>
      <c r="E4927" s="324"/>
    </row>
    <row r="4928" spans="1:5" s="327" customFormat="1" x14ac:dyDescent="0.2">
      <c r="A4928" s="324"/>
      <c r="B4928" s="324"/>
      <c r="C4928" s="324"/>
      <c r="D4928" s="325"/>
      <c r="E4928" s="324"/>
    </row>
    <row r="4929" spans="1:8" s="327" customFormat="1" x14ac:dyDescent="0.2">
      <c r="A4929" s="324"/>
      <c r="B4929" s="324"/>
      <c r="C4929" s="324"/>
      <c r="D4929" s="325"/>
      <c r="E4929" s="324"/>
    </row>
    <row r="4930" spans="1:8" s="327" customFormat="1" x14ac:dyDescent="0.2">
      <c r="A4930" s="324"/>
      <c r="B4930" s="324"/>
      <c r="C4930" s="324"/>
      <c r="D4930" s="325"/>
      <c r="E4930" s="324"/>
    </row>
    <row r="4931" spans="1:8" s="327" customFormat="1" x14ac:dyDescent="0.2">
      <c r="A4931" s="324"/>
      <c r="B4931" s="324"/>
      <c r="C4931" s="324"/>
      <c r="D4931" s="325"/>
      <c r="E4931" s="324"/>
    </row>
    <row r="4932" spans="1:8" s="327" customFormat="1" x14ac:dyDescent="0.2">
      <c r="A4932" s="324"/>
      <c r="B4932" s="324"/>
      <c r="C4932" s="324"/>
      <c r="D4932" s="325"/>
      <c r="E4932" s="324"/>
    </row>
    <row r="4933" spans="1:8" s="327" customFormat="1" x14ac:dyDescent="0.2">
      <c r="A4933" s="324"/>
      <c r="B4933" s="324"/>
      <c r="C4933" s="324"/>
      <c r="D4933" s="325"/>
      <c r="E4933" s="324"/>
    </row>
    <row r="4934" spans="1:8" s="327" customFormat="1" x14ac:dyDescent="0.2">
      <c r="A4934" s="324"/>
      <c r="B4934" s="324"/>
      <c r="C4934" s="324"/>
      <c r="D4934" s="325"/>
      <c r="E4934" s="324"/>
    </row>
    <row r="4935" spans="1:8" s="327" customFormat="1" x14ac:dyDescent="0.2">
      <c r="A4935" s="324"/>
      <c r="B4935" s="324"/>
      <c r="C4935" s="324"/>
      <c r="D4935" s="325"/>
      <c r="E4935" s="324"/>
    </row>
    <row r="4936" spans="1:8" s="327" customFormat="1" x14ac:dyDescent="0.2">
      <c r="A4936" s="324"/>
      <c r="B4936" s="324"/>
      <c r="C4936" s="324"/>
      <c r="D4936" s="325"/>
      <c r="E4936" s="324"/>
    </row>
    <row r="4937" spans="1:8" x14ac:dyDescent="0.2">
      <c r="A4937" s="324"/>
      <c r="B4937" s="324"/>
      <c r="C4937" s="324"/>
      <c r="D4937" s="325"/>
      <c r="E4937" s="324"/>
    </row>
    <row r="4938" spans="1:8" x14ac:dyDescent="0.2">
      <c r="A4938" s="202"/>
      <c r="D4938" s="352"/>
      <c r="E4938" s="202"/>
    </row>
    <row r="4939" spans="1:8" x14ac:dyDescent="0.2">
      <c r="A4939" s="202"/>
      <c r="D4939" s="203"/>
      <c r="E4939" s="202"/>
    </row>
    <row r="4940" spans="1:8" x14ac:dyDescent="0.2">
      <c r="A4940" s="202"/>
      <c r="D4940" s="203"/>
      <c r="E4940" s="202"/>
    </row>
    <row r="4941" spans="1:8" x14ac:dyDescent="0.2">
      <c r="A4941" s="202"/>
      <c r="B4941" s="202"/>
      <c r="C4941" s="202"/>
      <c r="D4941" s="203"/>
      <c r="E4941" s="202"/>
      <c r="F4941" s="101" t="str">
        <f>UPPER(B4941)</f>
        <v/>
      </c>
    </row>
    <row r="4942" spans="1:8" x14ac:dyDescent="0.2">
      <c r="A4942" s="202"/>
      <c r="B4942" s="202"/>
      <c r="C4942" s="202"/>
      <c r="D4942" s="203"/>
      <c r="E4942" s="202"/>
      <c r="F4942" s="101" t="str">
        <f>UPPER(B4942)</f>
        <v/>
      </c>
    </row>
    <row r="4943" spans="1:8" s="367" customFormat="1" x14ac:dyDescent="0.2">
      <c r="A4943" s="366"/>
      <c r="B4943" s="366"/>
      <c r="C4943" s="366"/>
      <c r="D4943" s="369"/>
      <c r="E4943" s="366"/>
      <c r="H4943" s="368"/>
    </row>
    <row r="4944" spans="1:8" x14ac:dyDescent="0.2">
      <c r="D4944" s="203"/>
    </row>
    <row r="4945" spans="4:5" x14ac:dyDescent="0.2">
      <c r="D4945" s="203"/>
      <c r="E4945" s="202"/>
    </row>
    <row r="4946" spans="4:5" x14ac:dyDescent="0.2">
      <c r="D4946" s="203"/>
      <c r="E4946" s="202"/>
    </row>
    <row r="4947" spans="4:5" x14ac:dyDescent="0.2">
      <c r="D4947" s="203"/>
      <c r="E4947" s="202"/>
    </row>
    <row r="4948" spans="4:5" x14ac:dyDescent="0.2">
      <c r="D4948" s="203"/>
      <c r="E4948" s="202"/>
    </row>
    <row r="4949" spans="4:5" x14ac:dyDescent="0.2">
      <c r="D4949" s="203"/>
      <c r="E4949" s="202"/>
    </row>
    <row r="4950" spans="4:5" x14ac:dyDescent="0.2">
      <c r="D4950" s="203"/>
      <c r="E4950" s="202"/>
    </row>
    <row r="4951" spans="4:5" x14ac:dyDescent="0.2">
      <c r="D4951" s="203"/>
    </row>
    <row r="4952" spans="4:5" x14ac:dyDescent="0.2">
      <c r="D4952" s="203"/>
    </row>
    <row r="4953" spans="4:5" x14ac:dyDescent="0.2">
      <c r="D4953" s="203"/>
    </row>
    <row r="4954" spans="4:5" x14ac:dyDescent="0.2">
      <c r="D4954" s="203"/>
    </row>
    <row r="4955" spans="4:5" x14ac:dyDescent="0.2">
      <c r="D4955" s="203"/>
    </row>
    <row r="4956" spans="4:5" x14ac:dyDescent="0.2">
      <c r="D4956" s="203"/>
    </row>
    <row r="4957" spans="4:5" x14ac:dyDescent="0.2">
      <c r="D4957" s="203"/>
    </row>
    <row r="4958" spans="4:5" x14ac:dyDescent="0.2">
      <c r="D4958" s="203"/>
    </row>
    <row r="4959" spans="4:5" x14ac:dyDescent="0.2">
      <c r="D4959" s="203"/>
    </row>
    <row r="4960" spans="4:5" x14ac:dyDescent="0.2">
      <c r="D4960" s="203"/>
    </row>
    <row r="4961" spans="1:4" x14ac:dyDescent="0.2">
      <c r="D4961" s="203"/>
    </row>
    <row r="4962" spans="1:4" x14ac:dyDescent="0.2">
      <c r="D4962" s="203"/>
    </row>
    <row r="4963" spans="1:4" x14ac:dyDescent="0.2">
      <c r="D4963" s="203"/>
    </row>
    <row r="4964" spans="1:4" x14ac:dyDescent="0.2">
      <c r="B4964" s="202" t="s">
        <v>2158</v>
      </c>
      <c r="D4964" s="203"/>
    </row>
    <row r="4965" spans="1:4" x14ac:dyDescent="0.2">
      <c r="D4965" s="203"/>
    </row>
    <row r="4966" spans="1:4" x14ac:dyDescent="0.2">
      <c r="A4966" s="204"/>
      <c r="D4966" s="203"/>
    </row>
  </sheetData>
  <autoFilter ref="A7:F4837" xr:uid="{00000000-0009-0000-0000-000006000000}"/>
  <mergeCells count="1">
    <mergeCell ref="A4839:E4839"/>
  </mergeCells>
  <pageMargins left="0.78740157499999996" right="0.78740157499999996" top="0.984251969" bottom="0.984251969"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C1:M49"/>
  <sheetViews>
    <sheetView showGridLines="0" tabSelected="1" view="pageBreakPreview" topLeftCell="A18" zoomScale="115" zoomScaleNormal="100" zoomScaleSheetLayoutView="115" workbookViewId="0">
      <selection activeCell="J9" sqref="J9"/>
    </sheetView>
  </sheetViews>
  <sheetFormatPr defaultRowHeight="15" x14ac:dyDescent="0.25"/>
  <cols>
    <col min="1" max="1" width="3.5703125" customWidth="1"/>
    <col min="2" max="2" width="1.42578125" customWidth="1"/>
    <col min="3" max="3" width="2.7109375" customWidth="1"/>
    <col min="4" max="4" width="20.140625" customWidth="1"/>
    <col min="5" max="5" width="50.140625" style="200" customWidth="1"/>
    <col min="6" max="6" width="23.42578125" customWidth="1"/>
    <col min="7" max="7" width="2.7109375" customWidth="1"/>
    <col min="8" max="8" width="1.42578125" customWidth="1"/>
    <col min="9" max="9" width="20.7109375" bestFit="1" customWidth="1"/>
    <col min="10" max="10" width="17.140625" bestFit="1" customWidth="1"/>
    <col min="11" max="13" width="15.85546875" bestFit="1" customWidth="1"/>
    <col min="259" max="259" width="2.7109375" customWidth="1"/>
    <col min="260" max="260" width="20.140625" customWidth="1"/>
    <col min="261" max="261" width="50.140625" customWidth="1"/>
    <col min="262" max="262" width="23.42578125" customWidth="1"/>
    <col min="263" max="264" width="2.7109375" customWidth="1"/>
    <col min="265" max="265" width="15.28515625" bestFit="1" customWidth="1"/>
    <col min="267" max="267" width="11.28515625" bestFit="1" customWidth="1"/>
    <col min="515" max="515" width="2.7109375" customWidth="1"/>
    <col min="516" max="516" width="20.140625" customWidth="1"/>
    <col min="517" max="517" width="50.140625" customWidth="1"/>
    <col min="518" max="518" width="23.42578125" customWidth="1"/>
    <col min="519" max="520" width="2.7109375" customWidth="1"/>
    <col min="521" max="521" width="15.28515625" bestFit="1" customWidth="1"/>
    <col min="523" max="523" width="11.28515625" bestFit="1" customWidth="1"/>
    <col min="771" max="771" width="2.7109375" customWidth="1"/>
    <col min="772" max="772" width="20.140625" customWidth="1"/>
    <col min="773" max="773" width="50.140625" customWidth="1"/>
    <col min="774" max="774" width="23.42578125" customWidth="1"/>
    <col min="775" max="776" width="2.7109375" customWidth="1"/>
    <col min="777" max="777" width="15.28515625" bestFit="1" customWidth="1"/>
    <col min="779" max="779" width="11.28515625" bestFit="1" customWidth="1"/>
    <col min="1027" max="1027" width="2.7109375" customWidth="1"/>
    <col min="1028" max="1028" width="20.140625" customWidth="1"/>
    <col min="1029" max="1029" width="50.140625" customWidth="1"/>
    <col min="1030" max="1030" width="23.42578125" customWidth="1"/>
    <col min="1031" max="1032" width="2.7109375" customWidth="1"/>
    <col min="1033" max="1033" width="15.28515625" bestFit="1" customWidth="1"/>
    <col min="1035" max="1035" width="11.28515625" bestFit="1" customWidth="1"/>
    <col min="1283" max="1283" width="2.7109375" customWidth="1"/>
    <col min="1284" max="1284" width="20.140625" customWidth="1"/>
    <col min="1285" max="1285" width="50.140625" customWidth="1"/>
    <col min="1286" max="1286" width="23.42578125" customWidth="1"/>
    <col min="1287" max="1288" width="2.7109375" customWidth="1"/>
    <col min="1289" max="1289" width="15.28515625" bestFit="1" customWidth="1"/>
    <col min="1291" max="1291" width="11.28515625" bestFit="1" customWidth="1"/>
    <col min="1539" max="1539" width="2.7109375" customWidth="1"/>
    <col min="1540" max="1540" width="20.140625" customWidth="1"/>
    <col min="1541" max="1541" width="50.140625" customWidth="1"/>
    <col min="1542" max="1542" width="23.42578125" customWidth="1"/>
    <col min="1543" max="1544" width="2.7109375" customWidth="1"/>
    <col min="1545" max="1545" width="15.28515625" bestFit="1" customWidth="1"/>
    <col min="1547" max="1547" width="11.28515625" bestFit="1" customWidth="1"/>
    <col min="1795" max="1795" width="2.7109375" customWidth="1"/>
    <col min="1796" max="1796" width="20.140625" customWidth="1"/>
    <col min="1797" max="1797" width="50.140625" customWidth="1"/>
    <col min="1798" max="1798" width="23.42578125" customWidth="1"/>
    <col min="1799" max="1800" width="2.7109375" customWidth="1"/>
    <col min="1801" max="1801" width="15.28515625" bestFit="1" customWidth="1"/>
    <col min="1803" max="1803" width="11.28515625" bestFit="1" customWidth="1"/>
    <col min="2051" max="2051" width="2.7109375" customWidth="1"/>
    <col min="2052" max="2052" width="20.140625" customWidth="1"/>
    <col min="2053" max="2053" width="50.140625" customWidth="1"/>
    <col min="2054" max="2054" width="23.42578125" customWidth="1"/>
    <col min="2055" max="2056" width="2.7109375" customWidth="1"/>
    <col min="2057" max="2057" width="15.28515625" bestFit="1" customWidth="1"/>
    <col min="2059" max="2059" width="11.28515625" bestFit="1" customWidth="1"/>
    <col min="2307" max="2307" width="2.7109375" customWidth="1"/>
    <col min="2308" max="2308" width="20.140625" customWidth="1"/>
    <col min="2309" max="2309" width="50.140625" customWidth="1"/>
    <col min="2310" max="2310" width="23.42578125" customWidth="1"/>
    <col min="2311" max="2312" width="2.7109375" customWidth="1"/>
    <col min="2313" max="2313" width="15.28515625" bestFit="1" customWidth="1"/>
    <col min="2315" max="2315" width="11.28515625" bestFit="1" customWidth="1"/>
    <col min="2563" max="2563" width="2.7109375" customWidth="1"/>
    <col min="2564" max="2564" width="20.140625" customWidth="1"/>
    <col min="2565" max="2565" width="50.140625" customWidth="1"/>
    <col min="2566" max="2566" width="23.42578125" customWidth="1"/>
    <col min="2567" max="2568" width="2.7109375" customWidth="1"/>
    <col min="2569" max="2569" width="15.28515625" bestFit="1" customWidth="1"/>
    <col min="2571" max="2571" width="11.28515625" bestFit="1" customWidth="1"/>
    <col min="2819" max="2819" width="2.7109375" customWidth="1"/>
    <col min="2820" max="2820" width="20.140625" customWidth="1"/>
    <col min="2821" max="2821" width="50.140625" customWidth="1"/>
    <col min="2822" max="2822" width="23.42578125" customWidth="1"/>
    <col min="2823" max="2824" width="2.7109375" customWidth="1"/>
    <col min="2825" max="2825" width="15.28515625" bestFit="1" customWidth="1"/>
    <col min="2827" max="2827" width="11.28515625" bestFit="1" customWidth="1"/>
    <col min="3075" max="3075" width="2.7109375" customWidth="1"/>
    <col min="3076" max="3076" width="20.140625" customWidth="1"/>
    <col min="3077" max="3077" width="50.140625" customWidth="1"/>
    <col min="3078" max="3078" width="23.42578125" customWidth="1"/>
    <col min="3079" max="3080" width="2.7109375" customWidth="1"/>
    <col min="3081" max="3081" width="15.28515625" bestFit="1" customWidth="1"/>
    <col min="3083" max="3083" width="11.28515625" bestFit="1" customWidth="1"/>
    <col min="3331" max="3331" width="2.7109375" customWidth="1"/>
    <col min="3332" max="3332" width="20.140625" customWidth="1"/>
    <col min="3333" max="3333" width="50.140625" customWidth="1"/>
    <col min="3334" max="3334" width="23.42578125" customWidth="1"/>
    <col min="3335" max="3336" width="2.7109375" customWidth="1"/>
    <col min="3337" max="3337" width="15.28515625" bestFit="1" customWidth="1"/>
    <col min="3339" max="3339" width="11.28515625" bestFit="1" customWidth="1"/>
    <col min="3587" max="3587" width="2.7109375" customWidth="1"/>
    <col min="3588" max="3588" width="20.140625" customWidth="1"/>
    <col min="3589" max="3589" width="50.140625" customWidth="1"/>
    <col min="3590" max="3590" width="23.42578125" customWidth="1"/>
    <col min="3591" max="3592" width="2.7109375" customWidth="1"/>
    <col min="3593" max="3593" width="15.28515625" bestFit="1" customWidth="1"/>
    <col min="3595" max="3595" width="11.28515625" bestFit="1" customWidth="1"/>
    <col min="3843" max="3843" width="2.7109375" customWidth="1"/>
    <col min="3844" max="3844" width="20.140625" customWidth="1"/>
    <col min="3845" max="3845" width="50.140625" customWidth="1"/>
    <col min="3846" max="3846" width="23.42578125" customWidth="1"/>
    <col min="3847" max="3848" width="2.7109375" customWidth="1"/>
    <col min="3849" max="3849" width="15.28515625" bestFit="1" customWidth="1"/>
    <col min="3851" max="3851" width="11.28515625" bestFit="1" customWidth="1"/>
    <col min="4099" max="4099" width="2.7109375" customWidth="1"/>
    <col min="4100" max="4100" width="20.140625" customWidth="1"/>
    <col min="4101" max="4101" width="50.140625" customWidth="1"/>
    <col min="4102" max="4102" width="23.42578125" customWidth="1"/>
    <col min="4103" max="4104" width="2.7109375" customWidth="1"/>
    <col min="4105" max="4105" width="15.28515625" bestFit="1" customWidth="1"/>
    <col min="4107" max="4107" width="11.28515625" bestFit="1" customWidth="1"/>
    <col min="4355" max="4355" width="2.7109375" customWidth="1"/>
    <col min="4356" max="4356" width="20.140625" customWidth="1"/>
    <col min="4357" max="4357" width="50.140625" customWidth="1"/>
    <col min="4358" max="4358" width="23.42578125" customWidth="1"/>
    <col min="4359" max="4360" width="2.7109375" customWidth="1"/>
    <col min="4361" max="4361" width="15.28515625" bestFit="1" customWidth="1"/>
    <col min="4363" max="4363" width="11.28515625" bestFit="1" customWidth="1"/>
    <col min="4611" max="4611" width="2.7109375" customWidth="1"/>
    <col min="4612" max="4612" width="20.140625" customWidth="1"/>
    <col min="4613" max="4613" width="50.140625" customWidth="1"/>
    <col min="4614" max="4614" width="23.42578125" customWidth="1"/>
    <col min="4615" max="4616" width="2.7109375" customWidth="1"/>
    <col min="4617" max="4617" width="15.28515625" bestFit="1" customWidth="1"/>
    <col min="4619" max="4619" width="11.28515625" bestFit="1" customWidth="1"/>
    <col min="4867" max="4867" width="2.7109375" customWidth="1"/>
    <col min="4868" max="4868" width="20.140625" customWidth="1"/>
    <col min="4869" max="4869" width="50.140625" customWidth="1"/>
    <col min="4870" max="4870" width="23.42578125" customWidth="1"/>
    <col min="4871" max="4872" width="2.7109375" customWidth="1"/>
    <col min="4873" max="4873" width="15.28515625" bestFit="1" customWidth="1"/>
    <col min="4875" max="4875" width="11.28515625" bestFit="1" customWidth="1"/>
    <col min="5123" max="5123" width="2.7109375" customWidth="1"/>
    <col min="5124" max="5124" width="20.140625" customWidth="1"/>
    <col min="5125" max="5125" width="50.140625" customWidth="1"/>
    <col min="5126" max="5126" width="23.42578125" customWidth="1"/>
    <col min="5127" max="5128" width="2.7109375" customWidth="1"/>
    <col min="5129" max="5129" width="15.28515625" bestFit="1" customWidth="1"/>
    <col min="5131" max="5131" width="11.28515625" bestFit="1" customWidth="1"/>
    <col min="5379" max="5379" width="2.7109375" customWidth="1"/>
    <col min="5380" max="5380" width="20.140625" customWidth="1"/>
    <col min="5381" max="5381" width="50.140625" customWidth="1"/>
    <col min="5382" max="5382" width="23.42578125" customWidth="1"/>
    <col min="5383" max="5384" width="2.7109375" customWidth="1"/>
    <col min="5385" max="5385" width="15.28515625" bestFit="1" customWidth="1"/>
    <col min="5387" max="5387" width="11.28515625" bestFit="1" customWidth="1"/>
    <col min="5635" max="5635" width="2.7109375" customWidth="1"/>
    <col min="5636" max="5636" width="20.140625" customWidth="1"/>
    <col min="5637" max="5637" width="50.140625" customWidth="1"/>
    <col min="5638" max="5638" width="23.42578125" customWidth="1"/>
    <col min="5639" max="5640" width="2.7109375" customWidth="1"/>
    <col min="5641" max="5641" width="15.28515625" bestFit="1" customWidth="1"/>
    <col min="5643" max="5643" width="11.28515625" bestFit="1" customWidth="1"/>
    <col min="5891" max="5891" width="2.7109375" customWidth="1"/>
    <col min="5892" max="5892" width="20.140625" customWidth="1"/>
    <col min="5893" max="5893" width="50.140625" customWidth="1"/>
    <col min="5894" max="5894" width="23.42578125" customWidth="1"/>
    <col min="5895" max="5896" width="2.7109375" customWidth="1"/>
    <col min="5897" max="5897" width="15.28515625" bestFit="1" customWidth="1"/>
    <col min="5899" max="5899" width="11.28515625" bestFit="1" customWidth="1"/>
    <col min="6147" max="6147" width="2.7109375" customWidth="1"/>
    <col min="6148" max="6148" width="20.140625" customWidth="1"/>
    <col min="6149" max="6149" width="50.140625" customWidth="1"/>
    <col min="6150" max="6150" width="23.42578125" customWidth="1"/>
    <col min="6151" max="6152" width="2.7109375" customWidth="1"/>
    <col min="6153" max="6153" width="15.28515625" bestFit="1" customWidth="1"/>
    <col min="6155" max="6155" width="11.28515625" bestFit="1" customWidth="1"/>
    <col min="6403" max="6403" width="2.7109375" customWidth="1"/>
    <col min="6404" max="6404" width="20.140625" customWidth="1"/>
    <col min="6405" max="6405" width="50.140625" customWidth="1"/>
    <col min="6406" max="6406" width="23.42578125" customWidth="1"/>
    <col min="6407" max="6408" width="2.7109375" customWidth="1"/>
    <col min="6409" max="6409" width="15.28515625" bestFit="1" customWidth="1"/>
    <col min="6411" max="6411" width="11.28515625" bestFit="1" customWidth="1"/>
    <col min="6659" max="6659" width="2.7109375" customWidth="1"/>
    <col min="6660" max="6660" width="20.140625" customWidth="1"/>
    <col min="6661" max="6661" width="50.140625" customWidth="1"/>
    <col min="6662" max="6662" width="23.42578125" customWidth="1"/>
    <col min="6663" max="6664" width="2.7109375" customWidth="1"/>
    <col min="6665" max="6665" width="15.28515625" bestFit="1" customWidth="1"/>
    <col min="6667" max="6667" width="11.28515625" bestFit="1" customWidth="1"/>
    <col min="6915" max="6915" width="2.7109375" customWidth="1"/>
    <col min="6916" max="6916" width="20.140625" customWidth="1"/>
    <col min="6917" max="6917" width="50.140625" customWidth="1"/>
    <col min="6918" max="6918" width="23.42578125" customWidth="1"/>
    <col min="6919" max="6920" width="2.7109375" customWidth="1"/>
    <col min="6921" max="6921" width="15.28515625" bestFit="1" customWidth="1"/>
    <col min="6923" max="6923" width="11.28515625" bestFit="1" customWidth="1"/>
    <col min="7171" max="7171" width="2.7109375" customWidth="1"/>
    <col min="7172" max="7172" width="20.140625" customWidth="1"/>
    <col min="7173" max="7173" width="50.140625" customWidth="1"/>
    <col min="7174" max="7174" width="23.42578125" customWidth="1"/>
    <col min="7175" max="7176" width="2.7109375" customWidth="1"/>
    <col min="7177" max="7177" width="15.28515625" bestFit="1" customWidth="1"/>
    <col min="7179" max="7179" width="11.28515625" bestFit="1" customWidth="1"/>
    <col min="7427" max="7427" width="2.7109375" customWidth="1"/>
    <col min="7428" max="7428" width="20.140625" customWidth="1"/>
    <col min="7429" max="7429" width="50.140625" customWidth="1"/>
    <col min="7430" max="7430" width="23.42578125" customWidth="1"/>
    <col min="7431" max="7432" width="2.7109375" customWidth="1"/>
    <col min="7433" max="7433" width="15.28515625" bestFit="1" customWidth="1"/>
    <col min="7435" max="7435" width="11.28515625" bestFit="1" customWidth="1"/>
    <col min="7683" max="7683" width="2.7109375" customWidth="1"/>
    <col min="7684" max="7684" width="20.140625" customWidth="1"/>
    <col min="7685" max="7685" width="50.140625" customWidth="1"/>
    <col min="7686" max="7686" width="23.42578125" customWidth="1"/>
    <col min="7687" max="7688" width="2.7109375" customWidth="1"/>
    <col min="7689" max="7689" width="15.28515625" bestFit="1" customWidth="1"/>
    <col min="7691" max="7691" width="11.28515625" bestFit="1" customWidth="1"/>
    <col min="7939" max="7939" width="2.7109375" customWidth="1"/>
    <col min="7940" max="7940" width="20.140625" customWidth="1"/>
    <col min="7941" max="7941" width="50.140625" customWidth="1"/>
    <col min="7942" max="7942" width="23.42578125" customWidth="1"/>
    <col min="7943" max="7944" width="2.7109375" customWidth="1"/>
    <col min="7945" max="7945" width="15.28515625" bestFit="1" customWidth="1"/>
    <col min="7947" max="7947" width="11.28515625" bestFit="1" customWidth="1"/>
    <col min="8195" max="8195" width="2.7109375" customWidth="1"/>
    <col min="8196" max="8196" width="20.140625" customWidth="1"/>
    <col min="8197" max="8197" width="50.140625" customWidth="1"/>
    <col min="8198" max="8198" width="23.42578125" customWidth="1"/>
    <col min="8199" max="8200" width="2.7109375" customWidth="1"/>
    <col min="8201" max="8201" width="15.28515625" bestFit="1" customWidth="1"/>
    <col min="8203" max="8203" width="11.28515625" bestFit="1" customWidth="1"/>
    <col min="8451" max="8451" width="2.7109375" customWidth="1"/>
    <col min="8452" max="8452" width="20.140625" customWidth="1"/>
    <col min="8453" max="8453" width="50.140625" customWidth="1"/>
    <col min="8454" max="8454" width="23.42578125" customWidth="1"/>
    <col min="8455" max="8456" width="2.7109375" customWidth="1"/>
    <col min="8457" max="8457" width="15.28515625" bestFit="1" customWidth="1"/>
    <col min="8459" max="8459" width="11.28515625" bestFit="1" customWidth="1"/>
    <col min="8707" max="8707" width="2.7109375" customWidth="1"/>
    <col min="8708" max="8708" width="20.140625" customWidth="1"/>
    <col min="8709" max="8709" width="50.140625" customWidth="1"/>
    <col min="8710" max="8710" width="23.42578125" customWidth="1"/>
    <col min="8711" max="8712" width="2.7109375" customWidth="1"/>
    <col min="8713" max="8713" width="15.28515625" bestFit="1" customWidth="1"/>
    <col min="8715" max="8715" width="11.28515625" bestFit="1" customWidth="1"/>
    <col min="8963" max="8963" width="2.7109375" customWidth="1"/>
    <col min="8964" max="8964" width="20.140625" customWidth="1"/>
    <col min="8965" max="8965" width="50.140625" customWidth="1"/>
    <col min="8966" max="8966" width="23.42578125" customWidth="1"/>
    <col min="8967" max="8968" width="2.7109375" customWidth="1"/>
    <col min="8969" max="8969" width="15.28515625" bestFit="1" customWidth="1"/>
    <col min="8971" max="8971" width="11.28515625" bestFit="1" customWidth="1"/>
    <col min="9219" max="9219" width="2.7109375" customWidth="1"/>
    <col min="9220" max="9220" width="20.140625" customWidth="1"/>
    <col min="9221" max="9221" width="50.140625" customWidth="1"/>
    <col min="9222" max="9222" width="23.42578125" customWidth="1"/>
    <col min="9223" max="9224" width="2.7109375" customWidth="1"/>
    <col min="9225" max="9225" width="15.28515625" bestFit="1" customWidth="1"/>
    <col min="9227" max="9227" width="11.28515625" bestFit="1" customWidth="1"/>
    <col min="9475" max="9475" width="2.7109375" customWidth="1"/>
    <col min="9476" max="9476" width="20.140625" customWidth="1"/>
    <col min="9477" max="9477" width="50.140625" customWidth="1"/>
    <col min="9478" max="9478" width="23.42578125" customWidth="1"/>
    <col min="9479" max="9480" width="2.7109375" customWidth="1"/>
    <col min="9481" max="9481" width="15.28515625" bestFit="1" customWidth="1"/>
    <col min="9483" max="9483" width="11.28515625" bestFit="1" customWidth="1"/>
    <col min="9731" max="9731" width="2.7109375" customWidth="1"/>
    <col min="9732" max="9732" width="20.140625" customWidth="1"/>
    <col min="9733" max="9733" width="50.140625" customWidth="1"/>
    <col min="9734" max="9734" width="23.42578125" customWidth="1"/>
    <col min="9735" max="9736" width="2.7109375" customWidth="1"/>
    <col min="9737" max="9737" width="15.28515625" bestFit="1" customWidth="1"/>
    <col min="9739" max="9739" width="11.28515625" bestFit="1" customWidth="1"/>
    <col min="9987" max="9987" width="2.7109375" customWidth="1"/>
    <col min="9988" max="9988" width="20.140625" customWidth="1"/>
    <col min="9989" max="9989" width="50.140625" customWidth="1"/>
    <col min="9990" max="9990" width="23.42578125" customWidth="1"/>
    <col min="9991" max="9992" width="2.7109375" customWidth="1"/>
    <col min="9993" max="9993" width="15.28515625" bestFit="1" customWidth="1"/>
    <col min="9995" max="9995" width="11.28515625" bestFit="1" customWidth="1"/>
    <col min="10243" max="10243" width="2.7109375" customWidth="1"/>
    <col min="10244" max="10244" width="20.140625" customWidth="1"/>
    <col min="10245" max="10245" width="50.140625" customWidth="1"/>
    <col min="10246" max="10246" width="23.42578125" customWidth="1"/>
    <col min="10247" max="10248" width="2.7109375" customWidth="1"/>
    <col min="10249" max="10249" width="15.28515625" bestFit="1" customWidth="1"/>
    <col min="10251" max="10251" width="11.28515625" bestFit="1" customWidth="1"/>
    <col min="10499" max="10499" width="2.7109375" customWidth="1"/>
    <col min="10500" max="10500" width="20.140625" customWidth="1"/>
    <col min="10501" max="10501" width="50.140625" customWidth="1"/>
    <col min="10502" max="10502" width="23.42578125" customWidth="1"/>
    <col min="10503" max="10504" width="2.7109375" customWidth="1"/>
    <col min="10505" max="10505" width="15.28515625" bestFit="1" customWidth="1"/>
    <col min="10507" max="10507" width="11.28515625" bestFit="1" customWidth="1"/>
    <col min="10755" max="10755" width="2.7109375" customWidth="1"/>
    <col min="10756" max="10756" width="20.140625" customWidth="1"/>
    <col min="10757" max="10757" width="50.140625" customWidth="1"/>
    <col min="10758" max="10758" width="23.42578125" customWidth="1"/>
    <col min="10759" max="10760" width="2.7109375" customWidth="1"/>
    <col min="10761" max="10761" width="15.28515625" bestFit="1" customWidth="1"/>
    <col min="10763" max="10763" width="11.28515625" bestFit="1" customWidth="1"/>
    <col min="11011" max="11011" width="2.7109375" customWidth="1"/>
    <col min="11012" max="11012" width="20.140625" customWidth="1"/>
    <col min="11013" max="11013" width="50.140625" customWidth="1"/>
    <col min="11014" max="11014" width="23.42578125" customWidth="1"/>
    <col min="11015" max="11016" width="2.7109375" customWidth="1"/>
    <col min="11017" max="11017" width="15.28515625" bestFit="1" customWidth="1"/>
    <col min="11019" max="11019" width="11.28515625" bestFit="1" customWidth="1"/>
    <col min="11267" max="11267" width="2.7109375" customWidth="1"/>
    <col min="11268" max="11268" width="20.140625" customWidth="1"/>
    <col min="11269" max="11269" width="50.140625" customWidth="1"/>
    <col min="11270" max="11270" width="23.42578125" customWidth="1"/>
    <col min="11271" max="11272" width="2.7109375" customWidth="1"/>
    <col min="11273" max="11273" width="15.28515625" bestFit="1" customWidth="1"/>
    <col min="11275" max="11275" width="11.28515625" bestFit="1" customWidth="1"/>
    <col min="11523" max="11523" width="2.7109375" customWidth="1"/>
    <col min="11524" max="11524" width="20.140625" customWidth="1"/>
    <col min="11525" max="11525" width="50.140625" customWidth="1"/>
    <col min="11526" max="11526" width="23.42578125" customWidth="1"/>
    <col min="11527" max="11528" width="2.7109375" customWidth="1"/>
    <col min="11529" max="11529" width="15.28515625" bestFit="1" customWidth="1"/>
    <col min="11531" max="11531" width="11.28515625" bestFit="1" customWidth="1"/>
    <col min="11779" max="11779" width="2.7109375" customWidth="1"/>
    <col min="11780" max="11780" width="20.140625" customWidth="1"/>
    <col min="11781" max="11781" width="50.140625" customWidth="1"/>
    <col min="11782" max="11782" width="23.42578125" customWidth="1"/>
    <col min="11783" max="11784" width="2.7109375" customWidth="1"/>
    <col min="11785" max="11785" width="15.28515625" bestFit="1" customWidth="1"/>
    <col min="11787" max="11787" width="11.28515625" bestFit="1" customWidth="1"/>
    <col min="12035" max="12035" width="2.7109375" customWidth="1"/>
    <col min="12036" max="12036" width="20.140625" customWidth="1"/>
    <col min="12037" max="12037" width="50.140625" customWidth="1"/>
    <col min="12038" max="12038" width="23.42578125" customWidth="1"/>
    <col min="12039" max="12040" width="2.7109375" customWidth="1"/>
    <col min="12041" max="12041" width="15.28515625" bestFit="1" customWidth="1"/>
    <col min="12043" max="12043" width="11.28515625" bestFit="1" customWidth="1"/>
    <col min="12291" max="12291" width="2.7109375" customWidth="1"/>
    <col min="12292" max="12292" width="20.140625" customWidth="1"/>
    <col min="12293" max="12293" width="50.140625" customWidth="1"/>
    <col min="12294" max="12294" width="23.42578125" customWidth="1"/>
    <col min="12295" max="12296" width="2.7109375" customWidth="1"/>
    <col min="12297" max="12297" width="15.28515625" bestFit="1" customWidth="1"/>
    <col min="12299" max="12299" width="11.28515625" bestFit="1" customWidth="1"/>
    <col min="12547" max="12547" width="2.7109375" customWidth="1"/>
    <col min="12548" max="12548" width="20.140625" customWidth="1"/>
    <col min="12549" max="12549" width="50.140625" customWidth="1"/>
    <col min="12550" max="12550" width="23.42578125" customWidth="1"/>
    <col min="12551" max="12552" width="2.7109375" customWidth="1"/>
    <col min="12553" max="12553" width="15.28515625" bestFit="1" customWidth="1"/>
    <col min="12555" max="12555" width="11.28515625" bestFit="1" customWidth="1"/>
    <col min="12803" max="12803" width="2.7109375" customWidth="1"/>
    <col min="12804" max="12804" width="20.140625" customWidth="1"/>
    <col min="12805" max="12805" width="50.140625" customWidth="1"/>
    <col min="12806" max="12806" width="23.42578125" customWidth="1"/>
    <col min="12807" max="12808" width="2.7109375" customWidth="1"/>
    <col min="12809" max="12809" width="15.28515625" bestFit="1" customWidth="1"/>
    <col min="12811" max="12811" width="11.28515625" bestFit="1" customWidth="1"/>
    <col min="13059" max="13059" width="2.7109375" customWidth="1"/>
    <col min="13060" max="13060" width="20.140625" customWidth="1"/>
    <col min="13061" max="13061" width="50.140625" customWidth="1"/>
    <col min="13062" max="13062" width="23.42578125" customWidth="1"/>
    <col min="13063" max="13064" width="2.7109375" customWidth="1"/>
    <col min="13065" max="13065" width="15.28515625" bestFit="1" customWidth="1"/>
    <col min="13067" max="13067" width="11.28515625" bestFit="1" customWidth="1"/>
    <col min="13315" max="13315" width="2.7109375" customWidth="1"/>
    <col min="13316" max="13316" width="20.140625" customWidth="1"/>
    <col min="13317" max="13317" width="50.140625" customWidth="1"/>
    <col min="13318" max="13318" width="23.42578125" customWidth="1"/>
    <col min="13319" max="13320" width="2.7109375" customWidth="1"/>
    <col min="13321" max="13321" width="15.28515625" bestFit="1" customWidth="1"/>
    <col min="13323" max="13323" width="11.28515625" bestFit="1" customWidth="1"/>
    <col min="13571" max="13571" width="2.7109375" customWidth="1"/>
    <col min="13572" max="13572" width="20.140625" customWidth="1"/>
    <col min="13573" max="13573" width="50.140625" customWidth="1"/>
    <col min="13574" max="13574" width="23.42578125" customWidth="1"/>
    <col min="13575" max="13576" width="2.7109375" customWidth="1"/>
    <col min="13577" max="13577" width="15.28515625" bestFit="1" customWidth="1"/>
    <col min="13579" max="13579" width="11.28515625" bestFit="1" customWidth="1"/>
    <col min="13827" max="13827" width="2.7109375" customWidth="1"/>
    <col min="13828" max="13828" width="20.140625" customWidth="1"/>
    <col min="13829" max="13829" width="50.140625" customWidth="1"/>
    <col min="13830" max="13830" width="23.42578125" customWidth="1"/>
    <col min="13831" max="13832" width="2.7109375" customWidth="1"/>
    <col min="13833" max="13833" width="15.28515625" bestFit="1" customWidth="1"/>
    <col min="13835" max="13835" width="11.28515625" bestFit="1" customWidth="1"/>
    <col min="14083" max="14083" width="2.7109375" customWidth="1"/>
    <col min="14084" max="14084" width="20.140625" customWidth="1"/>
    <col min="14085" max="14085" width="50.140625" customWidth="1"/>
    <col min="14086" max="14086" width="23.42578125" customWidth="1"/>
    <col min="14087" max="14088" width="2.7109375" customWidth="1"/>
    <col min="14089" max="14089" width="15.28515625" bestFit="1" customWidth="1"/>
    <col min="14091" max="14091" width="11.28515625" bestFit="1" customWidth="1"/>
    <col min="14339" max="14339" width="2.7109375" customWidth="1"/>
    <col min="14340" max="14340" width="20.140625" customWidth="1"/>
    <col min="14341" max="14341" width="50.140625" customWidth="1"/>
    <col min="14342" max="14342" width="23.42578125" customWidth="1"/>
    <col min="14343" max="14344" width="2.7109375" customWidth="1"/>
    <col min="14345" max="14345" width="15.28515625" bestFit="1" customWidth="1"/>
    <col min="14347" max="14347" width="11.28515625" bestFit="1" customWidth="1"/>
    <col min="14595" max="14595" width="2.7109375" customWidth="1"/>
    <col min="14596" max="14596" width="20.140625" customWidth="1"/>
    <col min="14597" max="14597" width="50.140625" customWidth="1"/>
    <col min="14598" max="14598" width="23.42578125" customWidth="1"/>
    <col min="14599" max="14600" width="2.7109375" customWidth="1"/>
    <col min="14601" max="14601" width="15.28515625" bestFit="1" customWidth="1"/>
    <col min="14603" max="14603" width="11.28515625" bestFit="1" customWidth="1"/>
    <col min="14851" max="14851" width="2.7109375" customWidth="1"/>
    <col min="14852" max="14852" width="20.140625" customWidth="1"/>
    <col min="14853" max="14853" width="50.140625" customWidth="1"/>
    <col min="14854" max="14854" width="23.42578125" customWidth="1"/>
    <col min="14855" max="14856" width="2.7109375" customWidth="1"/>
    <col min="14857" max="14857" width="15.28515625" bestFit="1" customWidth="1"/>
    <col min="14859" max="14859" width="11.28515625" bestFit="1" customWidth="1"/>
    <col min="15107" max="15107" width="2.7109375" customWidth="1"/>
    <col min="15108" max="15108" width="20.140625" customWidth="1"/>
    <col min="15109" max="15109" width="50.140625" customWidth="1"/>
    <col min="15110" max="15110" width="23.42578125" customWidth="1"/>
    <col min="15111" max="15112" width="2.7109375" customWidth="1"/>
    <col min="15113" max="15113" width="15.28515625" bestFit="1" customWidth="1"/>
    <col min="15115" max="15115" width="11.28515625" bestFit="1" customWidth="1"/>
    <col min="15363" max="15363" width="2.7109375" customWidth="1"/>
    <col min="15364" max="15364" width="20.140625" customWidth="1"/>
    <col min="15365" max="15365" width="50.140625" customWidth="1"/>
    <col min="15366" max="15366" width="23.42578125" customWidth="1"/>
    <col min="15367" max="15368" width="2.7109375" customWidth="1"/>
    <col min="15369" max="15369" width="15.28515625" bestFit="1" customWidth="1"/>
    <col min="15371" max="15371" width="11.28515625" bestFit="1" customWidth="1"/>
    <col min="15619" max="15619" width="2.7109375" customWidth="1"/>
    <col min="15620" max="15620" width="20.140625" customWidth="1"/>
    <col min="15621" max="15621" width="50.140625" customWidth="1"/>
    <col min="15622" max="15622" width="23.42578125" customWidth="1"/>
    <col min="15623" max="15624" width="2.7109375" customWidth="1"/>
    <col min="15625" max="15625" width="15.28515625" bestFit="1" customWidth="1"/>
    <col min="15627" max="15627" width="11.28515625" bestFit="1" customWidth="1"/>
    <col min="15875" max="15875" width="2.7109375" customWidth="1"/>
    <col min="15876" max="15876" width="20.140625" customWidth="1"/>
    <col min="15877" max="15877" width="50.140625" customWidth="1"/>
    <col min="15878" max="15878" width="23.42578125" customWidth="1"/>
    <col min="15879" max="15880" width="2.7109375" customWidth="1"/>
    <col min="15881" max="15881" width="15.28515625" bestFit="1" customWidth="1"/>
    <col min="15883" max="15883" width="11.28515625" bestFit="1" customWidth="1"/>
    <col min="16131" max="16131" width="2.7109375" customWidth="1"/>
    <col min="16132" max="16132" width="20.140625" customWidth="1"/>
    <col min="16133" max="16133" width="50.140625" customWidth="1"/>
    <col min="16134" max="16134" width="23.42578125" customWidth="1"/>
    <col min="16135" max="16136" width="2.7109375" customWidth="1"/>
    <col min="16137" max="16137" width="15.28515625" bestFit="1" customWidth="1"/>
    <col min="16139" max="16139" width="11.28515625" bestFit="1" customWidth="1"/>
  </cols>
  <sheetData>
    <row r="1" spans="3:8" ht="85.5" hidden="1" customHeight="1" x14ac:dyDescent="0.25">
      <c r="C1" s="609" t="s">
        <v>14</v>
      </c>
      <c r="D1" s="610"/>
      <c r="E1" s="610"/>
      <c r="F1" s="610"/>
      <c r="G1" s="610"/>
      <c r="H1" s="610"/>
    </row>
    <row r="2" spans="3:8" ht="14.25" customHeight="1" x14ac:dyDescent="0.25"/>
    <row r="3" spans="3:8" ht="13.5" customHeight="1" x14ac:dyDescent="0.25">
      <c r="C3" s="3"/>
      <c r="D3" s="4"/>
      <c r="E3" s="310"/>
      <c r="F3" s="4"/>
      <c r="G3" s="5"/>
    </row>
    <row r="4" spans="3:8" ht="9.75" customHeight="1" x14ac:dyDescent="0.25">
      <c r="C4" s="6"/>
      <c r="D4" s="3"/>
      <c r="E4" s="310"/>
      <c r="F4" s="5"/>
      <c r="G4" s="7"/>
    </row>
    <row r="5" spans="3:8" ht="9" customHeight="1" x14ac:dyDescent="0.25">
      <c r="C5" s="6"/>
      <c r="D5" s="6"/>
      <c r="E5" s="709"/>
      <c r="F5" s="7"/>
      <c r="G5" s="7"/>
    </row>
    <row r="6" spans="3:8" x14ac:dyDescent="0.25">
      <c r="C6" s="6"/>
      <c r="D6" s="6"/>
      <c r="E6" s="709"/>
      <c r="F6" s="7"/>
      <c r="G6" s="7"/>
    </row>
    <row r="7" spans="3:8" x14ac:dyDescent="0.25">
      <c r="C7" s="6"/>
      <c r="D7" s="6"/>
      <c r="E7" s="709"/>
      <c r="F7" s="7"/>
      <c r="G7" s="7"/>
    </row>
    <row r="8" spans="3:8" ht="15.75" x14ac:dyDescent="0.25">
      <c r="C8" s="6"/>
      <c r="D8" s="611" t="s">
        <v>1151</v>
      </c>
      <c r="E8" s="710"/>
      <c r="F8" s="612"/>
      <c r="G8" s="7"/>
    </row>
    <row r="9" spans="3:8" ht="15.75" x14ac:dyDescent="0.25">
      <c r="C9" s="6"/>
      <c r="D9" s="613" t="s">
        <v>1152</v>
      </c>
      <c r="E9" s="711"/>
      <c r="F9" s="614"/>
      <c r="G9" s="7"/>
    </row>
    <row r="10" spans="3:8" ht="15.75" x14ac:dyDescent="0.25">
      <c r="C10" s="6"/>
      <c r="D10" s="611" t="s">
        <v>1153</v>
      </c>
      <c r="E10" s="710"/>
      <c r="F10" s="612"/>
      <c r="G10" s="7"/>
    </row>
    <row r="11" spans="3:8" ht="19.5" x14ac:dyDescent="0.3">
      <c r="C11" s="6"/>
      <c r="D11" s="615" t="s">
        <v>15</v>
      </c>
      <c r="E11" s="712"/>
      <c r="F11" s="616"/>
      <c r="G11" s="8"/>
    </row>
    <row r="12" spans="3:8" ht="8.25" customHeight="1" x14ac:dyDescent="0.3">
      <c r="C12" s="6"/>
      <c r="D12" s="617"/>
      <c r="E12" s="618"/>
      <c r="F12" s="619"/>
      <c r="G12" s="8"/>
    </row>
    <row r="13" spans="3:8" ht="6" customHeight="1" x14ac:dyDescent="0.25">
      <c r="C13" s="6"/>
      <c r="D13" s="713"/>
      <c r="E13" s="714"/>
      <c r="F13" s="713"/>
      <c r="G13" s="7"/>
    </row>
    <row r="14" spans="3:8" s="11" customFormat="1" ht="12.75" x14ac:dyDescent="0.2">
      <c r="C14" s="9"/>
      <c r="D14" s="80" t="s">
        <v>29</v>
      </c>
      <c r="E14" s="620" t="s">
        <v>12768</v>
      </c>
      <c r="F14" s="621"/>
      <c r="G14" s="10"/>
    </row>
    <row r="15" spans="3:8" s="11" customFormat="1" ht="12.75" x14ac:dyDescent="0.2">
      <c r="C15" s="9"/>
      <c r="D15" s="81" t="s">
        <v>13</v>
      </c>
      <c r="E15" s="715" t="s">
        <v>4265</v>
      </c>
      <c r="F15" s="623"/>
      <c r="G15" s="10"/>
    </row>
    <row r="16" spans="3:8" s="11" customFormat="1" ht="12.75" x14ac:dyDescent="0.2">
      <c r="C16" s="9"/>
      <c r="D16" s="12" t="s">
        <v>16</v>
      </c>
      <c r="E16" s="716" t="s">
        <v>4266</v>
      </c>
      <c r="F16" s="608"/>
      <c r="G16" s="10"/>
    </row>
    <row r="17" spans="3:12" s="11" customFormat="1" x14ac:dyDescent="0.25">
      <c r="C17" s="9"/>
      <c r="D17" s="12" t="s">
        <v>17</v>
      </c>
      <c r="E17" s="716" t="s">
        <v>4267</v>
      </c>
      <c r="F17" s="624"/>
      <c r="G17" s="10"/>
    </row>
    <row r="18" spans="3:12" s="11" customFormat="1" ht="13.5" customHeight="1" x14ac:dyDescent="0.2">
      <c r="C18" s="9"/>
      <c r="D18" s="12" t="s">
        <v>18</v>
      </c>
      <c r="E18" s="715" t="s">
        <v>4268</v>
      </c>
      <c r="F18" s="623"/>
      <c r="G18" s="13"/>
    </row>
    <row r="19" spans="3:12" s="11" customFormat="1" ht="16.5" customHeight="1" x14ac:dyDescent="0.2">
      <c r="C19" s="9"/>
      <c r="D19" s="12" t="s">
        <v>19</v>
      </c>
      <c r="E19" s="716" t="s">
        <v>4641</v>
      </c>
      <c r="F19" s="608"/>
      <c r="G19" s="14"/>
    </row>
    <row r="20" spans="3:12" s="11" customFormat="1" ht="12.75" x14ac:dyDescent="0.2">
      <c r="C20" s="9"/>
      <c r="D20" s="12" t="s">
        <v>20</v>
      </c>
      <c r="E20" s="717">
        <v>45478</v>
      </c>
      <c r="F20" s="141"/>
      <c r="G20" s="14"/>
    </row>
    <row r="21" spans="3:12" s="11" customFormat="1" x14ac:dyDescent="0.2">
      <c r="C21" s="9"/>
      <c r="D21" s="12" t="s">
        <v>21</v>
      </c>
      <c r="E21" s="718" t="s">
        <v>13528</v>
      </c>
      <c r="F21" s="591"/>
      <c r="G21" s="14"/>
    </row>
    <row r="22" spans="3:12" s="11" customFormat="1" x14ac:dyDescent="0.2">
      <c r="C22" s="9"/>
      <c r="D22" s="12"/>
      <c r="E22" s="718" t="s">
        <v>13529</v>
      </c>
      <c r="F22" s="591"/>
      <c r="G22" s="14"/>
    </row>
    <row r="23" spans="3:12" s="11" customFormat="1" ht="14.25" customHeight="1" x14ac:dyDescent="0.2">
      <c r="C23" s="9"/>
      <c r="D23" s="12" t="s">
        <v>22</v>
      </c>
      <c r="E23" s="719" t="s">
        <v>12769</v>
      </c>
      <c r="F23" s="593"/>
      <c r="G23" s="14"/>
    </row>
    <row r="24" spans="3:12" s="11" customFormat="1" ht="12.75" x14ac:dyDescent="0.2">
      <c r="C24" s="9"/>
      <c r="D24" s="12" t="s">
        <v>23</v>
      </c>
      <c r="E24" s="719" t="s">
        <v>13525</v>
      </c>
      <c r="F24" s="593"/>
      <c r="G24" s="14"/>
    </row>
    <row r="25" spans="3:12" s="11" customFormat="1" ht="12.75" x14ac:dyDescent="0.2">
      <c r="C25" s="9"/>
      <c r="D25" s="12" t="s">
        <v>24</v>
      </c>
      <c r="E25" s="720" t="s">
        <v>4269</v>
      </c>
      <c r="F25" s="595"/>
      <c r="G25" s="14"/>
    </row>
    <row r="26" spans="3:12" s="11" customFormat="1" ht="58.5" customHeight="1" x14ac:dyDescent="0.2">
      <c r="C26" s="9"/>
      <c r="D26" s="132" t="s">
        <v>25</v>
      </c>
      <c r="E26" s="721" t="s">
        <v>13527</v>
      </c>
      <c r="F26" s="598"/>
      <c r="G26" s="14"/>
    </row>
    <row r="27" spans="3:12" s="11" customFormat="1" ht="12.75" x14ac:dyDescent="0.2">
      <c r="C27" s="9"/>
      <c r="D27" s="132" t="s">
        <v>1510</v>
      </c>
      <c r="E27" s="722" t="s">
        <v>12737</v>
      </c>
      <c r="F27" s="133"/>
      <c r="G27" s="14"/>
    </row>
    <row r="28" spans="3:12" s="11" customFormat="1" ht="21.75" customHeight="1" x14ac:dyDescent="0.2">
      <c r="C28" s="9"/>
      <c r="D28" s="82" t="s">
        <v>26</v>
      </c>
      <c r="E28" s="599" t="s">
        <v>12739</v>
      </c>
      <c r="F28" s="600"/>
      <c r="G28" s="14"/>
    </row>
    <row r="29" spans="3:12" s="11" customFormat="1" ht="6" customHeight="1" x14ac:dyDescent="0.2">
      <c r="C29" s="9"/>
      <c r="D29" s="723"/>
      <c r="E29" s="724"/>
      <c r="F29" s="725"/>
      <c r="G29" s="14"/>
    </row>
    <row r="30" spans="3:12" s="17" customFormat="1" ht="19.5" customHeight="1" x14ac:dyDescent="0.25">
      <c r="C30" s="15"/>
      <c r="D30" s="601" t="s">
        <v>93</v>
      </c>
      <c r="E30" s="602"/>
      <c r="F30" s="603"/>
      <c r="G30" s="16"/>
    </row>
    <row r="31" spans="3:12" s="11" customFormat="1" ht="26.25" customHeight="1" x14ac:dyDescent="0.25">
      <c r="C31" s="9"/>
      <c r="D31" s="604" t="s">
        <v>4642</v>
      </c>
      <c r="E31" s="726"/>
      <c r="F31" s="58">
        <f>'014.01-22-ORÇAMENTO'!J236</f>
        <v>1900956.793017834</v>
      </c>
      <c r="G31" s="14"/>
      <c r="I31" s="328"/>
      <c r="K31" s="59"/>
    </row>
    <row r="32" spans="3:12" s="17" customFormat="1" ht="26.25" customHeight="1" x14ac:dyDescent="0.25">
      <c r="C32" s="15"/>
      <c r="D32" s="605" t="s">
        <v>1511</v>
      </c>
      <c r="E32" s="606"/>
      <c r="F32" s="18">
        <f>SUM(F31:F31)</f>
        <v>1900956.793017834</v>
      </c>
      <c r="G32" s="16"/>
      <c r="I32" s="542"/>
      <c r="J32" s="543"/>
      <c r="K32" s="370"/>
      <c r="L32" s="11"/>
    </row>
    <row r="33" spans="3:13" s="11" customFormat="1" ht="6" customHeight="1" x14ac:dyDescent="0.2">
      <c r="C33" s="9"/>
      <c r="D33" s="727"/>
      <c r="E33" s="725"/>
      <c r="F33" s="19"/>
      <c r="G33" s="14"/>
    </row>
    <row r="34" spans="3:13" s="11" customFormat="1" ht="69.75" customHeight="1" x14ac:dyDescent="0.2">
      <c r="C34" s="9"/>
      <c r="D34" s="20" t="s">
        <v>27</v>
      </c>
      <c r="E34" s="596" t="s">
        <v>28</v>
      </c>
      <c r="F34" s="597"/>
      <c r="G34" s="14"/>
      <c r="K34" s="97"/>
      <c r="L34" s="97"/>
      <c r="M34" s="97"/>
    </row>
    <row r="35" spans="3:13" s="11" customFormat="1" ht="9" customHeight="1" x14ac:dyDescent="0.2">
      <c r="C35" s="21"/>
      <c r="D35" s="22"/>
      <c r="E35" s="311"/>
      <c r="F35" s="22"/>
      <c r="G35" s="23"/>
      <c r="K35" s="98"/>
      <c r="L35" s="97"/>
      <c r="M35" s="97"/>
    </row>
    <row r="36" spans="3:13" x14ac:dyDescent="0.25">
      <c r="K36" s="99"/>
      <c r="L36" s="97"/>
      <c r="M36" s="100"/>
    </row>
    <row r="37" spans="3:13" ht="60" customHeight="1" x14ac:dyDescent="0.25">
      <c r="D37" s="592" t="s">
        <v>13530</v>
      </c>
      <c r="E37" s="592"/>
      <c r="F37" s="592"/>
      <c r="G37" s="592"/>
      <c r="K37" s="99"/>
      <c r="L37" s="97"/>
      <c r="M37" s="100"/>
    </row>
    <row r="38" spans="3:13" ht="60" customHeight="1" x14ac:dyDescent="0.25">
      <c r="D38" s="592" t="s">
        <v>13531</v>
      </c>
      <c r="E38" s="592"/>
      <c r="F38" s="592"/>
      <c r="G38" s="592"/>
      <c r="K38" s="99"/>
      <c r="L38" s="97"/>
      <c r="M38" s="100"/>
    </row>
    <row r="39" spans="3:13" x14ac:dyDescent="0.25">
      <c r="F39" s="24"/>
      <c r="H39" s="24"/>
    </row>
    <row r="40" spans="3:13" x14ac:dyDescent="0.25">
      <c r="D40" t="s">
        <v>1948</v>
      </c>
      <c r="E40" s="312">
        <f>F32</f>
        <v>1900956.793017834</v>
      </c>
      <c r="F40" s="24"/>
      <c r="K40" s="100"/>
      <c r="L40" s="100"/>
    </row>
    <row r="41" spans="3:13" x14ac:dyDescent="0.25">
      <c r="D41" t="s">
        <v>1949</v>
      </c>
      <c r="E41" s="312">
        <f>'014.01-22-ORÇAMENTO'!J227</f>
        <v>176473.83311999997</v>
      </c>
      <c r="F41" s="24"/>
    </row>
    <row r="42" spans="3:13" x14ac:dyDescent="0.25">
      <c r="D42" t="s">
        <v>1156</v>
      </c>
      <c r="E42" s="313">
        <f>E41/E40</f>
        <v>9.2834215784484878E-2</v>
      </c>
      <c r="F42" s="24"/>
    </row>
    <row r="43" spans="3:13" x14ac:dyDescent="0.25">
      <c r="D43" t="s">
        <v>4159</v>
      </c>
      <c r="E43" s="314">
        <f>F32/10937.8</f>
        <v>173.79699692971477</v>
      </c>
    </row>
    <row r="44" spans="3:13" x14ac:dyDescent="0.25">
      <c r="F44" s="24"/>
      <c r="H44" s="25"/>
    </row>
    <row r="46" spans="3:13" x14ac:dyDescent="0.25">
      <c r="F46" s="65"/>
    </row>
    <row r="47" spans="3:13" x14ac:dyDescent="0.25">
      <c r="H47" s="26"/>
    </row>
    <row r="49" spans="8:8" x14ac:dyDescent="0.25">
      <c r="H49" s="27"/>
    </row>
  </sheetData>
  <mergeCells count="25">
    <mergeCell ref="E21:F21"/>
    <mergeCell ref="E19:F19"/>
    <mergeCell ref="C1:H1"/>
    <mergeCell ref="D8:F8"/>
    <mergeCell ref="D9:F9"/>
    <mergeCell ref="D10:F10"/>
    <mergeCell ref="D11:F11"/>
    <mergeCell ref="D12:F12"/>
    <mergeCell ref="E14:F14"/>
    <mergeCell ref="E15:F15"/>
    <mergeCell ref="E16:F16"/>
    <mergeCell ref="E17:F17"/>
    <mergeCell ref="E18:F18"/>
    <mergeCell ref="E22:F22"/>
    <mergeCell ref="D37:G37"/>
    <mergeCell ref="D38:G38"/>
    <mergeCell ref="E23:F23"/>
    <mergeCell ref="E24:F24"/>
    <mergeCell ref="E25:F25"/>
    <mergeCell ref="E34:F34"/>
    <mergeCell ref="E26:F26"/>
    <mergeCell ref="E28:F28"/>
    <mergeCell ref="D30:F30"/>
    <mergeCell ref="D31:E31"/>
    <mergeCell ref="D32:E32"/>
  </mergeCells>
  <printOptions horizontalCentered="1" verticalCentered="1"/>
  <pageMargins left="0.39370078740157483" right="0.39370078740157483" top="0.39370078740157483" bottom="0.39370078740157483" header="0.31496062992125984" footer="0.31496062992125984"/>
  <pageSetup paperSize="9" scale="85" orientation="portrait" r:id="rId1"/>
  <headerFooter>
    <oddHeader>&amp;F</oddHeader>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A1:S245"/>
  <sheetViews>
    <sheetView showGridLines="0" view="pageBreakPreview" topLeftCell="A14" zoomScale="90" zoomScaleNormal="100" zoomScaleSheetLayoutView="90" workbookViewId="0">
      <selection activeCell="R238" sqref="R238"/>
    </sheetView>
  </sheetViews>
  <sheetFormatPr defaultColWidth="9.140625" defaultRowHeight="12.75" x14ac:dyDescent="0.2"/>
  <cols>
    <col min="1" max="1" width="9.140625" style="276" customWidth="1"/>
    <col min="2" max="2" width="12.7109375" style="276" customWidth="1"/>
    <col min="3" max="3" width="13.42578125" style="276" customWidth="1"/>
    <col min="4" max="4" width="44.7109375" style="283" customWidth="1"/>
    <col min="5" max="5" width="7.7109375" style="276" customWidth="1"/>
    <col min="6" max="6" width="10.42578125" style="299" customWidth="1"/>
    <col min="7" max="7" width="12.85546875" style="299" customWidth="1"/>
    <col min="8" max="8" width="11.7109375" style="299" customWidth="1"/>
    <col min="9" max="9" width="12.5703125" style="299" customWidth="1"/>
    <col min="10" max="10" width="17.7109375" style="299" customWidth="1"/>
    <col min="11" max="11" width="17.140625" style="283" customWidth="1"/>
    <col min="12" max="12" width="20.140625" style="283" customWidth="1"/>
    <col min="13" max="13" width="20.7109375" style="283" customWidth="1"/>
    <col min="14" max="14" width="14.28515625" style="283" customWidth="1"/>
    <col min="15" max="15" width="16.7109375" style="283" customWidth="1"/>
    <col min="16" max="16" width="12.85546875" style="283" customWidth="1"/>
    <col min="17" max="17" width="11.85546875" style="283" customWidth="1"/>
    <col min="18" max="18" width="15" style="283" customWidth="1"/>
    <col min="19" max="19" width="9.140625" style="283"/>
    <col min="20" max="16384" width="9.140625" style="54"/>
  </cols>
  <sheetData>
    <row r="1" spans="1:19" s="30" customFormat="1" ht="15.75" x14ac:dyDescent="0.25">
      <c r="A1" s="92"/>
      <c r="B1" s="628"/>
      <c r="C1" s="628"/>
      <c r="D1" s="628"/>
      <c r="E1" s="628"/>
      <c r="F1" s="628"/>
      <c r="G1" s="628"/>
      <c r="H1" s="628"/>
      <c r="I1" s="628"/>
      <c r="J1" s="628"/>
      <c r="K1" s="304"/>
      <c r="L1" s="305"/>
      <c r="M1" s="305"/>
      <c r="N1" s="305"/>
      <c r="O1" s="305"/>
      <c r="P1" s="305"/>
      <c r="Q1" s="305"/>
      <c r="R1" s="305"/>
      <c r="S1" s="305"/>
    </row>
    <row r="2" spans="1:19" s="50" customFormat="1" ht="18.75" x14ac:dyDescent="0.3">
      <c r="A2" s="95"/>
      <c r="B2" s="629" t="s">
        <v>1151</v>
      </c>
      <c r="C2" s="629"/>
      <c r="D2" s="629"/>
      <c r="E2" s="629"/>
      <c r="F2" s="629"/>
      <c r="G2" s="629"/>
      <c r="H2" s="629"/>
      <c r="I2" s="629"/>
      <c r="J2" s="629"/>
      <c r="K2" s="306"/>
      <c r="L2" s="210"/>
      <c r="M2" s="210"/>
      <c r="N2" s="210"/>
      <c r="O2" s="210"/>
      <c r="P2" s="210"/>
      <c r="Q2" s="210"/>
      <c r="R2" s="268"/>
      <c r="S2" s="268"/>
    </row>
    <row r="3" spans="1:19" s="50" customFormat="1" ht="18.75" x14ac:dyDescent="0.3">
      <c r="A3" s="95"/>
      <c r="B3" s="629" t="s">
        <v>1152</v>
      </c>
      <c r="C3" s="629"/>
      <c r="D3" s="629"/>
      <c r="E3" s="629"/>
      <c r="F3" s="629"/>
      <c r="G3" s="629"/>
      <c r="H3" s="629"/>
      <c r="I3" s="629"/>
      <c r="J3" s="629"/>
      <c r="K3" s="306"/>
      <c r="L3" s="210"/>
      <c r="M3" s="210"/>
      <c r="N3" s="210"/>
      <c r="O3" s="210"/>
      <c r="P3" s="210"/>
      <c r="Q3" s="210"/>
      <c r="R3" s="268"/>
      <c r="S3" s="268"/>
    </row>
    <row r="4" spans="1:19" s="50" customFormat="1" ht="18.75" x14ac:dyDescent="0.3">
      <c r="A4" s="95"/>
      <c r="B4" s="629" t="s">
        <v>1154</v>
      </c>
      <c r="C4" s="629"/>
      <c r="D4" s="629"/>
      <c r="E4" s="629"/>
      <c r="F4" s="629"/>
      <c r="G4" s="629"/>
      <c r="H4" s="629"/>
      <c r="I4" s="629"/>
      <c r="J4" s="629"/>
      <c r="K4" s="210"/>
      <c r="L4" s="210"/>
      <c r="M4" s="210"/>
      <c r="N4" s="210"/>
      <c r="O4" s="210"/>
      <c r="P4" s="210"/>
      <c r="Q4" s="210"/>
      <c r="R4" s="268"/>
      <c r="S4" s="268"/>
    </row>
    <row r="5" spans="1:19" s="50" customFormat="1" ht="18.75" x14ac:dyDescent="0.3">
      <c r="A5" s="95"/>
      <c r="B5" s="629" t="s">
        <v>3666</v>
      </c>
      <c r="C5" s="629"/>
      <c r="D5" s="629"/>
      <c r="E5" s="629"/>
      <c r="F5" s="629"/>
      <c r="G5" s="629"/>
      <c r="H5" s="629"/>
      <c r="I5" s="629"/>
      <c r="J5" s="629"/>
      <c r="K5" s="210"/>
      <c r="L5" s="210"/>
      <c r="M5" s="210"/>
      <c r="N5" s="210"/>
      <c r="O5" s="210"/>
      <c r="P5" s="210"/>
      <c r="Q5" s="210"/>
      <c r="R5" s="268"/>
      <c r="S5" s="268"/>
    </row>
    <row r="6" spans="1:19" s="50" customFormat="1" x14ac:dyDescent="0.2">
      <c r="A6" s="95"/>
      <c r="B6" s="626" t="s">
        <v>59</v>
      </c>
      <c r="C6" s="626"/>
      <c r="D6" s="607" t="s">
        <v>12767</v>
      </c>
      <c r="E6" s="627"/>
      <c r="F6" s="95"/>
      <c r="G6" s="244"/>
      <c r="H6" s="244"/>
      <c r="I6" s="244" t="s">
        <v>60</v>
      </c>
      <c r="J6" s="234">
        <v>45478</v>
      </c>
      <c r="K6" s="306"/>
      <c r="L6" s="210"/>
      <c r="M6" s="210"/>
      <c r="N6" s="210"/>
      <c r="O6" s="210"/>
      <c r="P6" s="210"/>
      <c r="Q6" s="210"/>
      <c r="R6" s="210"/>
      <c r="S6" s="268"/>
    </row>
    <row r="7" spans="1:19" s="50" customFormat="1" ht="12.75" customHeight="1" x14ac:dyDescent="0.2">
      <c r="A7" s="95"/>
      <c r="B7" s="626" t="s">
        <v>61</v>
      </c>
      <c r="C7" s="626"/>
      <c r="D7" s="622" t="s">
        <v>4271</v>
      </c>
      <c r="E7" s="594"/>
      <c r="F7" s="594"/>
      <c r="G7" s="221"/>
      <c r="H7" s="221"/>
      <c r="I7" s="221" t="s">
        <v>16</v>
      </c>
      <c r="J7" s="93" t="s">
        <v>4266</v>
      </c>
      <c r="K7" s="210"/>
      <c r="L7" s="210"/>
      <c r="M7" s="210"/>
      <c r="N7" s="210"/>
      <c r="O7" s="210"/>
      <c r="P7" s="210"/>
      <c r="Q7" s="210"/>
      <c r="R7" s="268"/>
      <c r="S7" s="268"/>
    </row>
    <row r="8" spans="1:19" s="50" customFormat="1" x14ac:dyDescent="0.2">
      <c r="A8" s="95"/>
      <c r="B8" s="630" t="s">
        <v>18</v>
      </c>
      <c r="C8" s="626" t="s">
        <v>62</v>
      </c>
      <c r="D8" s="209" t="s">
        <v>4268</v>
      </c>
      <c r="E8" s="216"/>
      <c r="F8" s="95"/>
      <c r="G8" s="221"/>
      <c r="H8" s="221"/>
      <c r="I8" s="221" t="s">
        <v>63</v>
      </c>
      <c r="J8" s="93" t="s">
        <v>4272</v>
      </c>
      <c r="K8" s="306"/>
      <c r="L8" s="210"/>
      <c r="M8" s="210"/>
      <c r="N8" s="210"/>
      <c r="O8" s="210"/>
      <c r="P8" s="210"/>
      <c r="Q8" s="210"/>
      <c r="R8" s="210"/>
      <c r="S8" s="268"/>
    </row>
    <row r="9" spans="1:19" s="50" customFormat="1" x14ac:dyDescent="0.2">
      <c r="A9" s="95"/>
      <c r="B9" s="626" t="s">
        <v>64</v>
      </c>
      <c r="C9" s="626"/>
      <c r="D9" s="266" t="s">
        <v>12738</v>
      </c>
      <c r="E9" s="244" t="s">
        <v>65</v>
      </c>
      <c r="F9" s="285">
        <v>0.18559999999999999</v>
      </c>
      <c r="G9" s="244"/>
      <c r="H9" s="285"/>
      <c r="I9" s="233" t="s">
        <v>67</v>
      </c>
      <c r="J9" s="93" t="s">
        <v>13524</v>
      </c>
      <c r="K9" s="306"/>
      <c r="L9" s="210"/>
      <c r="M9" s="210"/>
      <c r="N9" s="210"/>
      <c r="O9" s="210"/>
      <c r="P9" s="210"/>
      <c r="Q9" s="210"/>
      <c r="R9" s="210"/>
      <c r="S9" s="268"/>
    </row>
    <row r="10" spans="1:19" s="50" customFormat="1" x14ac:dyDescent="0.2">
      <c r="A10" s="95"/>
      <c r="B10" s="221"/>
      <c r="C10" s="221"/>
      <c r="D10" s="266"/>
      <c r="E10" s="244"/>
      <c r="F10" s="216"/>
      <c r="G10" s="233"/>
      <c r="H10" s="233"/>
      <c r="I10" s="233"/>
      <c r="J10" s="93"/>
      <c r="K10" s="306"/>
      <c r="L10" s="210"/>
      <c r="M10" s="210"/>
      <c r="N10" s="210"/>
      <c r="O10" s="210"/>
      <c r="P10" s="210"/>
      <c r="Q10" s="210"/>
      <c r="R10" s="210"/>
      <c r="S10" s="268"/>
    </row>
    <row r="11" spans="1:19" s="1" customFormat="1" ht="45" x14ac:dyDescent="0.25">
      <c r="A11" s="265"/>
      <c r="B11" s="134" t="s">
        <v>70</v>
      </c>
      <c r="C11" s="134" t="s">
        <v>0</v>
      </c>
      <c r="D11" s="134" t="s">
        <v>1</v>
      </c>
      <c r="E11" s="134" t="s">
        <v>131</v>
      </c>
      <c r="F11" s="134" t="s">
        <v>2</v>
      </c>
      <c r="G11" s="134" t="s">
        <v>1512</v>
      </c>
      <c r="H11" s="134" t="s">
        <v>30</v>
      </c>
      <c r="I11" s="134" t="s">
        <v>1513</v>
      </c>
      <c r="J11" s="134" t="s">
        <v>1514</v>
      </c>
      <c r="K11" s="267"/>
      <c r="L11" s="267"/>
      <c r="M11" s="267"/>
      <c r="N11" s="267"/>
      <c r="O11" s="267"/>
      <c r="P11" s="267"/>
      <c r="Q11" s="267"/>
      <c r="R11" s="267"/>
      <c r="S11" s="267"/>
    </row>
    <row r="12" spans="1:19" s="62" customFormat="1" ht="12.75" customHeight="1" x14ac:dyDescent="0.2">
      <c r="A12" s="199"/>
      <c r="B12" s="272" t="s">
        <v>71</v>
      </c>
      <c r="C12" s="272"/>
      <c r="D12" s="278" t="s">
        <v>113</v>
      </c>
      <c r="E12" s="286"/>
      <c r="F12" s="286"/>
      <c r="G12" s="301"/>
      <c r="H12" s="286"/>
      <c r="I12" s="301"/>
      <c r="J12" s="287"/>
      <c r="K12" s="213"/>
      <c r="L12" s="213"/>
      <c r="M12" s="307"/>
      <c r="N12" s="213"/>
      <c r="O12" s="213"/>
      <c r="P12" s="213"/>
      <c r="Q12" s="213"/>
      <c r="R12" s="213"/>
      <c r="S12" s="213"/>
    </row>
    <row r="13" spans="1:19" s="62" customFormat="1" ht="12.75" customHeight="1" x14ac:dyDescent="0.2">
      <c r="A13" s="199"/>
      <c r="B13" s="206" t="s">
        <v>72</v>
      </c>
      <c r="C13" s="206"/>
      <c r="D13" s="279" t="s">
        <v>73</v>
      </c>
      <c r="E13" s="288"/>
      <c r="F13" s="288"/>
      <c r="G13" s="302"/>
      <c r="H13" s="288"/>
      <c r="I13" s="302"/>
      <c r="J13" s="289"/>
      <c r="K13" s="213"/>
      <c r="L13" s="307">
        <f t="shared" ref="L13:L18" si="0">I13*F13</f>
        <v>0</v>
      </c>
      <c r="M13" s="307"/>
      <c r="N13" s="213"/>
      <c r="O13" s="213"/>
      <c r="P13" s="213"/>
      <c r="Q13" s="213"/>
      <c r="R13" s="213"/>
      <c r="S13" s="213"/>
    </row>
    <row r="14" spans="1:19" s="62" customFormat="1" ht="12.75" customHeight="1" x14ac:dyDescent="0.2">
      <c r="A14" s="199"/>
      <c r="B14" s="206" t="s">
        <v>74</v>
      </c>
      <c r="C14" s="206"/>
      <c r="D14" s="279" t="s">
        <v>75</v>
      </c>
      <c r="E14" s="288"/>
      <c r="F14" s="288"/>
      <c r="G14" s="302"/>
      <c r="H14" s="288"/>
      <c r="I14" s="302"/>
      <c r="J14" s="289"/>
      <c r="K14" s="213"/>
      <c r="L14" s="307">
        <f t="shared" si="0"/>
        <v>0</v>
      </c>
      <c r="M14" s="307"/>
      <c r="N14" s="213"/>
      <c r="O14" s="213"/>
      <c r="P14" s="213"/>
      <c r="Q14" s="213"/>
      <c r="R14" s="213"/>
      <c r="S14" s="213"/>
    </row>
    <row r="15" spans="1:19" s="126" customFormat="1" x14ac:dyDescent="0.2">
      <c r="A15" s="398"/>
      <c r="B15" s="207" t="s">
        <v>94</v>
      </c>
      <c r="C15" s="207" t="s">
        <v>114</v>
      </c>
      <c r="D15" s="548" t="s">
        <v>115</v>
      </c>
      <c r="E15" s="549" t="s">
        <v>10</v>
      </c>
      <c r="F15" s="550">
        <v>1</v>
      </c>
      <c r="G15" s="550">
        <v>254.59</v>
      </c>
      <c r="H15" s="552">
        <f>$F$9</f>
        <v>0.18559999999999999</v>
      </c>
      <c r="I15" s="550">
        <f>(G15*(1+H15))</f>
        <v>301.841904</v>
      </c>
      <c r="J15" s="553">
        <f>I15*F15</f>
        <v>301.841904</v>
      </c>
      <c r="K15" s="399"/>
      <c r="L15" s="309">
        <f t="shared" si="0"/>
        <v>301.841904</v>
      </c>
      <c r="M15" s="309"/>
      <c r="N15" s="399"/>
      <c r="O15" s="399"/>
      <c r="P15" s="399"/>
      <c r="Q15" s="399"/>
      <c r="R15" s="399"/>
      <c r="S15" s="399"/>
    </row>
    <row r="16" spans="1:19" s="62" customFormat="1" ht="12.75" customHeight="1" x14ac:dyDescent="0.2">
      <c r="A16" s="199"/>
      <c r="B16" s="273"/>
      <c r="C16" s="273"/>
      <c r="D16" s="280"/>
      <c r="E16" s="273"/>
      <c r="F16" s="290"/>
      <c r="G16" s="290"/>
      <c r="H16" s="290"/>
      <c r="I16" s="290"/>
      <c r="J16" s="291"/>
      <c r="K16" s="213"/>
      <c r="L16" s="307">
        <f t="shared" si="0"/>
        <v>0</v>
      </c>
      <c r="M16" s="307"/>
      <c r="N16" s="213"/>
      <c r="O16" s="213"/>
      <c r="P16" s="213"/>
      <c r="Q16" s="213"/>
      <c r="R16" s="213"/>
      <c r="S16" s="213"/>
    </row>
    <row r="17" spans="1:19" s="62" customFormat="1" ht="12.75" customHeight="1" x14ac:dyDescent="0.2">
      <c r="A17" s="199"/>
      <c r="B17" s="274"/>
      <c r="C17" s="275"/>
      <c r="D17" s="281"/>
      <c r="E17" s="275"/>
      <c r="F17" s="275"/>
      <c r="G17" s="315" t="s">
        <v>68</v>
      </c>
      <c r="H17" s="292"/>
      <c r="I17" s="315"/>
      <c r="J17" s="293">
        <f>SUM(J15)</f>
        <v>301.841904</v>
      </c>
      <c r="K17" s="213"/>
      <c r="L17" s="307">
        <f t="shared" si="0"/>
        <v>0</v>
      </c>
      <c r="M17" s="307"/>
      <c r="N17" s="213"/>
      <c r="O17" s="213"/>
      <c r="P17" s="213"/>
      <c r="Q17" s="213"/>
      <c r="R17" s="213"/>
      <c r="S17" s="213"/>
    </row>
    <row r="18" spans="1:19" s="62" customFormat="1" ht="12.75" customHeight="1" x14ac:dyDescent="0.2">
      <c r="A18" s="199"/>
      <c r="B18" s="273"/>
      <c r="C18" s="273"/>
      <c r="D18" s="280"/>
      <c r="E18" s="273"/>
      <c r="F18" s="290"/>
      <c r="G18" s="290"/>
      <c r="H18" s="290"/>
      <c r="I18" s="290"/>
      <c r="J18" s="291"/>
      <c r="K18" s="213"/>
      <c r="L18" s="307">
        <f t="shared" si="0"/>
        <v>0</v>
      </c>
      <c r="M18" s="390"/>
      <c r="N18" s="390"/>
      <c r="O18" s="213"/>
      <c r="P18" s="213"/>
      <c r="Q18" s="213"/>
      <c r="R18" s="213"/>
      <c r="S18" s="213"/>
    </row>
    <row r="19" spans="1:19" s="62" customFormat="1" ht="12.75" customHeight="1" x14ac:dyDescent="0.2">
      <c r="A19" s="199"/>
      <c r="B19" s="206" t="s">
        <v>76</v>
      </c>
      <c r="C19" s="206"/>
      <c r="D19" s="278" t="s">
        <v>3</v>
      </c>
      <c r="E19" s="286"/>
      <c r="F19" s="286"/>
      <c r="G19" s="316"/>
      <c r="H19" s="286"/>
      <c r="I19" s="316"/>
      <c r="J19" s="287"/>
      <c r="K19" s="213"/>
      <c r="L19" s="307">
        <f t="shared" ref="L19:L96" si="1">I19*F19</f>
        <v>0</v>
      </c>
      <c r="M19" s="307">
        <f t="shared" ref="M19:M64" si="2">L19-J19</f>
        <v>0</v>
      </c>
      <c r="N19" s="213"/>
      <c r="O19" s="213"/>
      <c r="P19" s="213"/>
      <c r="Q19" s="213"/>
      <c r="R19" s="213"/>
      <c r="S19" s="213"/>
    </row>
    <row r="20" spans="1:19" s="62" customFormat="1" ht="12.75" customHeight="1" x14ac:dyDescent="0.2">
      <c r="A20" s="199"/>
      <c r="B20" s="206" t="s">
        <v>77</v>
      </c>
      <c r="C20" s="206"/>
      <c r="D20" s="279" t="s">
        <v>116</v>
      </c>
      <c r="E20" s="288"/>
      <c r="F20" s="288"/>
      <c r="G20" s="317"/>
      <c r="H20" s="288"/>
      <c r="I20" s="317"/>
      <c r="J20" s="289"/>
      <c r="K20" s="213"/>
      <c r="L20" s="307">
        <f t="shared" si="1"/>
        <v>0</v>
      </c>
      <c r="M20" s="307">
        <f t="shared" si="2"/>
        <v>0</v>
      </c>
      <c r="N20" s="213"/>
      <c r="O20" s="213"/>
      <c r="P20" s="213"/>
      <c r="Q20" s="213"/>
      <c r="R20" s="213"/>
      <c r="S20" s="213"/>
    </row>
    <row r="21" spans="1:19" s="62" customFormat="1" ht="12.75" customHeight="1" x14ac:dyDescent="0.2">
      <c r="A21" s="199"/>
      <c r="B21" s="206" t="s">
        <v>117</v>
      </c>
      <c r="C21" s="206"/>
      <c r="D21" s="279" t="s">
        <v>118</v>
      </c>
      <c r="E21" s="288"/>
      <c r="F21" s="288"/>
      <c r="G21" s="317"/>
      <c r="H21" s="288"/>
      <c r="I21" s="317"/>
      <c r="J21" s="289"/>
      <c r="K21" s="213"/>
      <c r="L21" s="307">
        <f t="shared" si="1"/>
        <v>0</v>
      </c>
      <c r="M21" s="307">
        <f t="shared" si="2"/>
        <v>0</v>
      </c>
      <c r="N21" s="213"/>
      <c r="O21" s="213"/>
      <c r="P21" s="213"/>
      <c r="Q21" s="213"/>
      <c r="R21" s="213"/>
      <c r="S21" s="213"/>
    </row>
    <row r="22" spans="1:19" s="126" customFormat="1" ht="51" x14ac:dyDescent="0.2">
      <c r="A22" s="398" t="s">
        <v>1122</v>
      </c>
      <c r="B22" s="207" t="s">
        <v>127</v>
      </c>
      <c r="C22" s="207">
        <v>10776</v>
      </c>
      <c r="D22" s="548" t="str">
        <f>IF(A22="SERVIÇO",VLOOKUP(C22,SERVIÇOS!$A$6:$D$7697,2,0),IF(A22="INSUMO",VLOOKUP(C22,INSUMOS!$A$6:$D$4845,2,0),IF(A22="COTAÇÃO",VLOOKUP(C22,'014-22-cotação'!$A$9:$I$138,2,0),IF(A22="CCU",VLOOKUP(C22,'014-22-CCU''s'!$B$10:$H$450,2,0)))))</f>
        <v xml:space="preserve">LOCACAO DE CONTAINER 2,30 X 6,00 M, ALT. 2,50 M, PARA ESCRITORIO, SEM DIVISORIAS INTERNAS E SEM SANITARIO (NAO INCLUI MOBILIZACAO/DESMOBILIZACAO)                                                                                                                                                                                                                                                                                                                                                         </v>
      </c>
      <c r="E22" s="549" t="str">
        <f>IF(A22="SERVIÇO",VLOOKUP(C22,SERVIÇOS!$A$6:$D$7697,3,0),IF(A22="INSUMO",VLOOKUP(C22,INSUMOS!$A$6:$D$4845,3,0),IF(A22="COTAÇÃO",VLOOKUP(C22,'014-22-cotação'!$A$9:$I$138,4,0),IF(A22="CCU",VLOOKUP(C22,'014-22-CCU''s'!$B$10:$H$450,4,0)))))</f>
        <v xml:space="preserve">MES   </v>
      </c>
      <c r="F22" s="550">
        <v>4</v>
      </c>
      <c r="G22" s="551">
        <f>IF(A22="SERVIÇO",VLOOKUP(C22,SERVIÇOS!$A$6:$D$7697,4,0),IF(A22="INSUMO",VLOOKUP(C22,INSUMOS!$A$6:$D$4845,4,0),IF(A22="COTAÇÃO",VLOOKUP(C22,'014-22-cotação'!$A$9:$I$138,3,0),IF(A22="CCU",VLOOKUP(C22,'014-22-CCU''s'!$B$10:$H$450,7,0)))))</f>
        <v>1093.75</v>
      </c>
      <c r="H22" s="552">
        <f t="shared" ref="H22:H36" si="3">$F$9</f>
        <v>0.18559999999999999</v>
      </c>
      <c r="I22" s="551">
        <f t="shared" ref="I22:I25" si="4">(G22*(1+H22))</f>
        <v>1296.75</v>
      </c>
      <c r="J22" s="553">
        <f t="shared" ref="J22:J25" si="5">I22*F22</f>
        <v>5187</v>
      </c>
      <c r="K22" s="399"/>
      <c r="L22" s="309">
        <f t="shared" si="1"/>
        <v>5187</v>
      </c>
      <c r="M22" s="309">
        <f t="shared" si="2"/>
        <v>0</v>
      </c>
      <c r="N22" s="399"/>
      <c r="O22" s="399"/>
      <c r="P22" s="399"/>
      <c r="Q22" s="399"/>
      <c r="R22" s="399"/>
      <c r="S22" s="399"/>
    </row>
    <row r="23" spans="1:19" s="126" customFormat="1" ht="51" x14ac:dyDescent="0.2">
      <c r="A23" s="398" t="s">
        <v>1122</v>
      </c>
      <c r="B23" s="207" t="s">
        <v>128</v>
      </c>
      <c r="C23" s="207">
        <v>10778</v>
      </c>
      <c r="D23" s="548" t="str">
        <f>IF(A23="SERVIÇO",VLOOKUP(C23,SERVIÇOS!$A$6:$D$7697,2,0),IF(A23="INSUMO",VLOOKUP(C23,INSUMOS!$A$6:$D$4845,2,0),IF(A23="COTAÇÃO",VLOOKUP(C23,'014-22-cotação'!$A$9:$I$138,2,0),IF(A23="CCU",VLOOKUP(C23,'014-22-CCU''s'!$B$10:$H$450,2,0)))))</f>
        <v xml:space="preserve">LOCACAO DE CONTAINER 2,30 X 6,00 M, ALT. 2,50 M, PARA SANITARIO, COM 4 BACIAS, 8 CHUVEIROS,1 LAVATORIO E 1 MICTORIO (NAO INCLUI MOBILIZACAO/DESMOBILIZACAO)                                                                                                                                                                                                                                                                                                                                               </v>
      </c>
      <c r="E23" s="549" t="str">
        <f>IF(A23="SERVIÇO",VLOOKUP(C23,SERVIÇOS!$A$6:$D$7697,3,0),IF(A23="INSUMO",VLOOKUP(C23,INSUMOS!$A$6:$D$4845,3,0),IF(A23="COTAÇÃO",VLOOKUP(C23,'014-22-cotação'!$A$9:$I$138,4,0),IF(A23="CCU",VLOOKUP(C23,'014-22-CCU''s'!$B$10:$H$450,4,0)))))</f>
        <v xml:space="preserve">MES   </v>
      </c>
      <c r="F23" s="550">
        <v>4</v>
      </c>
      <c r="G23" s="551">
        <f>IF(A23="SERVIÇO",VLOOKUP(C23,SERVIÇOS!$A$6:$D$7697,4,0),IF(A23="INSUMO",VLOOKUP(C23,INSUMOS!$A$6:$D$4845,4,0),IF(A23="COTAÇÃO",VLOOKUP(C23,'014-22-cotação'!$A$9:$I$138,3,0),IF(A23="CCU",VLOOKUP(C23,'014-22-CCU''s'!$B$10:$H$450,7,0)))))</f>
        <v>1750</v>
      </c>
      <c r="H23" s="552">
        <f t="shared" si="3"/>
        <v>0.18559999999999999</v>
      </c>
      <c r="I23" s="551">
        <f>(G23*(1+H23))</f>
        <v>2074.8000000000002</v>
      </c>
      <c r="J23" s="553">
        <f>I23*F23</f>
        <v>8299.2000000000007</v>
      </c>
      <c r="K23" s="399"/>
      <c r="L23" s="309">
        <f>I23*F23</f>
        <v>8299.2000000000007</v>
      </c>
      <c r="M23" s="309">
        <f>L23-J23</f>
        <v>0</v>
      </c>
      <c r="N23" s="399"/>
      <c r="O23" s="399"/>
      <c r="P23" s="399"/>
      <c r="Q23" s="399"/>
      <c r="R23" s="399"/>
      <c r="S23" s="399"/>
    </row>
    <row r="24" spans="1:19" s="468" customFormat="1" ht="38.25" x14ac:dyDescent="0.2">
      <c r="A24" s="462" t="s">
        <v>1121</v>
      </c>
      <c r="B24" s="207" t="s">
        <v>129</v>
      </c>
      <c r="C24" s="207" t="s">
        <v>12711</v>
      </c>
      <c r="D24" s="548" t="str">
        <f>IF(A24="SERVIÇO",VLOOKUP(C24,SERVIÇOS!$A$6:$D$7697,2,0),IF(A24="INSUMO",VLOOKUP(C24,INSUMOS!$A$6:$D$4845,2,0),IF(A24="COTAÇÃO",VLOOKUP(C24,'014-22-cotação'!$A$9:$I$138,2,0),IF(A24="CCU",VLOOKUP(C24,'014-22-CCU''s'!$B$10:$H$450,2,0)))))</f>
        <v>EXECUÇÃO DE DEPÓSITO EM CANTEIRO DE OBRA EM CHAPA DE MADEIRA COMPENSADA, NÃO INCLUSO MOBILIÁRIO. AF_04/2016</v>
      </c>
      <c r="E24" s="549" t="str">
        <f>IF(A24="SERVIÇO",VLOOKUP(C24,SERVIÇOS!$A$6:$D$7697,3,0),IF(A24="INSUMO",VLOOKUP(C24,INSUMOS!$A$6:$D$4845,3,0),IF(A24="COTAÇÃO",VLOOKUP(C24,'014-22-cotação'!$A$9:$I$138,4,0),IF(A24="CCU",VLOOKUP(C24,'014-22-CCU''s'!$B$10:$H$450,4,0)))))</f>
        <v>M2</v>
      </c>
      <c r="F24" s="550">
        <v>4</v>
      </c>
      <c r="G24" s="551">
        <f>IF(A24="SERVIÇO",VLOOKUP(C24,SERVIÇOS!$A$6:$D$7697,4,0),IF(A24="INSUMO",VLOOKUP(C24,INSUMOS!$A$6:$D$4845,4,0),IF(A24="COTAÇÃO",VLOOKUP(C24,'014-22-cotação'!$A$9:$I$138,3,0),IF(A24="CCU",VLOOKUP(C24,'014-22-CCU''s'!$B$10:$H$450,7,0)))))</f>
        <v>735.49</v>
      </c>
      <c r="H24" s="552">
        <f t="shared" si="3"/>
        <v>0.18559999999999999</v>
      </c>
      <c r="I24" s="551">
        <f>(G24*(1+H24))</f>
        <v>871.99694399999998</v>
      </c>
      <c r="J24" s="553">
        <f>I24*F24</f>
        <v>3487.9877759999999</v>
      </c>
      <c r="K24" s="463"/>
      <c r="L24" s="467">
        <f>I24*F24</f>
        <v>3487.9877759999999</v>
      </c>
      <c r="M24" s="467">
        <f>L24-J24</f>
        <v>0</v>
      </c>
      <c r="N24" s="463"/>
      <c r="O24" s="463"/>
      <c r="P24" s="463"/>
      <c r="Q24" s="463"/>
      <c r="R24" s="463"/>
      <c r="S24" s="463"/>
    </row>
    <row r="25" spans="1:19" s="468" customFormat="1" ht="51" x14ac:dyDescent="0.2">
      <c r="A25" s="462" t="s">
        <v>1121</v>
      </c>
      <c r="B25" s="207" t="s">
        <v>3529</v>
      </c>
      <c r="C25" s="207" t="s">
        <v>12714</v>
      </c>
      <c r="D25" s="548" t="str">
        <f>IF(A25="SERVIÇO",VLOOKUP(C25,SERVIÇOS!$A$6:$D$7697,2,0),IF(A25="INSUMO",VLOOKUP(C25,INSUMOS!$A$6:$D$4845,2,0),IF(A25="COTAÇÃO",VLOOKUP(C25,'014-22-cotação'!$A$9:$I$138,2,0),IF(A25="CCU",VLOOKUP(C25,'014-22-CCU''s'!$B$10:$H$450,2,0)))))</f>
        <v>EXECUÇÃO DE REFEITÓRIO EM CANTEIRO DE OBRA EM CHAPA DE MADEIRA COMPENSADA, NÃO INCLUSO MOBILIÁRIO E EQUIPAMENTOS. AF_02/2016</v>
      </c>
      <c r="E25" s="549" t="str">
        <f>IF(A25="SERVIÇO",VLOOKUP(C25,SERVIÇOS!$A$6:$D$7697,3,0),IF(A25="INSUMO",VLOOKUP(C25,INSUMOS!$A$6:$D$4845,3,0),IF(A25="COTAÇÃO",VLOOKUP(C25,'014-22-cotação'!$A$9:$I$138,4,0),IF(A25="CCU",VLOOKUP(C25,'014-22-CCU''s'!$B$10:$H$450,4,0)))))</f>
        <v>M2</v>
      </c>
      <c r="F25" s="550">
        <v>32</v>
      </c>
      <c r="G25" s="551">
        <f>IF(A25="SERVIÇO",VLOOKUP(C25,SERVIÇOS!$A$6:$D$7697,4,0),IF(A25="INSUMO",VLOOKUP(C25,INSUMOS!$A$6:$D$4845,4,0),IF(A25="COTAÇÃO",VLOOKUP(C25,'014-22-cotação'!$A$9:$I$138,3,0),IF(A25="CCU",VLOOKUP(C25,'014-22-CCU''s'!$B$10:$H$450,7,0)))))</f>
        <v>577.20000000000005</v>
      </c>
      <c r="H25" s="552">
        <f t="shared" si="3"/>
        <v>0.18559999999999999</v>
      </c>
      <c r="I25" s="551">
        <f t="shared" si="4"/>
        <v>684.32832000000008</v>
      </c>
      <c r="J25" s="553">
        <f t="shared" si="5"/>
        <v>21898.506240000002</v>
      </c>
      <c r="K25" s="463"/>
      <c r="L25" s="467">
        <f t="shared" si="1"/>
        <v>21898.506240000002</v>
      </c>
      <c r="M25" s="467">
        <f t="shared" si="2"/>
        <v>0</v>
      </c>
      <c r="N25" s="463"/>
      <c r="O25" s="463"/>
      <c r="P25" s="463"/>
      <c r="Q25" s="463"/>
      <c r="R25" s="463"/>
      <c r="S25" s="463"/>
    </row>
    <row r="26" spans="1:19" s="126" customFormat="1" ht="38.25" x14ac:dyDescent="0.2">
      <c r="A26" s="398" t="s">
        <v>1121</v>
      </c>
      <c r="B26" s="207" t="s">
        <v>3915</v>
      </c>
      <c r="C26" s="207" t="s">
        <v>1493</v>
      </c>
      <c r="D26" s="548" t="str">
        <f>IF(A26="SERVIÇO",VLOOKUP(C26,SERVIÇOS!$A$6:$D$7697,2,0),IF(A26="INSUMO",VLOOKUP(C26,INSUMOS!$A$6:$D$4845,2,0),IF(A26="COTAÇÃO",VLOOKUP(C26,'014-22-cotação'!$A$9:$I$138,2,0),IF(A26="CCU",VLOOKUP(C26,'014-22-CCU''s'!$B$10:$H$450,2,0)))))</f>
        <v>LOCACAO DE CONTAINER 2,30  X  6,00 M, ALT. 2,50 M, PARA DEPÓSITO, SEM DIVISORIAS INTERNAS E SEM SANITARIO</v>
      </c>
      <c r="E26" s="549" t="str">
        <f>IF(A26="SERVIÇO",VLOOKUP(C26,SERVIÇOS!$A$6:$D$7697,3,0),IF(A26="INSUMO",VLOOKUP(C26,INSUMOS!$A$6:$D$4845,3,0),IF(A26="COTAÇÃO",VLOOKUP(C26,'014-22-cotação'!$A$9:$I$138,4,0),IF(A26="CCU",VLOOKUP(C26,'014-22-CCU''s'!$B$10:$H$450,4,0)))))</f>
        <v xml:space="preserve">UN </v>
      </c>
      <c r="F26" s="550">
        <v>4</v>
      </c>
      <c r="G26" s="551">
        <f>IF(A26="SERVIÇO",VLOOKUP(C26,SERVIÇOS!$A$6:$D$7697,4,0),IF(A26="INSUMO",VLOOKUP(C26,INSUMOS!$A$6:$D$4845,4,0),IF(A26="COTAÇÃO",VLOOKUP(C26,'014-22-cotação'!$A$9:$I$138,3,0),IF(A26="CCU",VLOOKUP(C26,'014-22-CCU''s'!$B$10:$H$450,7,0)))))</f>
        <v>1093.75</v>
      </c>
      <c r="H26" s="552">
        <f t="shared" si="3"/>
        <v>0.18559999999999999</v>
      </c>
      <c r="I26" s="551">
        <f t="shared" ref="I26:I27" si="6">(G26*(1+H26))</f>
        <v>1296.75</v>
      </c>
      <c r="J26" s="553">
        <f t="shared" ref="J26:J27" si="7">I26*F26</f>
        <v>5187</v>
      </c>
      <c r="K26" s="399"/>
      <c r="L26" s="309">
        <f t="shared" ref="L26:L27" si="8">I26*F26</f>
        <v>5187</v>
      </c>
      <c r="M26" s="309">
        <f t="shared" ref="M26:M27" si="9">L26-J26</f>
        <v>0</v>
      </c>
      <c r="N26" s="399"/>
      <c r="O26" s="399"/>
      <c r="P26" s="399"/>
      <c r="Q26" s="399"/>
      <c r="R26" s="399"/>
      <c r="S26" s="399"/>
    </row>
    <row r="27" spans="1:19" s="126" customFormat="1" ht="38.25" x14ac:dyDescent="0.2">
      <c r="A27" s="398" t="s">
        <v>1121</v>
      </c>
      <c r="B27" s="207" t="s">
        <v>3531</v>
      </c>
      <c r="C27" s="207" t="s">
        <v>1494</v>
      </c>
      <c r="D27" s="548" t="str">
        <f>IF(A27="SERVIÇO",VLOOKUP(C27,SERVIÇOS!$A$6:$D$7697,2,0),IF(A27="INSUMO",VLOOKUP(C27,INSUMOS!$A$6:$D$4845,2,0),IF(A27="COTAÇÃO",VLOOKUP(C27,'014-22-cotação'!$A$9:$I$138,2,0),IF(A27="CCU",VLOOKUP(C27,'014-22-CCU''s'!$B$10:$H$450,2,0)))))</f>
        <v>BAIAS EM TÁBUAS DE MADEIRA, COM 03 MÓDULOS 4,00 X 4,00M CADA, DESTINADAS AO ARMAZENAMENTO DE AGREGADOS</v>
      </c>
      <c r="E27" s="549" t="str">
        <f>IF(A27="SERVIÇO",VLOOKUP(C27,SERVIÇOS!$A$6:$D$7697,3,0),IF(A27="INSUMO",VLOOKUP(C27,INSUMOS!$A$6:$D$4845,3,0),IF(A27="COTAÇÃO",VLOOKUP(C27,'014-22-cotação'!$A$9:$I$138,4,0),IF(A27="CCU",VLOOKUP(C27,'014-22-CCU''s'!$B$10:$H$450,4,0)))))</f>
        <v xml:space="preserve">UN </v>
      </c>
      <c r="F27" s="550">
        <v>1</v>
      </c>
      <c r="G27" s="551">
        <f>IF(A27="SERVIÇO",VLOOKUP(C27,SERVIÇOS!$A$6:$D$7697,4,0),IF(A27="INSUMO",VLOOKUP(C27,INSUMOS!$A$6:$D$4845,4,0),IF(A27="COTAÇÃO",VLOOKUP(C27,'014-22-cotação'!$A$9:$I$138,3,0),IF(A27="CCU",VLOOKUP(C27,'014-22-CCU''s'!$B$10:$H$450,7,0)))))</f>
        <v>369.61</v>
      </c>
      <c r="H27" s="552">
        <f t="shared" si="3"/>
        <v>0.18559999999999999</v>
      </c>
      <c r="I27" s="551">
        <f t="shared" si="6"/>
        <v>438.20961600000004</v>
      </c>
      <c r="J27" s="553">
        <f t="shared" si="7"/>
        <v>438.20961600000004</v>
      </c>
      <c r="K27" s="399"/>
      <c r="L27" s="309">
        <f t="shared" si="8"/>
        <v>438.20961600000004</v>
      </c>
      <c r="M27" s="309">
        <f t="shared" si="9"/>
        <v>0</v>
      </c>
      <c r="N27" s="399"/>
      <c r="O27" s="399"/>
      <c r="P27" s="399"/>
      <c r="Q27" s="399"/>
      <c r="R27" s="399"/>
      <c r="S27" s="399"/>
    </row>
    <row r="28" spans="1:19" s="62" customFormat="1" ht="12.75" customHeight="1" x14ac:dyDescent="0.2">
      <c r="A28" s="199"/>
      <c r="B28" s="273"/>
      <c r="C28" s="273"/>
      <c r="D28" s="280"/>
      <c r="E28" s="273"/>
      <c r="F28" s="290"/>
      <c r="G28" s="290"/>
      <c r="H28" s="290"/>
      <c r="I28" s="290"/>
      <c r="J28" s="291"/>
      <c r="K28" s="213"/>
      <c r="L28" s="307">
        <f t="shared" si="1"/>
        <v>0</v>
      </c>
      <c r="M28" s="307">
        <f t="shared" si="2"/>
        <v>0</v>
      </c>
      <c r="N28" s="213"/>
      <c r="O28" s="213"/>
      <c r="P28" s="213"/>
      <c r="Q28" s="213"/>
      <c r="R28" s="213"/>
      <c r="S28" s="213"/>
    </row>
    <row r="29" spans="1:19" s="62" customFormat="1" ht="12.75" customHeight="1" x14ac:dyDescent="0.2">
      <c r="A29" s="199"/>
      <c r="B29" s="206" t="s">
        <v>3497</v>
      </c>
      <c r="C29" s="206"/>
      <c r="D29" s="278" t="s">
        <v>3498</v>
      </c>
      <c r="E29" s="286"/>
      <c r="F29" s="286"/>
      <c r="G29" s="316"/>
      <c r="H29" s="286"/>
      <c r="I29" s="316"/>
      <c r="J29" s="287"/>
      <c r="K29" s="213"/>
      <c r="L29" s="307">
        <f t="shared" si="1"/>
        <v>0</v>
      </c>
      <c r="M29" s="307">
        <f t="shared" si="2"/>
        <v>0</v>
      </c>
      <c r="N29" s="213"/>
      <c r="O29" s="213"/>
      <c r="P29" s="213"/>
      <c r="Q29" s="213"/>
      <c r="R29" s="213"/>
      <c r="S29" s="213"/>
    </row>
    <row r="30" spans="1:19" s="126" customFormat="1" ht="25.5" x14ac:dyDescent="0.2">
      <c r="A30" s="398" t="s">
        <v>1121</v>
      </c>
      <c r="B30" s="207" t="s">
        <v>3499</v>
      </c>
      <c r="C30" s="207" t="s">
        <v>3457</v>
      </c>
      <c r="D30" s="548" t="str">
        <f>IF(A30="SERVIÇO",VLOOKUP(C30,SERVIÇOS!$A$6:$D$7697,2,0),IF(A30="INSUMO",VLOOKUP(C30,INSUMOS!$A$6:$D$4845,2,0),IF(A30="COTAÇÃO",VLOOKUP(C30,'014-22-cotação'!$A$9:$I$138,2,0),IF(A30="CCU",VLOOKUP(C30,'014-22-CCU''s'!$B$10:$H$450,2,0)))))</f>
        <v>FORNECIMENTO DE ENERGIA ELETRICA ATRAVÉS DE GERADOR A GASOLINA 13CV</v>
      </c>
      <c r="E30" s="549" t="str">
        <f>IF(A30="SERVIÇO",VLOOKUP(C30,SERVIÇOS!$A$6:$D$7697,3,0),IF(A30="INSUMO",VLOOKUP(C30,INSUMOS!$A$6:$D$4845,3,0),IF(A30="COTAÇÃO",VLOOKUP(C30,'014-22-cotação'!$A$9:$I$138,4,0),IF(A30="CCU",VLOOKUP(C30,'014-22-CCU''s'!$B$10:$H$450,4,0)))))</f>
        <v>MÊS</v>
      </c>
      <c r="F30" s="550">
        <v>4</v>
      </c>
      <c r="G30" s="551">
        <f>IF(A30="SERVIÇO",VLOOKUP(C30,SERVIÇOS!$A$6:$D$7697,4,0),IF(A30="INSUMO",VLOOKUP(C30,INSUMOS!$A$6:$D$4845,4,0),IF(A30="COTAÇÃO",VLOOKUP(C30,'014-22-cotação'!$A$9:$I$138,3,0),IF(A30="CCU",VLOOKUP(C30,'014-22-CCU''s'!$B$10:$H$450,7,0)))))</f>
        <v>8285.44</v>
      </c>
      <c r="H30" s="552">
        <f t="shared" si="3"/>
        <v>0.18559999999999999</v>
      </c>
      <c r="I30" s="551">
        <f>(G30*(1+H30))</f>
        <v>9823.2176639999998</v>
      </c>
      <c r="J30" s="553">
        <f>I30*F30</f>
        <v>39292.870655999999</v>
      </c>
      <c r="K30" s="399"/>
      <c r="L30" s="309">
        <f t="shared" si="1"/>
        <v>39292.870655999999</v>
      </c>
      <c r="M30" s="309">
        <f t="shared" si="2"/>
        <v>0</v>
      </c>
      <c r="N30" s="399"/>
      <c r="O30" s="399"/>
      <c r="P30" s="399"/>
      <c r="Q30" s="399"/>
      <c r="R30" s="399"/>
      <c r="S30" s="399"/>
    </row>
    <row r="31" spans="1:19" s="126" customFormat="1" ht="25.5" x14ac:dyDescent="0.2">
      <c r="A31" s="398" t="s">
        <v>1121</v>
      </c>
      <c r="B31" s="207" t="s">
        <v>3500</v>
      </c>
      <c r="C31" s="207" t="s">
        <v>3458</v>
      </c>
      <c r="D31" s="548" t="str">
        <f>IF(A31="SERVIÇO",VLOOKUP(C31,SERVIÇOS!$A$6:$D$7697,2,0),IF(A31="INSUMO",VLOOKUP(C31,INSUMOS!$A$6:$D$4845,2,0),IF(A31="COTAÇÃO",VLOOKUP(C31,'014-22-cotação'!$A$9:$I$138,2,0),IF(A31="CCU",VLOOKUP(C31,'014-22-CCU''s'!$B$10:$H$450,2,0)))))</f>
        <v>FORNECIMENTO DE ÁGUA ATRAVÉS DE CAMINHÃO PIPA 10M3</v>
      </c>
      <c r="E31" s="549" t="str">
        <f>IF(A31="SERVIÇO",VLOOKUP(C31,SERVIÇOS!$A$6:$D$7697,3,0),IF(A31="INSUMO",VLOOKUP(C31,INSUMOS!$A$6:$D$4845,3,0),IF(A31="COTAÇÃO",VLOOKUP(C31,'014-22-cotação'!$A$9:$I$138,4,0),IF(A31="CCU",VLOOKUP(C31,'014-22-CCU''s'!$B$10:$H$450,4,0)))))</f>
        <v>M3</v>
      </c>
      <c r="F31" s="550">
        <f>111.32*4</f>
        <v>445.28</v>
      </c>
      <c r="G31" s="551">
        <f>IF(A31="SERVIÇO",VLOOKUP(C31,SERVIÇOS!$A$6:$D$7697,4,0),IF(A31="INSUMO",VLOOKUP(C31,INSUMOS!$A$6:$D$4845,4,0),IF(A31="COTAÇÃO",VLOOKUP(C31,'014-22-cotação'!$A$9:$I$138,3,0),IF(A31="CCU",VLOOKUP(C31,'014-22-CCU''s'!$B$10:$H$450,7,0)))))</f>
        <v>22.9</v>
      </c>
      <c r="H31" s="552">
        <f t="shared" si="3"/>
        <v>0.18559999999999999</v>
      </c>
      <c r="I31" s="551">
        <f>(G31*(1+H31))</f>
        <v>27.150239999999997</v>
      </c>
      <c r="J31" s="553">
        <f>I31*F31</f>
        <v>12089.458867199997</v>
      </c>
      <c r="K31" s="399"/>
      <c r="L31" s="309">
        <f t="shared" si="1"/>
        <v>12089.458867199997</v>
      </c>
      <c r="M31" s="309">
        <f t="shared" si="2"/>
        <v>0</v>
      </c>
      <c r="N31" s="399"/>
      <c r="O31" s="399"/>
      <c r="P31" s="399"/>
      <c r="Q31" s="399"/>
      <c r="R31" s="399"/>
      <c r="S31" s="399"/>
    </row>
    <row r="32" spans="1:19" s="468" customFormat="1" ht="51" x14ac:dyDescent="0.2">
      <c r="A32" s="462" t="s">
        <v>1121</v>
      </c>
      <c r="B32" s="207" t="s">
        <v>3501</v>
      </c>
      <c r="C32" s="207" t="s">
        <v>12717</v>
      </c>
      <c r="D32" s="548" t="str">
        <f>IF(A32="SERVIÇO",VLOOKUP(C32,SERVIÇOS!$A$6:$D$7697,2,0),IF(A32="INSUMO",VLOOKUP(C32,INSUMOS!$A$6:$D$4845,2,0),IF(A32="COTAÇÃO",VLOOKUP(C32,'014-22-cotação'!$A$9:$I$138,2,0),IF(A32="CCU",VLOOKUP(C32,'014-22-CCU''s'!$B$10:$H$450,2,0)))))</f>
        <v>EXECUÇÃO DE RESERVATÓRIO ELEVADO DE ÁGUA (1000 LITROS) EM CANTEIRO DE OBRA, APOIADO EM ESTRUTURA DE MADEIRA. AF_02/2016_PA</v>
      </c>
      <c r="E32" s="549" t="str">
        <f>IF(A32="SERVIÇO",VLOOKUP(C32,SERVIÇOS!$A$6:$D$7697,3,0),IF(A32="INSUMO",VLOOKUP(C32,INSUMOS!$A$6:$D$4845,3,0),IF(A32="COTAÇÃO",VLOOKUP(C32,'014-22-cotação'!$A$9:$I$138,4,0),IF(A32="CCU",VLOOKUP(C32,'014-22-CCU''s'!$B$10:$H$450,4,0)))))</f>
        <v>UN</v>
      </c>
      <c r="F32" s="550">
        <v>3</v>
      </c>
      <c r="G32" s="551">
        <f>IF(A32="SERVIÇO",VLOOKUP(C32,SERVIÇOS!$A$6:$D$7697,4,0),IF(A32="INSUMO",VLOOKUP(C32,INSUMOS!$A$6:$D$4845,4,0),IF(A32="COTAÇÃO",VLOOKUP(C32,'014-22-cotação'!$A$9:$I$138,3,0),IF(A32="CCU",VLOOKUP(C32,'014-22-CCU''s'!$B$10:$H$450,7,0)))))</f>
        <v>6435.22</v>
      </c>
      <c r="H32" s="552">
        <f t="shared" si="3"/>
        <v>0.18559999999999999</v>
      </c>
      <c r="I32" s="551">
        <f>(G32*(1+H32))</f>
        <v>7629.5968320000002</v>
      </c>
      <c r="J32" s="553">
        <f>I32*F32</f>
        <v>22888.790496000001</v>
      </c>
      <c r="K32" s="463"/>
      <c r="L32" s="467">
        <f t="shared" si="1"/>
        <v>22888.790496000001</v>
      </c>
      <c r="M32" s="467">
        <f t="shared" si="2"/>
        <v>0</v>
      </c>
      <c r="N32" s="463"/>
      <c r="O32" s="463"/>
      <c r="P32" s="463"/>
      <c r="Q32" s="463"/>
      <c r="R32" s="463"/>
      <c r="S32" s="463"/>
    </row>
    <row r="33" spans="1:19" s="62" customFormat="1" ht="12.75" customHeight="1" x14ac:dyDescent="0.2">
      <c r="A33" s="199"/>
      <c r="B33" s="273"/>
      <c r="C33" s="273"/>
      <c r="D33" s="280"/>
      <c r="E33" s="273"/>
      <c r="F33" s="290"/>
      <c r="G33" s="290"/>
      <c r="H33" s="290"/>
      <c r="I33" s="290"/>
      <c r="J33" s="291"/>
      <c r="K33" s="213"/>
      <c r="L33" s="307">
        <f t="shared" si="1"/>
        <v>0</v>
      </c>
      <c r="M33" s="307">
        <f t="shared" si="2"/>
        <v>0</v>
      </c>
      <c r="N33" s="213"/>
      <c r="O33" s="213"/>
      <c r="P33" s="213"/>
      <c r="Q33" s="213"/>
      <c r="R33" s="213"/>
      <c r="S33" s="213"/>
    </row>
    <row r="34" spans="1:19" s="62" customFormat="1" ht="12.75" customHeight="1" x14ac:dyDescent="0.2">
      <c r="A34" s="199"/>
      <c r="B34" s="206" t="s">
        <v>3502</v>
      </c>
      <c r="C34" s="206"/>
      <c r="D34" s="278" t="s">
        <v>3503</v>
      </c>
      <c r="E34" s="286"/>
      <c r="F34" s="286"/>
      <c r="G34" s="316"/>
      <c r="H34" s="286"/>
      <c r="I34" s="316"/>
      <c r="J34" s="287"/>
      <c r="K34" s="213"/>
      <c r="L34" s="307">
        <f t="shared" si="1"/>
        <v>0</v>
      </c>
      <c r="M34" s="307">
        <f t="shared" si="2"/>
        <v>0</v>
      </c>
      <c r="N34" s="213"/>
      <c r="O34" s="213"/>
      <c r="P34" s="213"/>
      <c r="Q34" s="213"/>
      <c r="R34" s="213"/>
      <c r="S34" s="213"/>
    </row>
    <row r="35" spans="1:19" s="126" customFormat="1" ht="38.25" x14ac:dyDescent="0.2">
      <c r="A35" s="398" t="s">
        <v>1121</v>
      </c>
      <c r="B35" s="207" t="s">
        <v>3504</v>
      </c>
      <c r="C35" s="207" t="s">
        <v>3460</v>
      </c>
      <c r="D35" s="548" t="str">
        <f>IF(A35="SERVIÇO",VLOOKUP(C35,SERVIÇOS!$A$6:$D$7697,2,0),IF(A35="INSUMO",VLOOKUP(C35,INSUMOS!$A$6:$D$4845,2,0),IF(A35="COTAÇÃO",VLOOKUP(C35,'014-22-cotação'!$A$9:$I$138,2,0),IF(A35="CCU",VLOOKUP(C35,'014-22-CCU''s'!$B$10:$H$450,2,0)))))</f>
        <v>PLACA DE OBRA EM CHAPA DE ACO GALVANIZADO ADESIVADA - FORNECIMENTO E INSTALAÇÃO</v>
      </c>
      <c r="E35" s="549" t="str">
        <f>IF(A35="SERVIÇO",VLOOKUP(C35,SERVIÇOS!$A$6:$D$7697,3,0),IF(A35="INSUMO",VLOOKUP(C35,INSUMOS!$A$6:$D$4845,3,0),IF(A35="COTAÇÃO",VLOOKUP(C35,'014-22-cotação'!$A$9:$I$138,4,0),IF(A35="CCU",VLOOKUP(C35,'014-22-CCU''s'!$B$10:$H$450,4,0)))))</f>
        <v>M2</v>
      </c>
      <c r="F35" s="550">
        <v>14.4</v>
      </c>
      <c r="G35" s="551">
        <f>IF(A35="SERVIÇO",VLOOKUP(C35,SERVIÇOS!$A$6:$D$7697,4,0),IF(A35="INSUMO",VLOOKUP(C35,INSUMOS!$A$6:$D$4845,4,0),IF(A35="COTAÇÃO",VLOOKUP(C35,'014-22-cotação'!$A$9:$I$138,3,0),IF(A35="CCU",VLOOKUP(C35,'014-22-CCU''s'!$B$10:$H$450,7,0)))))</f>
        <v>368.59</v>
      </c>
      <c r="H35" s="552">
        <f t="shared" si="3"/>
        <v>0.18559999999999999</v>
      </c>
      <c r="I35" s="551">
        <f>(G35*(1+H35))</f>
        <v>437.00030399999997</v>
      </c>
      <c r="J35" s="553">
        <f>I35*F35</f>
        <v>6292.8043775999995</v>
      </c>
      <c r="K35" s="399"/>
      <c r="L35" s="309">
        <f t="shared" si="1"/>
        <v>6292.8043775999995</v>
      </c>
      <c r="M35" s="309">
        <f t="shared" si="2"/>
        <v>0</v>
      </c>
      <c r="N35" s="399"/>
      <c r="O35" s="399"/>
      <c r="P35" s="399"/>
      <c r="Q35" s="399"/>
      <c r="R35" s="399"/>
      <c r="S35" s="399"/>
    </row>
    <row r="36" spans="1:19" s="126" customFormat="1" x14ac:dyDescent="0.2">
      <c r="A36" s="398" t="s">
        <v>1120</v>
      </c>
      <c r="B36" s="207" t="s">
        <v>3505</v>
      </c>
      <c r="C36" s="207">
        <v>98459</v>
      </c>
      <c r="D36" s="548" t="str">
        <f>IF(A36="SERVIÇO",VLOOKUP(C36,SERVIÇOS!$A$6:$D$7697,2,0),IF(A36="INSUMO",VLOOKUP(C36,INSUMOS!$A$6:$D$4845,2,0),IF(A36="COTAÇÃO",VLOOKUP(C36,'014-22-cotação'!$A$9:$I$138,2,0),IF(A36="CCU",VLOOKUP(C36,'014-22-CCU''s'!$B$10:$H$450,2,0)))))</f>
        <v>TAPUME COM TELHA METÁLICA. AF_03/2024</v>
      </c>
      <c r="E36" s="549" t="str">
        <f>IF(A36="SERVIÇO",VLOOKUP(C36,SERVIÇOS!$A$6:$D$7697,3,0),IF(A36="INSUMO",VLOOKUP(C36,INSUMOS!$A$6:$D$4845,3,0),IF(A36="COTAÇÃO",VLOOKUP(C36,'014-22-cotação'!$A$9:$I$138,4,0),IF(A36="CCU",VLOOKUP(C36,'014-22-CCU''s'!$B$10:$H$450,4,0)))))</f>
        <v>M2</v>
      </c>
      <c r="F36" s="550">
        <f>1092.32+8.8</f>
        <v>1101.1199999999999</v>
      </c>
      <c r="G36" s="551">
        <f>IF(A36="SERVIÇO",VLOOKUP(C36,SERVIÇOS!$A$6:$D$7697,4,0),IF(A36="INSUMO",VLOOKUP(C36,INSUMOS!$A$6:$D$4845,4,0),IF(A36="COTAÇÃO",VLOOKUP(C36,'014-22-cotação'!$A$9:$I$138,3,0),IF(A36="CCU",VLOOKUP(C36,'014-22-CCU''s'!$B$10:$H$450,7,0)))))</f>
        <v>86.12</v>
      </c>
      <c r="H36" s="552">
        <f t="shared" si="3"/>
        <v>0.18559999999999999</v>
      </c>
      <c r="I36" s="551">
        <f>(G36*(1+H36))</f>
        <v>102.10387200000001</v>
      </c>
      <c r="J36" s="553">
        <f>I36*F36</f>
        <v>112428.61553664001</v>
      </c>
      <c r="K36" s="399"/>
      <c r="L36" s="309">
        <f t="shared" si="1"/>
        <v>112428.61553664001</v>
      </c>
      <c r="M36" s="309">
        <f t="shared" si="2"/>
        <v>0</v>
      </c>
      <c r="N36" s="399"/>
      <c r="O36" s="399"/>
      <c r="P36" s="399"/>
      <c r="Q36" s="399"/>
      <c r="R36" s="399"/>
      <c r="S36" s="399"/>
    </row>
    <row r="37" spans="1:19" s="62" customFormat="1" ht="12.75" customHeight="1" x14ac:dyDescent="0.2">
      <c r="A37" s="199"/>
      <c r="B37" s="273"/>
      <c r="C37" s="273"/>
      <c r="D37" s="280"/>
      <c r="E37" s="273"/>
      <c r="F37" s="290"/>
      <c r="G37" s="290"/>
      <c r="H37" s="290"/>
      <c r="I37" s="290"/>
      <c r="J37" s="291"/>
      <c r="K37" s="213"/>
      <c r="L37" s="307">
        <f t="shared" si="1"/>
        <v>0</v>
      </c>
      <c r="M37" s="307">
        <f t="shared" si="2"/>
        <v>0</v>
      </c>
      <c r="N37" s="213"/>
      <c r="O37" s="213"/>
      <c r="P37" s="213"/>
      <c r="Q37" s="213"/>
      <c r="R37" s="213"/>
      <c r="S37" s="213"/>
    </row>
    <row r="38" spans="1:19" s="62" customFormat="1" ht="12.75" customHeight="1" x14ac:dyDescent="0.2">
      <c r="A38" s="199"/>
      <c r="B38" s="206" t="s">
        <v>3506</v>
      </c>
      <c r="C38" s="206"/>
      <c r="D38" s="279" t="s">
        <v>3507</v>
      </c>
      <c r="E38" s="288"/>
      <c r="F38" s="288"/>
      <c r="G38" s="317"/>
      <c r="H38" s="288"/>
      <c r="I38" s="317"/>
      <c r="J38" s="289"/>
      <c r="K38" s="213"/>
      <c r="L38" s="307">
        <f t="shared" si="1"/>
        <v>0</v>
      </c>
      <c r="M38" s="307">
        <f t="shared" si="2"/>
        <v>0</v>
      </c>
      <c r="N38" s="213"/>
      <c r="O38" s="213"/>
      <c r="P38" s="213"/>
      <c r="Q38" s="213"/>
      <c r="R38" s="213"/>
      <c r="S38" s="213"/>
    </row>
    <row r="39" spans="1:19" s="62" customFormat="1" ht="12.75" customHeight="1" x14ac:dyDescent="0.2">
      <c r="A39" s="199"/>
      <c r="B39" s="206" t="s">
        <v>3508</v>
      </c>
      <c r="C39" s="206"/>
      <c r="D39" s="279" t="s">
        <v>3509</v>
      </c>
      <c r="E39" s="288"/>
      <c r="F39" s="288"/>
      <c r="G39" s="317"/>
      <c r="H39" s="288"/>
      <c r="I39" s="317"/>
      <c r="J39" s="289"/>
      <c r="K39" s="213"/>
      <c r="L39" s="307">
        <f t="shared" si="1"/>
        <v>0</v>
      </c>
      <c r="M39" s="307"/>
      <c r="N39" s="213"/>
      <c r="O39" s="213"/>
      <c r="P39" s="213"/>
      <c r="Q39" s="213"/>
      <c r="R39" s="213"/>
      <c r="S39" s="213"/>
    </row>
    <row r="40" spans="1:19" s="62" customFormat="1" ht="12.75" customHeight="1" x14ac:dyDescent="0.2">
      <c r="A40" s="199"/>
      <c r="B40" s="206" t="s">
        <v>4588</v>
      </c>
      <c r="C40" s="206"/>
      <c r="D40" s="279" t="s">
        <v>4589</v>
      </c>
      <c r="E40" s="288"/>
      <c r="F40" s="288"/>
      <c r="G40" s="317"/>
      <c r="H40" s="288"/>
      <c r="I40" s="317"/>
      <c r="J40" s="289"/>
      <c r="K40" s="213"/>
      <c r="L40" s="307">
        <f t="shared" si="1"/>
        <v>0</v>
      </c>
      <c r="M40" s="307"/>
      <c r="N40" s="213"/>
      <c r="O40" s="213"/>
      <c r="P40" s="213"/>
      <c r="Q40" s="213"/>
      <c r="R40" s="213"/>
      <c r="S40" s="213"/>
    </row>
    <row r="41" spans="1:19" s="126" customFormat="1" ht="51" x14ac:dyDescent="0.2">
      <c r="A41" s="398" t="s">
        <v>1120</v>
      </c>
      <c r="B41" s="207" t="s">
        <v>4590</v>
      </c>
      <c r="C41" s="207">
        <v>97627</v>
      </c>
      <c r="D41" s="548" t="str">
        <f>IF(A41="SERVIÇO",VLOOKUP(C41,SERVIÇOS!$A$6:$D$7697,2,0),IF(A41="INSUMO",VLOOKUP(C41,INSUMOS!$A$6:$D$4845,2,0),IF(A41="COTAÇÃO",VLOOKUP(C41,'014-22-cotação'!$A$9:$I$138,2,0),IF(A41="CCU",VLOOKUP(C41,'014-22-CCU''s'!$B$10:$H$450,2,0)))))</f>
        <v>DEMOLIÇÃO DE PILARES E VIGAS EM CONCRETO ARMADO, DE FORMA MECANIZADA COM MARTELETE, SEM REAPROVEITAMENTO. AF_09/2023</v>
      </c>
      <c r="E41" s="549" t="str">
        <f>IF(A41="SERVIÇO",VLOOKUP(C41,SERVIÇOS!$A$6:$D$7697,3,0),IF(A41="INSUMO",VLOOKUP(C41,INSUMOS!$A$6:$D$4845,3,0),IF(A41="COTAÇÃO",VLOOKUP(C41,'014-22-cotação'!$A$9:$I$138,4,0),IF(A41="CCU",VLOOKUP(C41,'014-22-CCU''s'!$B$10:$H$450,4,0)))))</f>
        <v>M3</v>
      </c>
      <c r="F41" s="550">
        <v>3.46</v>
      </c>
      <c r="G41" s="551">
        <f>IF(A41="SERVIÇO",VLOOKUP(C41,SERVIÇOS!$A$6:$D$7697,4,0),IF(A41="INSUMO",VLOOKUP(C41,INSUMOS!$A$6:$D$4845,4,0),IF(A41="COTAÇÃO",VLOOKUP(C41,'014-22-cotação'!$A$9:$I$138,3,0),IF(A41="CCU",VLOOKUP(C41,'014-22-CCU''s'!$B$10:$H$450,7,0)))))</f>
        <v>195.64</v>
      </c>
      <c r="H41" s="552">
        <f t="shared" ref="H41:H42" si="10">$F$9</f>
        <v>0.18559999999999999</v>
      </c>
      <c r="I41" s="551">
        <f>(G41*(1+H41))</f>
        <v>231.95078399999997</v>
      </c>
      <c r="J41" s="553">
        <f>I41*F41</f>
        <v>802.54971263999994</v>
      </c>
      <c r="K41" s="399"/>
      <c r="L41" s="309">
        <f t="shared" si="1"/>
        <v>802.54971263999994</v>
      </c>
      <c r="M41" s="309"/>
      <c r="N41" s="399"/>
      <c r="O41" s="399"/>
      <c r="P41" s="399"/>
      <c r="Q41" s="399"/>
      <c r="R41" s="399"/>
      <c r="S41" s="399"/>
    </row>
    <row r="42" spans="1:19" s="126" customFormat="1" ht="51" x14ac:dyDescent="0.2">
      <c r="A42" s="398" t="s">
        <v>1120</v>
      </c>
      <c r="B42" s="207" t="s">
        <v>4591</v>
      </c>
      <c r="C42" s="207">
        <v>97629</v>
      </c>
      <c r="D42" s="548" t="str">
        <f>IF(A42="SERVIÇO",VLOOKUP(C42,SERVIÇOS!$A$6:$D$7697,2,0),IF(A42="INSUMO",VLOOKUP(C42,INSUMOS!$A$6:$D$4845,2,0),IF(A42="COTAÇÃO",VLOOKUP(C42,'014-22-cotação'!$A$9:$I$138,2,0),IF(A42="CCU",VLOOKUP(C42,'014-22-CCU''s'!$B$10:$H$450,2,0)))))</f>
        <v>DEMOLIÇÃO DE LAJES, EM CONCRETO ARMADO, DE FORMA MECANIZADA COM MARTELETE, SEM REAPROVEITAMENTO. AF_09/2023</v>
      </c>
      <c r="E42" s="549" t="str">
        <f>IF(A42="SERVIÇO",VLOOKUP(C42,SERVIÇOS!$A$6:$D$7697,3,0),IF(A42="INSUMO",VLOOKUP(C42,INSUMOS!$A$6:$D$4845,3,0),IF(A42="COTAÇÃO",VLOOKUP(C42,'014-22-cotação'!$A$9:$I$138,4,0),IF(A42="CCU",VLOOKUP(C42,'014-22-CCU''s'!$B$10:$H$450,4,0)))))</f>
        <v>M3</v>
      </c>
      <c r="F42" s="550">
        <v>6.96</v>
      </c>
      <c r="G42" s="551">
        <f>IF(A42="SERVIÇO",VLOOKUP(C42,SERVIÇOS!$A$6:$D$7697,4,0),IF(A42="INSUMO",VLOOKUP(C42,INSUMOS!$A$6:$D$4845,4,0),IF(A42="COTAÇÃO",VLOOKUP(C42,'014-22-cotação'!$A$9:$I$138,3,0),IF(A42="CCU",VLOOKUP(C42,'014-22-CCU''s'!$B$10:$H$450,7,0)))))</f>
        <v>91.11</v>
      </c>
      <c r="H42" s="552">
        <f t="shared" si="10"/>
        <v>0.18559999999999999</v>
      </c>
      <c r="I42" s="551">
        <f>(G42*(1+H42))</f>
        <v>108.020016</v>
      </c>
      <c r="J42" s="553">
        <f>I42*F42</f>
        <v>751.81931136000003</v>
      </c>
      <c r="K42" s="399"/>
      <c r="L42" s="309">
        <f t="shared" si="1"/>
        <v>751.81931136000003</v>
      </c>
      <c r="M42" s="309"/>
      <c r="N42" s="399"/>
      <c r="O42" s="399"/>
      <c r="P42" s="399"/>
      <c r="Q42" s="399"/>
      <c r="R42" s="399"/>
      <c r="S42" s="399"/>
    </row>
    <row r="43" spans="1:19" s="62" customFormat="1" ht="12.75" customHeight="1" x14ac:dyDescent="0.2">
      <c r="A43" s="199"/>
      <c r="B43" s="273"/>
      <c r="C43" s="273"/>
      <c r="D43" s="280"/>
      <c r="E43" s="273"/>
      <c r="F43" s="290"/>
      <c r="G43" s="290"/>
      <c r="H43" s="290"/>
      <c r="I43" s="290"/>
      <c r="J43" s="291"/>
      <c r="K43" s="213"/>
      <c r="L43" s="307">
        <f t="shared" si="1"/>
        <v>0</v>
      </c>
      <c r="M43" s="307"/>
      <c r="N43" s="213"/>
      <c r="O43" s="213"/>
      <c r="P43" s="213"/>
      <c r="Q43" s="213"/>
      <c r="R43" s="213"/>
      <c r="S43" s="213"/>
    </row>
    <row r="44" spans="1:19" s="62" customFormat="1" ht="12.75" customHeight="1" x14ac:dyDescent="0.2">
      <c r="A44" s="199"/>
      <c r="B44" s="206" t="s">
        <v>4592</v>
      </c>
      <c r="C44" s="206"/>
      <c r="D44" s="279" t="s">
        <v>4593</v>
      </c>
      <c r="E44" s="288"/>
      <c r="F44" s="288"/>
      <c r="G44" s="317"/>
      <c r="H44" s="288"/>
      <c r="I44" s="317"/>
      <c r="J44" s="289"/>
      <c r="K44" s="213"/>
      <c r="L44" s="307">
        <f t="shared" si="1"/>
        <v>0</v>
      </c>
      <c r="M44" s="307"/>
      <c r="N44" s="213"/>
      <c r="O44" s="213"/>
      <c r="P44" s="213"/>
      <c r="Q44" s="213"/>
      <c r="R44" s="213"/>
      <c r="S44" s="213"/>
    </row>
    <row r="45" spans="1:19" s="126" customFormat="1" ht="38.25" x14ac:dyDescent="0.2">
      <c r="A45" s="398" t="s">
        <v>1120</v>
      </c>
      <c r="B45" s="207" t="s">
        <v>4594</v>
      </c>
      <c r="C45" s="207">
        <v>97622</v>
      </c>
      <c r="D45" s="548" t="str">
        <f>IF(A45="SERVIÇO",VLOOKUP(C45,SERVIÇOS!$A$6:$D$7697,2,0),IF(A45="INSUMO",VLOOKUP(C45,INSUMOS!$A$6:$D$4845,2,0),IF(A45="COTAÇÃO",VLOOKUP(C45,'014-22-cotação'!$A$9:$I$138,2,0),IF(A45="CCU",VLOOKUP(C45,'014-22-CCU''s'!$B$10:$H$450,2,0)))))</f>
        <v>DEMOLIÇÃO DE ALVENARIA DE BLOCO FURADO, DE FORMA MANUAL, SEM REAPROVEITAMENTO. AF_09/2023</v>
      </c>
      <c r="E45" s="549" t="str">
        <f>IF(A45="SERVIÇO",VLOOKUP(C45,SERVIÇOS!$A$6:$D$7697,3,0),IF(A45="INSUMO",VLOOKUP(C45,INSUMOS!$A$6:$D$4845,3,0),IF(A45="COTAÇÃO",VLOOKUP(C45,'014-22-cotação'!$A$9:$I$138,4,0),IF(A45="CCU",VLOOKUP(C45,'014-22-CCU''s'!$B$10:$H$450,4,0)))))</f>
        <v>M3</v>
      </c>
      <c r="F45" s="550">
        <v>1.69</v>
      </c>
      <c r="G45" s="551">
        <f>IF(A45="SERVIÇO",VLOOKUP(C45,SERVIÇOS!$A$6:$D$7697,4,0),IF(A45="INSUMO",VLOOKUP(C45,INSUMOS!$A$6:$D$4845,4,0),IF(A45="COTAÇÃO",VLOOKUP(C45,'014-22-cotação'!$A$9:$I$138,3,0),IF(A45="CCU",VLOOKUP(C45,'014-22-CCU''s'!$B$10:$H$450,7,0)))))</f>
        <v>62.38</v>
      </c>
      <c r="H45" s="552">
        <f t="shared" ref="H45" si="11">$F$9</f>
        <v>0.18559999999999999</v>
      </c>
      <c r="I45" s="551">
        <f t="shared" ref="I45" si="12">(G45*(1+H45))</f>
        <v>73.957728000000003</v>
      </c>
      <c r="J45" s="553">
        <f t="shared" ref="J45" si="13">I45*F45</f>
        <v>124.98856032</v>
      </c>
      <c r="K45" s="399"/>
      <c r="L45" s="309">
        <f t="shared" si="1"/>
        <v>124.98856032</v>
      </c>
      <c r="M45" s="309"/>
      <c r="N45" s="399"/>
      <c r="O45" s="399"/>
      <c r="P45" s="399"/>
      <c r="Q45" s="399"/>
      <c r="R45" s="399"/>
      <c r="S45" s="399"/>
    </row>
    <row r="46" spans="1:19" s="62" customFormat="1" ht="12.75" customHeight="1" x14ac:dyDescent="0.2">
      <c r="A46" s="199"/>
      <c r="B46" s="273"/>
      <c r="C46" s="273"/>
      <c r="D46" s="280"/>
      <c r="E46" s="273"/>
      <c r="F46" s="290"/>
      <c r="G46" s="290"/>
      <c r="H46" s="290"/>
      <c r="I46" s="290"/>
      <c r="J46" s="291"/>
      <c r="K46" s="213"/>
      <c r="L46" s="307">
        <f t="shared" si="1"/>
        <v>0</v>
      </c>
      <c r="M46" s="307"/>
      <c r="N46" s="213"/>
      <c r="O46" s="213"/>
      <c r="P46" s="213"/>
      <c r="Q46" s="213"/>
      <c r="R46" s="213"/>
      <c r="S46" s="213"/>
    </row>
    <row r="47" spans="1:19" s="62" customFormat="1" ht="12.75" customHeight="1" x14ac:dyDescent="0.2">
      <c r="A47" s="199"/>
      <c r="B47" s="206" t="s">
        <v>4595</v>
      </c>
      <c r="C47" s="206"/>
      <c r="D47" s="279" t="s">
        <v>3895</v>
      </c>
      <c r="E47" s="288"/>
      <c r="F47" s="288"/>
      <c r="G47" s="317"/>
      <c r="H47" s="288"/>
      <c r="I47" s="317"/>
      <c r="J47" s="289"/>
      <c r="K47" s="213"/>
      <c r="L47" s="307">
        <f t="shared" si="1"/>
        <v>0</v>
      </c>
      <c r="M47" s="307"/>
      <c r="N47" s="213"/>
      <c r="O47" s="213"/>
      <c r="P47" s="213"/>
      <c r="Q47" s="213"/>
      <c r="R47" s="213"/>
      <c r="S47" s="213"/>
    </row>
    <row r="48" spans="1:19" s="126" customFormat="1" ht="38.25" x14ac:dyDescent="0.2">
      <c r="A48" s="398" t="s">
        <v>1121</v>
      </c>
      <c r="B48" s="207" t="s">
        <v>4596</v>
      </c>
      <c r="C48" s="207" t="s">
        <v>3462</v>
      </c>
      <c r="D48" s="548" t="str">
        <f>IF(A48="SERVIÇO",VLOOKUP(C48,SERVIÇOS!$A$6:$D$7697,2,0),IF(A48="INSUMO",VLOOKUP(C48,INSUMOS!$A$6:$D$4845,2,0),IF(A48="COTAÇÃO",VLOOKUP(C48,'014-22-cotação'!$A$9:$I$138,2,0),IF(A48="CCU",VLOOKUP(C48,'014-22-CCU''s'!$B$10:$H$450,2,0)))))</f>
        <v>DEMOLIÇÃO DE PISOS/CALÇADAS, DE FORMA MECANIZADA COM MARTELETE, SEM REAPROVEITAMENTO</v>
      </c>
      <c r="E48" s="549" t="str">
        <f>IF(A48="SERVIÇO",VLOOKUP(C48,SERVIÇOS!$A$6:$D$7697,3,0),IF(A48="INSUMO",VLOOKUP(C48,INSUMOS!$A$6:$D$4845,3,0),IF(A48="COTAÇÃO",VLOOKUP(C48,'014-22-cotação'!$A$9:$I$138,4,0),IF(A48="CCU",VLOOKUP(C48,'014-22-CCU''s'!$B$10:$H$450,4,0)))))</f>
        <v>M3</v>
      </c>
      <c r="F48" s="550">
        <v>490.24</v>
      </c>
      <c r="G48" s="551">
        <f>IF(A48="SERVIÇO",VLOOKUP(C48,SERVIÇOS!$A$6:$D$7697,4,0),IF(A48="INSUMO",VLOOKUP(C48,INSUMOS!$A$6:$D$4845,4,0),IF(A48="COTAÇÃO",VLOOKUP(C48,'014-22-cotação'!$A$9:$I$138,3,0),IF(A48="CCU",VLOOKUP(C48,'014-22-CCU''s'!$B$10:$H$450,7,0)))))</f>
        <v>141.74</v>
      </c>
      <c r="H48" s="552">
        <f t="shared" ref="H48" si="14">$F$9</f>
        <v>0.18559999999999999</v>
      </c>
      <c r="I48" s="551">
        <f t="shared" ref="I48" si="15">(G48*(1+H48))</f>
        <v>168.046944</v>
      </c>
      <c r="J48" s="553">
        <f t="shared" ref="J48" si="16">I48*F48</f>
        <v>82383.333826560003</v>
      </c>
      <c r="K48" s="399"/>
      <c r="L48" s="309">
        <f t="shared" si="1"/>
        <v>82383.333826560003</v>
      </c>
      <c r="M48" s="309"/>
      <c r="N48" s="399"/>
      <c r="O48" s="399"/>
      <c r="P48" s="399"/>
      <c r="Q48" s="399"/>
      <c r="R48" s="399"/>
      <c r="S48" s="399"/>
    </row>
    <row r="49" spans="1:19" s="62" customFormat="1" ht="12.75" customHeight="1" x14ac:dyDescent="0.2">
      <c r="A49" s="199"/>
      <c r="B49" s="273"/>
      <c r="C49" s="273"/>
      <c r="D49" s="280"/>
      <c r="E49" s="273"/>
      <c r="F49" s="290"/>
      <c r="G49" s="290"/>
      <c r="H49" s="290"/>
      <c r="I49" s="290"/>
      <c r="J49" s="291"/>
      <c r="K49" s="213"/>
      <c r="L49" s="307">
        <f t="shared" si="1"/>
        <v>0</v>
      </c>
      <c r="M49" s="307"/>
      <c r="N49" s="213"/>
      <c r="O49" s="213"/>
      <c r="P49" s="213"/>
      <c r="Q49" s="213"/>
      <c r="R49" s="213"/>
      <c r="S49" s="213"/>
    </row>
    <row r="50" spans="1:19" s="62" customFormat="1" ht="12.75" customHeight="1" x14ac:dyDescent="0.2">
      <c r="A50" s="199"/>
      <c r="B50" s="206" t="s">
        <v>4597</v>
      </c>
      <c r="C50" s="206"/>
      <c r="D50" s="279" t="s">
        <v>4608</v>
      </c>
      <c r="E50" s="288"/>
      <c r="F50" s="288"/>
      <c r="G50" s="317"/>
      <c r="H50" s="288"/>
      <c r="I50" s="317"/>
      <c r="J50" s="289"/>
      <c r="K50" s="213"/>
      <c r="L50" s="307">
        <f t="shared" si="1"/>
        <v>0</v>
      </c>
      <c r="M50" s="307"/>
      <c r="N50" s="213"/>
      <c r="O50" s="213"/>
      <c r="P50" s="213"/>
      <c r="Q50" s="213"/>
      <c r="R50" s="213"/>
      <c r="S50" s="213"/>
    </row>
    <row r="51" spans="1:19" s="126" customFormat="1" ht="38.25" x14ac:dyDescent="0.2">
      <c r="A51" s="398" t="s">
        <v>1121</v>
      </c>
      <c r="B51" s="207" t="s">
        <v>4598</v>
      </c>
      <c r="C51" s="207" t="s">
        <v>3537</v>
      </c>
      <c r="D51" s="548" t="str">
        <f>IF(A51="SERVIÇO",VLOOKUP(C51,SERVIÇOS!$A$6:$D$7697,2,0),IF(A51="INSUMO",VLOOKUP(C51,INSUMOS!$A$6:$D$4845,2,0),IF(A51="COTAÇÃO",VLOOKUP(C51,'014-22-cotação'!$A$9:$I$138,2,0),IF(A51="CCU",VLOOKUP(C51,'014-22-CCU''s'!$B$10:$H$450,2,0)))))</f>
        <v>DEMOLIÇÃO DE BANCOS E CONCRETO, DE FORMA MECANIZADA COM MARTELETE, SEM REAPROVEITAMENTO</v>
      </c>
      <c r="E51" s="549" t="str">
        <f>IF(A51="SERVIÇO",VLOOKUP(C51,SERVIÇOS!$A$6:$D$7697,3,0),IF(A51="INSUMO",VLOOKUP(C51,INSUMOS!$A$6:$D$4845,3,0),IF(A51="COTAÇÃO",VLOOKUP(C51,'014-22-cotação'!$A$9:$I$138,4,0),IF(A51="CCU",VLOOKUP(C51,'014-22-CCU''s'!$B$10:$H$450,4,0)))))</f>
        <v>M3</v>
      </c>
      <c r="F51" s="550">
        <v>5.52</v>
      </c>
      <c r="G51" s="551">
        <f>IF(A51="SERVIÇO",VLOOKUP(C51,SERVIÇOS!$A$6:$D$7697,4,0),IF(A51="INSUMO",VLOOKUP(C51,INSUMOS!$A$6:$D$4845,4,0),IF(A51="COTAÇÃO",VLOOKUP(C51,'014-22-cotação'!$A$9:$I$138,3,0),IF(A51="CCU",VLOOKUP(C51,'014-22-CCU''s'!$B$10:$H$450,7,0)))))</f>
        <v>141.74</v>
      </c>
      <c r="H51" s="552">
        <f t="shared" ref="H51:H53" si="17">$F$9</f>
        <v>0.18559999999999999</v>
      </c>
      <c r="I51" s="551">
        <f t="shared" ref="I51:I53" si="18">(G51*(1+H51))</f>
        <v>168.046944</v>
      </c>
      <c r="J51" s="553">
        <f t="shared" ref="J51:J53" si="19">I51*F51</f>
        <v>927.61913087999994</v>
      </c>
      <c r="K51" s="399"/>
      <c r="L51" s="309">
        <f t="shared" si="1"/>
        <v>927.61913087999994</v>
      </c>
      <c r="M51" s="309"/>
      <c r="N51" s="399"/>
      <c r="O51" s="399"/>
      <c r="P51" s="399"/>
      <c r="Q51" s="399"/>
      <c r="R51" s="399"/>
      <c r="S51" s="399"/>
    </row>
    <row r="52" spans="1:19" s="126" customFormat="1" x14ac:dyDescent="0.2">
      <c r="A52" s="398" t="s">
        <v>1121</v>
      </c>
      <c r="B52" s="207" t="s">
        <v>4599</v>
      </c>
      <c r="C52" s="207" t="s">
        <v>4601</v>
      </c>
      <c r="D52" s="548" t="str">
        <f>IF(A52="SERVIÇO",VLOOKUP(C52,SERVIÇOS!$A$6:$D$7697,2,0),IF(A52="INSUMO",VLOOKUP(C52,INSUMOS!$A$6:$D$4845,2,0),IF(A52="COTAÇÃO",VLOOKUP(C52,'014-22-cotação'!$A$9:$I$138,2,0),IF(A52="CCU",VLOOKUP(C52,'014-22-CCU''s'!$B$10:$H$450,2,0)))))</f>
        <v>REMOÇÃO DE LIXEIRAS</v>
      </c>
      <c r="E52" s="549" t="str">
        <f>IF(A52="SERVIÇO",VLOOKUP(C52,SERVIÇOS!$A$6:$D$7697,3,0),IF(A52="INSUMO",VLOOKUP(C52,INSUMOS!$A$6:$D$4845,3,0),IF(A52="COTAÇÃO",VLOOKUP(C52,'014-22-cotação'!$A$9:$I$138,4,0),IF(A52="CCU",VLOOKUP(C52,'014-22-CCU''s'!$B$10:$H$450,4,0)))))</f>
        <v xml:space="preserve">UN    </v>
      </c>
      <c r="F52" s="550">
        <v>10</v>
      </c>
      <c r="G52" s="551">
        <f>IF(A52="SERVIÇO",VLOOKUP(C52,SERVIÇOS!$A$6:$D$7697,4,0),IF(A52="INSUMO",VLOOKUP(C52,INSUMOS!$A$6:$D$4845,4,0),IF(A52="COTAÇÃO",VLOOKUP(C52,'014-22-cotação'!$A$9:$I$138,3,0),IF(A52="CCU",VLOOKUP(C52,'014-22-CCU''s'!$B$10:$H$450,7,0)))))</f>
        <v>23.4</v>
      </c>
      <c r="H52" s="552">
        <f t="shared" si="17"/>
        <v>0.18559999999999999</v>
      </c>
      <c r="I52" s="551">
        <f t="shared" si="18"/>
        <v>27.743039999999997</v>
      </c>
      <c r="J52" s="553">
        <f t="shared" si="19"/>
        <v>277.43039999999996</v>
      </c>
      <c r="K52" s="399"/>
      <c r="L52" s="309">
        <f t="shared" si="1"/>
        <v>277.43039999999996</v>
      </c>
      <c r="M52" s="309"/>
      <c r="N52" s="399"/>
      <c r="O52" s="399"/>
      <c r="P52" s="399"/>
      <c r="Q52" s="399"/>
      <c r="R52" s="399"/>
      <c r="S52" s="399"/>
    </row>
    <row r="53" spans="1:19" s="126" customFormat="1" ht="25.5" x14ac:dyDescent="0.2">
      <c r="A53" s="398" t="s">
        <v>1121</v>
      </c>
      <c r="B53" s="207" t="s">
        <v>4600</v>
      </c>
      <c r="C53" s="207" t="s">
        <v>4612</v>
      </c>
      <c r="D53" s="548" t="str">
        <f>IF(A53="SERVIÇO",VLOOKUP(C53,SERVIÇOS!$A$6:$D$7697,2,0),IF(A53="INSUMO",VLOOKUP(C53,INSUMOS!$A$6:$D$4845,2,0),IF(A53="COTAÇÃO",VLOOKUP(C53,'014-22-cotação'!$A$9:$I$138,2,0),IF(A53="CCU",VLOOKUP(C53,'014-22-CCU''s'!$B$10:$H$450,2,0)))))</f>
        <v>REMOÇÃO DE TUBO GALVANIZADO, BITOLAS DIVERSAS</v>
      </c>
      <c r="E53" s="549" t="str">
        <f>IF(A53="SERVIÇO",VLOOKUP(C53,SERVIÇOS!$A$6:$D$7697,3,0),IF(A53="INSUMO",VLOOKUP(C53,INSUMOS!$A$6:$D$4845,3,0),IF(A53="COTAÇÃO",VLOOKUP(C53,'014-22-cotação'!$A$9:$I$138,4,0),IF(A53="CCU",VLOOKUP(C53,'014-22-CCU''s'!$B$10:$H$450,4,0)))))</f>
        <v>M</v>
      </c>
      <c r="F53" s="550">
        <v>60</v>
      </c>
      <c r="G53" s="551">
        <f>IF(A53="SERVIÇO",VLOOKUP(C53,SERVIÇOS!$A$6:$D$7697,4,0),IF(A53="INSUMO",VLOOKUP(C53,INSUMOS!$A$6:$D$4845,4,0),IF(A53="COTAÇÃO",VLOOKUP(C53,'014-22-cotação'!$A$9:$I$138,3,0),IF(A53="CCU",VLOOKUP(C53,'014-22-CCU''s'!$B$10:$H$450,7,0)))))</f>
        <v>8.4700000000000006</v>
      </c>
      <c r="H53" s="552">
        <f t="shared" si="17"/>
        <v>0.18559999999999999</v>
      </c>
      <c r="I53" s="551">
        <f t="shared" si="18"/>
        <v>10.042032000000001</v>
      </c>
      <c r="J53" s="553">
        <f t="shared" si="19"/>
        <v>602.52192000000002</v>
      </c>
      <c r="K53" s="399"/>
      <c r="L53" s="309">
        <f t="shared" si="1"/>
        <v>602.52192000000002</v>
      </c>
      <c r="M53" s="309"/>
      <c r="N53" s="399"/>
      <c r="O53" s="399"/>
      <c r="P53" s="399"/>
      <c r="Q53" s="399"/>
      <c r="R53" s="399"/>
      <c r="S53" s="399"/>
    </row>
    <row r="54" spans="1:19" s="62" customFormat="1" ht="12.75" customHeight="1" x14ac:dyDescent="0.2">
      <c r="A54" s="199"/>
      <c r="B54" s="273"/>
      <c r="C54" s="273"/>
      <c r="D54" s="280"/>
      <c r="E54" s="273"/>
      <c r="F54" s="290"/>
      <c r="G54" s="290"/>
      <c r="H54" s="290"/>
      <c r="I54" s="290"/>
      <c r="J54" s="291"/>
      <c r="K54" s="213"/>
      <c r="L54" s="307">
        <f t="shared" si="1"/>
        <v>0</v>
      </c>
      <c r="M54" s="307"/>
      <c r="N54" s="213"/>
      <c r="O54" s="213"/>
      <c r="P54" s="213"/>
      <c r="Q54" s="213"/>
      <c r="R54" s="213"/>
      <c r="S54" s="213"/>
    </row>
    <row r="55" spans="1:19" s="62" customFormat="1" ht="12.75" customHeight="1" x14ac:dyDescent="0.2">
      <c r="A55" s="199"/>
      <c r="B55" s="206" t="s">
        <v>4602</v>
      </c>
      <c r="C55" s="206"/>
      <c r="D55" s="279" t="s">
        <v>3510</v>
      </c>
      <c r="E55" s="288"/>
      <c r="F55" s="288"/>
      <c r="G55" s="317"/>
      <c r="H55" s="288"/>
      <c r="I55" s="317"/>
      <c r="J55" s="289"/>
      <c r="K55" s="213"/>
      <c r="L55" s="307">
        <f t="shared" si="1"/>
        <v>0</v>
      </c>
      <c r="M55" s="307"/>
      <c r="N55" s="213"/>
      <c r="O55" s="213"/>
      <c r="P55" s="213"/>
      <c r="Q55" s="213"/>
      <c r="R55" s="213"/>
      <c r="S55" s="213"/>
    </row>
    <row r="56" spans="1:19" s="126" customFormat="1" ht="51" x14ac:dyDescent="0.2">
      <c r="A56" s="398" t="s">
        <v>1120</v>
      </c>
      <c r="B56" s="207" t="s">
        <v>4603</v>
      </c>
      <c r="C56" s="207">
        <v>98526</v>
      </c>
      <c r="D56" s="548" t="str">
        <f>IF(A56="SERVIÇO",VLOOKUP(C56,SERVIÇOS!$A$6:$D$7697,2,0),IF(A56="INSUMO",VLOOKUP(C56,INSUMOS!$A$6:$D$4845,2,0),IF(A56="COTAÇÃO",VLOOKUP(C56,'014-22-cotação'!$A$9:$I$138,2,0),IF(A56="CCU",VLOOKUP(C56,'014-22-CCU''s'!$B$10:$H$450,2,0)))))</f>
        <v>REMOÇÃO DE RAÍZES REMANESCENTES DE TRONCO DE ÁRVORE COM DIÂMETRO MAIOR OU IGUAL A 0,20 M E MENOR QUE 0,40 M. AF_03/2024</v>
      </c>
      <c r="E56" s="549" t="str">
        <f>IF(A56="SERVIÇO",VLOOKUP(C56,SERVIÇOS!$A$6:$D$7697,3,0),IF(A56="INSUMO",VLOOKUP(C56,INSUMOS!$A$6:$D$4845,3,0),IF(A56="COTAÇÃO",VLOOKUP(C56,'014-22-cotação'!$A$9:$I$138,4,0),IF(A56="CCU",VLOOKUP(C56,'014-22-CCU''s'!$B$10:$H$450,4,0)))))</f>
        <v>UN</v>
      </c>
      <c r="F56" s="550">
        <v>4</v>
      </c>
      <c r="G56" s="551">
        <f>IF(A56="SERVIÇO",VLOOKUP(C56,SERVIÇOS!$A$6:$D$7697,4,0),IF(A56="INSUMO",VLOOKUP(C56,INSUMOS!$A$6:$D$4845,4,0),IF(A56="COTAÇÃO",VLOOKUP(C56,'014-22-cotação'!$A$9:$I$138,3,0),IF(A56="CCU",VLOOKUP(C56,'014-22-CCU''s'!$B$10:$H$450,7,0)))))</f>
        <v>131.13999999999999</v>
      </c>
      <c r="H56" s="552">
        <f t="shared" ref="H56:H58" si="20">$F$9</f>
        <v>0.18559999999999999</v>
      </c>
      <c r="I56" s="551">
        <f t="shared" ref="I56:I58" si="21">(G56*(1+H56))</f>
        <v>155.47958399999999</v>
      </c>
      <c r="J56" s="553">
        <f t="shared" ref="J56:J58" si="22">I56*F56</f>
        <v>621.91833599999995</v>
      </c>
      <c r="K56" s="399"/>
      <c r="L56" s="309">
        <f t="shared" si="1"/>
        <v>621.91833599999995</v>
      </c>
      <c r="M56" s="309"/>
      <c r="N56" s="399"/>
      <c r="O56" s="399"/>
      <c r="P56" s="399"/>
      <c r="Q56" s="399"/>
      <c r="R56" s="399"/>
      <c r="S56" s="399"/>
    </row>
    <row r="57" spans="1:19" s="126" customFormat="1" ht="51" x14ac:dyDescent="0.2">
      <c r="A57" s="398" t="s">
        <v>1120</v>
      </c>
      <c r="B57" s="207" t="s">
        <v>4604</v>
      </c>
      <c r="C57" s="207">
        <v>98527</v>
      </c>
      <c r="D57" s="548" t="str">
        <f>IF(A57="SERVIÇO",VLOOKUP(C57,SERVIÇOS!$A$6:$D$7697,2,0),IF(A57="INSUMO",VLOOKUP(C57,INSUMOS!$A$6:$D$4845,2,0),IF(A57="COTAÇÃO",VLOOKUP(C57,'014-22-cotação'!$A$9:$I$138,2,0),IF(A57="CCU",VLOOKUP(C57,'014-22-CCU''s'!$B$10:$H$450,2,0)))))</f>
        <v>REMOÇÃO DE RAÍZES REMANESCENTES DE TRONCO DE ÁRVORE COM DIÂMETRO MAIOR OU IGUAL A 0,40 M E MENOR QUE 0,60 M. AF_03/2024</v>
      </c>
      <c r="E57" s="549" t="str">
        <f>IF(A57="SERVIÇO",VLOOKUP(C57,SERVIÇOS!$A$6:$D$7697,3,0),IF(A57="INSUMO",VLOOKUP(C57,INSUMOS!$A$6:$D$4845,3,0),IF(A57="COTAÇÃO",VLOOKUP(C57,'014-22-cotação'!$A$9:$I$138,4,0),IF(A57="CCU",VLOOKUP(C57,'014-22-CCU''s'!$B$10:$H$450,4,0)))))</f>
        <v>UN</v>
      </c>
      <c r="F57" s="550">
        <v>4</v>
      </c>
      <c r="G57" s="551">
        <f>IF(A57="SERVIÇO",VLOOKUP(C57,SERVIÇOS!$A$6:$D$7697,4,0),IF(A57="INSUMO",VLOOKUP(C57,INSUMOS!$A$6:$D$4845,4,0),IF(A57="COTAÇÃO",VLOOKUP(C57,'014-22-cotação'!$A$9:$I$138,3,0),IF(A57="CCU",VLOOKUP(C57,'014-22-CCU''s'!$B$10:$H$450,7,0)))))</f>
        <v>217.64</v>
      </c>
      <c r="H57" s="552">
        <f t="shared" si="20"/>
        <v>0.18559999999999999</v>
      </c>
      <c r="I57" s="551">
        <f t="shared" si="21"/>
        <v>258.03398399999998</v>
      </c>
      <c r="J57" s="553">
        <f t="shared" si="22"/>
        <v>1032.1359359999999</v>
      </c>
      <c r="K57" s="399"/>
      <c r="L57" s="309">
        <f t="shared" si="1"/>
        <v>1032.1359359999999</v>
      </c>
      <c r="M57" s="309"/>
      <c r="N57" s="399"/>
      <c r="O57" s="399"/>
      <c r="P57" s="399"/>
      <c r="Q57" s="399"/>
      <c r="R57" s="399"/>
      <c r="S57" s="399"/>
    </row>
    <row r="58" spans="1:19" s="126" customFormat="1" ht="38.25" x14ac:dyDescent="0.2">
      <c r="A58" s="398" t="s">
        <v>1120</v>
      </c>
      <c r="B58" s="207" t="s">
        <v>4605</v>
      </c>
      <c r="C58" s="207">
        <v>98528</v>
      </c>
      <c r="D58" s="548" t="str">
        <f>IF(A58="SERVIÇO",VLOOKUP(C58,SERVIÇOS!$A$6:$D$7697,2,0),IF(A58="INSUMO",VLOOKUP(C58,INSUMOS!$A$6:$D$4845,2,0),IF(A58="COTAÇÃO",VLOOKUP(C58,'014-22-cotação'!$A$9:$I$138,2,0),IF(A58="CCU",VLOOKUP(C58,'014-22-CCU''s'!$B$10:$H$450,2,0)))))</f>
        <v>REMOÇÃO DE RAÍZES REMANESCENTES DE TRONCO DE ÁRVORE COM DIÂMETRO MAIOR OU IGUAL A 0,60 M. AF_03/2024</v>
      </c>
      <c r="E58" s="549" t="str">
        <f>IF(A58="SERVIÇO",VLOOKUP(C58,SERVIÇOS!$A$6:$D$7697,3,0),IF(A58="INSUMO",VLOOKUP(C58,INSUMOS!$A$6:$D$4845,3,0),IF(A58="COTAÇÃO",VLOOKUP(C58,'014-22-cotação'!$A$9:$I$138,4,0),IF(A58="CCU",VLOOKUP(C58,'014-22-CCU''s'!$B$10:$H$450,4,0)))))</f>
        <v>UN</v>
      </c>
      <c r="F58" s="550">
        <v>8</v>
      </c>
      <c r="G58" s="551">
        <f>IF(A58="SERVIÇO",VLOOKUP(C58,SERVIÇOS!$A$6:$D$7697,4,0),IF(A58="INSUMO",VLOOKUP(C58,INSUMOS!$A$6:$D$4845,4,0),IF(A58="COTAÇÃO",VLOOKUP(C58,'014-22-cotação'!$A$9:$I$138,3,0),IF(A58="CCU",VLOOKUP(C58,'014-22-CCU''s'!$B$10:$H$450,7,0)))))</f>
        <v>286.85000000000002</v>
      </c>
      <c r="H58" s="552">
        <f t="shared" si="20"/>
        <v>0.18559999999999999</v>
      </c>
      <c r="I58" s="551">
        <f t="shared" si="21"/>
        <v>340.08936</v>
      </c>
      <c r="J58" s="553">
        <f t="shared" si="22"/>
        <v>2720.71488</v>
      </c>
      <c r="K58" s="399"/>
      <c r="L58" s="309">
        <f t="shared" si="1"/>
        <v>2720.71488</v>
      </c>
      <c r="M58" s="309"/>
      <c r="N58" s="399"/>
      <c r="O58" s="399"/>
      <c r="P58" s="399"/>
      <c r="Q58" s="399"/>
      <c r="R58" s="399"/>
      <c r="S58" s="399"/>
    </row>
    <row r="59" spans="1:19" s="62" customFormat="1" ht="12.75" customHeight="1" x14ac:dyDescent="0.2">
      <c r="A59" s="199"/>
      <c r="B59" s="273"/>
      <c r="C59" s="273"/>
      <c r="D59" s="280"/>
      <c r="E59" s="273"/>
      <c r="F59" s="290"/>
      <c r="G59" s="290"/>
      <c r="H59" s="290"/>
      <c r="I59" s="290"/>
      <c r="J59" s="291"/>
      <c r="K59" s="213"/>
      <c r="L59" s="307">
        <f t="shared" si="1"/>
        <v>0</v>
      </c>
      <c r="M59" s="307"/>
      <c r="N59" s="213"/>
      <c r="O59" s="213"/>
      <c r="P59" s="213"/>
      <c r="Q59" s="213"/>
      <c r="R59" s="213"/>
      <c r="S59" s="213"/>
    </row>
    <row r="60" spans="1:19" s="62" customFormat="1" ht="12.75" customHeight="1" x14ac:dyDescent="0.2">
      <c r="A60" s="199"/>
      <c r="B60" s="206" t="s">
        <v>3511</v>
      </c>
      <c r="C60" s="206"/>
      <c r="D60" s="279" t="s">
        <v>116</v>
      </c>
      <c r="E60" s="288"/>
      <c r="F60" s="288"/>
      <c r="G60" s="317"/>
      <c r="H60" s="288"/>
      <c r="I60" s="317"/>
      <c r="J60" s="289"/>
      <c r="K60" s="213"/>
      <c r="L60" s="307">
        <f t="shared" si="1"/>
        <v>0</v>
      </c>
      <c r="M60" s="307">
        <f t="shared" si="2"/>
        <v>0</v>
      </c>
      <c r="N60" s="213"/>
      <c r="O60" s="213"/>
      <c r="P60" s="213"/>
      <c r="Q60" s="213"/>
      <c r="R60" s="213"/>
      <c r="S60" s="213"/>
    </row>
    <row r="61" spans="1:19" s="126" customFormat="1" ht="38.25" x14ac:dyDescent="0.2">
      <c r="A61" s="398" t="s">
        <v>1120</v>
      </c>
      <c r="B61" s="207" t="s">
        <v>3512</v>
      </c>
      <c r="C61" s="207">
        <v>97637</v>
      </c>
      <c r="D61" s="548" t="str">
        <f>IF(A61="SERVIÇO",VLOOKUP(C61,SERVIÇOS!$A$6:$D$7697,2,0),IF(A61="INSUMO",VLOOKUP(C61,INSUMOS!$A$6:$D$4845,2,0),IF(A61="COTAÇÃO",VLOOKUP(C61,'014-22-cotação'!$A$9:$I$138,2,0),IF(A61="CCU",VLOOKUP(C61,'014-22-CCU''s'!$B$10:$H$450,2,0)))))</f>
        <v>REMOÇÃO DE TAPUME/ CHAPAS METÁLICAS E DE MADEIRA, DE FORMA MANUAL, SEM REAPROVEITAMENTO. AF_09/2023</v>
      </c>
      <c r="E61" s="549" t="str">
        <f>IF(A61="SERVIÇO",VLOOKUP(C61,SERVIÇOS!$A$6:$D$7697,3,0),IF(A61="INSUMO",VLOOKUP(C61,INSUMOS!$A$6:$D$4845,3,0),IF(A61="COTAÇÃO",VLOOKUP(C61,'014-22-cotação'!$A$9:$I$138,4,0),IF(A61="CCU",VLOOKUP(C61,'014-22-CCU''s'!$B$10:$H$450,4,0)))))</f>
        <v>M2</v>
      </c>
      <c r="F61" s="550">
        <f>F35+F36</f>
        <v>1115.52</v>
      </c>
      <c r="G61" s="551">
        <f>IF(A61="SERVIÇO",VLOOKUP(C61,SERVIÇOS!$A$6:$D$7697,4,0),IF(A61="INSUMO",VLOOKUP(C61,INSUMOS!$A$6:$D$4845,4,0),IF(A61="COTAÇÃO",VLOOKUP(C61,'014-22-cotação'!$A$9:$I$138,3,0),IF(A61="CCU",VLOOKUP(C61,'014-22-CCU''s'!$B$10:$H$450,7,0)))))</f>
        <v>3.07</v>
      </c>
      <c r="H61" s="552">
        <f>$F$9</f>
        <v>0.18559999999999999</v>
      </c>
      <c r="I61" s="551">
        <f>(G61*(1+H61))</f>
        <v>3.6397919999999999</v>
      </c>
      <c r="J61" s="553">
        <f>I61*F61</f>
        <v>4060.26077184</v>
      </c>
      <c r="K61" s="399"/>
      <c r="L61" s="309">
        <f t="shared" si="1"/>
        <v>4060.26077184</v>
      </c>
      <c r="M61" s="309">
        <f t="shared" si="2"/>
        <v>0</v>
      </c>
      <c r="N61" s="399"/>
      <c r="O61" s="399"/>
      <c r="P61" s="399"/>
      <c r="Q61" s="399"/>
      <c r="R61" s="399"/>
      <c r="S61" s="399"/>
    </row>
    <row r="62" spans="1:19" s="126" customFormat="1" ht="38.25" x14ac:dyDescent="0.2">
      <c r="A62" s="398" t="s">
        <v>1121</v>
      </c>
      <c r="B62" s="207" t="s">
        <v>3513</v>
      </c>
      <c r="C62" s="207" t="s">
        <v>4615</v>
      </c>
      <c r="D62" s="548" t="str">
        <f>IF(A62="SERVIÇO",VLOOKUP(C62,SERVIÇOS!$A$6:$D$7697,2,0),IF(A62="INSUMO",VLOOKUP(C62,INSUMOS!$A$6:$D$4845,2,0),IF(A62="COTAÇÃO",VLOOKUP(C62,'014-22-cotação'!$A$9:$I$138,2,0),IF(A62="CCU",VLOOKUP(C62,'014-22-CCU''s'!$B$10:$H$450,2,0)))))</f>
        <v>DEMOLIÇÃO MANUAL DE CONSTRUÇÕES PROVISÓRIAS DE MADEIRA - SEM REAPROVEITAMENTO</v>
      </c>
      <c r="E62" s="549" t="str">
        <f>IF(A62="SERVIÇO",VLOOKUP(C62,SERVIÇOS!$A$6:$D$7697,3,0),IF(A62="INSUMO",VLOOKUP(C62,INSUMOS!$A$6:$D$4845,3,0),IF(A62="COTAÇÃO",VLOOKUP(C62,'014-22-cotação'!$A$9:$I$138,4,0),IF(A62="CCU",VLOOKUP(C62,'014-22-CCU''s'!$B$10:$H$450,4,0)))))</f>
        <v>M2</v>
      </c>
      <c r="F62" s="550">
        <f>F24+F25</f>
        <v>36</v>
      </c>
      <c r="G62" s="551">
        <f>IF(A62="SERVIÇO",VLOOKUP(C62,SERVIÇOS!$A$6:$D$7697,4,0),IF(A62="INSUMO",VLOOKUP(C62,INSUMOS!$A$6:$D$4845,4,0),IF(A62="COTAÇÃO",VLOOKUP(C62,'014-22-cotação'!$A$9:$I$138,3,0),IF(A62="CCU",VLOOKUP(C62,'014-22-CCU''s'!$B$10:$H$450,7,0)))))</f>
        <v>15.54</v>
      </c>
      <c r="H62" s="552">
        <f>$F$9</f>
        <v>0.18559999999999999</v>
      </c>
      <c r="I62" s="551">
        <f>(G62*(1+H62))</f>
        <v>18.424223999999999</v>
      </c>
      <c r="J62" s="553">
        <f>I62*F62</f>
        <v>663.272064</v>
      </c>
      <c r="K62" s="399"/>
      <c r="L62" s="309">
        <f t="shared" si="1"/>
        <v>663.272064</v>
      </c>
      <c r="M62" s="309">
        <f t="shared" si="2"/>
        <v>0</v>
      </c>
      <c r="N62" s="399"/>
      <c r="O62" s="399"/>
      <c r="P62" s="399"/>
      <c r="Q62" s="399"/>
      <c r="R62" s="399"/>
      <c r="S62" s="399"/>
    </row>
    <row r="63" spans="1:19" s="62" customFormat="1" ht="12.75" customHeight="1" x14ac:dyDescent="0.2">
      <c r="A63" s="199"/>
      <c r="B63" s="273"/>
      <c r="C63" s="273"/>
      <c r="D63" s="280"/>
      <c r="E63" s="273"/>
      <c r="F63" s="290"/>
      <c r="G63" s="290"/>
      <c r="H63" s="290"/>
      <c r="I63" s="290"/>
      <c r="J63" s="291"/>
      <c r="K63" s="213"/>
      <c r="L63" s="307">
        <f t="shared" si="1"/>
        <v>0</v>
      </c>
      <c r="M63" s="307">
        <f t="shared" si="2"/>
        <v>0</v>
      </c>
      <c r="N63" s="213"/>
      <c r="O63" s="213"/>
      <c r="P63" s="213"/>
      <c r="Q63" s="213"/>
      <c r="R63" s="213"/>
      <c r="S63" s="213"/>
    </row>
    <row r="64" spans="1:19" s="62" customFormat="1" ht="12.75" customHeight="1" x14ac:dyDescent="0.2">
      <c r="A64" s="199"/>
      <c r="B64" s="206" t="s">
        <v>3514</v>
      </c>
      <c r="C64" s="206"/>
      <c r="D64" s="554" t="s">
        <v>3515</v>
      </c>
      <c r="E64" s="288"/>
      <c r="F64" s="288"/>
      <c r="G64" s="317"/>
      <c r="H64" s="288"/>
      <c r="I64" s="317"/>
      <c r="J64" s="289"/>
      <c r="K64" s="213"/>
      <c r="L64" s="307">
        <f t="shared" si="1"/>
        <v>0</v>
      </c>
      <c r="M64" s="307">
        <f t="shared" si="2"/>
        <v>0</v>
      </c>
      <c r="N64" s="213"/>
      <c r="O64" s="213"/>
      <c r="P64" s="213"/>
      <c r="Q64" s="213"/>
      <c r="R64" s="213"/>
      <c r="S64" s="213"/>
    </row>
    <row r="65" spans="1:19" s="126" customFormat="1" ht="63.75" x14ac:dyDescent="0.2">
      <c r="A65" s="398" t="s">
        <v>1120</v>
      </c>
      <c r="B65" s="207" t="s">
        <v>3516</v>
      </c>
      <c r="C65" s="207">
        <v>100983</v>
      </c>
      <c r="D65" s="548" t="str">
        <f>IF(A65="SERVIÇO",VLOOKUP(C65,SERVIÇOS!$A$6:$D$7697,2,0),IF(A65="INSUMO",VLOOKUP(C65,INSUMOS!$A$6:$D$4845,2,0),IF(A65="COTAÇÃO",VLOOKUP(C65,'014-22-cotação'!$A$9:$I$138,2,0),IF(A65="CCU",VLOOKUP(C65,'014-22-CCU''s'!$B$10:$H$450,2,0)))))</f>
        <v>CARGA, MANOBRA E DESCARGA DE ENTULHO EM CAMINHÃO BASCULANTE 14 M³ - CARGA COM ESCAVADEIRA HIDRÁULICA  (CAÇAMBA DE 0,80 M³ / 111 HP) E DESCARGA LIVRE (UNIDADE: M3). AF_07/2020</v>
      </c>
      <c r="E65" s="549" t="str">
        <f>IF(A65="SERVIÇO",VLOOKUP(C65,SERVIÇOS!$A$6:$D$7697,3,0),IF(A65="INSUMO",VLOOKUP(C65,INSUMOS!$A$6:$D$4845,3,0),IF(A65="COTAÇÃO",VLOOKUP(C65,'014-22-cotação'!$A$9:$I$138,4,0),IF(A65="CCU",VLOOKUP(C65,'014-22-CCU''s'!$B$10:$H$450,4,0)))))</f>
        <v>M3</v>
      </c>
      <c r="F65" s="550">
        <f>(F41+F42+F45+F48+F51+F52*0.5*0.2+F53*0.05)+(PI()*0.15^2*1.5*F56)+(PI()*0.3^2*1.5*F57)+(PI()*0.4^2*1.5*F58)+F61*0.05+F62*0.2</f>
        <v>582.99843293606546</v>
      </c>
      <c r="G65" s="551">
        <f>IF(A65="SERVIÇO",VLOOKUP(C65,SERVIÇOS!$A$6:$D$7697,4,0),IF(A65="INSUMO",VLOOKUP(C65,INSUMOS!$A$6:$D$4845,4,0),IF(A65="COTAÇÃO",VLOOKUP(C65,'014-22-cotação'!$A$9:$I$138,3,0),IF(A65="CCU",VLOOKUP(C65,'014-22-CCU''s'!$B$10:$H$450,7,0)))))</f>
        <v>8.85</v>
      </c>
      <c r="H65" s="552">
        <f>$F$9</f>
        <v>0.18559999999999999</v>
      </c>
      <c r="I65" s="551">
        <f>(G65*(1+H65))</f>
        <v>10.492559999999999</v>
      </c>
      <c r="J65" s="553">
        <f>I65*F65</f>
        <v>6117.1460374876424</v>
      </c>
      <c r="K65" s="399"/>
      <c r="L65" s="309">
        <f t="shared" si="1"/>
        <v>6117.1460374876424</v>
      </c>
      <c r="M65" s="309">
        <f>L65-J65</f>
        <v>0</v>
      </c>
      <c r="N65" s="399"/>
      <c r="O65" s="399"/>
      <c r="P65" s="399"/>
      <c r="Q65" s="399"/>
      <c r="R65" s="399"/>
      <c r="S65" s="399"/>
    </row>
    <row r="66" spans="1:19" s="126" customFormat="1" ht="38.25" x14ac:dyDescent="0.2">
      <c r="A66" s="398" t="s">
        <v>1120</v>
      </c>
      <c r="B66" s="207" t="s">
        <v>3913</v>
      </c>
      <c r="C66" s="207">
        <v>95879</v>
      </c>
      <c r="D66" s="548" t="str">
        <f>IF(A66="SERVIÇO",VLOOKUP(C66,SERVIÇOS!$A$6:$D$7697,2,0),IF(A66="INSUMO",VLOOKUP(C66,INSUMOS!$A$6:$D$4845,2,0),IF(A66="COTAÇÃO",VLOOKUP(C66,'014-22-cotação'!$A$9:$I$138,2,0),IF(A66="CCU",VLOOKUP(C66,'014-22-CCU''s'!$B$10:$H$450,2,0)))))</f>
        <v>TRANSPORTE COM CAMINHÃO BASCULANTE DE 14 M³, EM VIA URBANA PAVIMENTADA, DMT ATÉ 30 KM (UNIDADE: TXKM). AF_07/2020</v>
      </c>
      <c r="E66" s="549" t="str">
        <f>IF(A66="SERVIÇO",VLOOKUP(C66,SERVIÇOS!$A$6:$D$7697,3,0),IF(A66="INSUMO",VLOOKUP(C66,INSUMOS!$A$6:$D$4845,3,0),IF(A66="COTAÇÃO",VLOOKUP(C66,'014-22-cotação'!$A$9:$I$138,4,0),IF(A66="CCU",VLOOKUP(C66,'014-22-CCU''s'!$B$10:$H$450,4,0)))))</f>
        <v>TXKM</v>
      </c>
      <c r="F66" s="550">
        <f>(F65*1.5)*20.7</f>
        <v>18102.101342664831</v>
      </c>
      <c r="G66" s="551">
        <f>IF(A66="SERVIÇO",VLOOKUP(C66,SERVIÇOS!$A$6:$D$7697,4,0),IF(A66="INSUMO",VLOOKUP(C66,INSUMOS!$A$6:$D$4845,4,0),IF(A66="COTAÇÃO",VLOOKUP(C66,'014-22-cotação'!$A$9:$I$138,3,0),IF(A66="CCU",VLOOKUP(C66,'014-22-CCU''s'!$B$10:$H$450,7,0)))))</f>
        <v>1.43</v>
      </c>
      <c r="H66" s="552">
        <f>$F$9</f>
        <v>0.18559999999999999</v>
      </c>
      <c r="I66" s="551">
        <f>(G66*(1+H66))</f>
        <v>1.6954079999999998</v>
      </c>
      <c r="J66" s="553">
        <f>I66*F66</f>
        <v>30690.447433164692</v>
      </c>
      <c r="K66" s="399">
        <v>23494.651463760005</v>
      </c>
      <c r="L66" s="309">
        <f t="shared" si="1"/>
        <v>30690.447433164692</v>
      </c>
      <c r="M66" s="309" t="s">
        <v>4291</v>
      </c>
      <c r="N66" s="399"/>
      <c r="O66" s="399"/>
      <c r="P66" s="399"/>
      <c r="Q66" s="399"/>
      <c r="R66" s="399"/>
      <c r="S66" s="399"/>
    </row>
    <row r="67" spans="1:19" s="468" customFormat="1" ht="25.5" x14ac:dyDescent="0.2">
      <c r="A67" s="462" t="s">
        <v>1120</v>
      </c>
      <c r="B67" s="207" t="s">
        <v>3914</v>
      </c>
      <c r="C67" s="207" t="s">
        <v>3536</v>
      </c>
      <c r="D67" s="548" t="str">
        <f>IF(A67="SERVIÇO",VLOOKUP(C67,SERVIÇOS!$A$6:$D$7697,2,0),IF(A67="INSUMO",VLOOKUP(C67,INSUMOS!$A$6:$D$4845,2,0),IF(A67="COTAÇÃO",VLOOKUP(C67,'014-22-cotação'!$A$9:$I$138,2,0),IF(A67="CCU",VLOOKUP(C67,'014-22-CCU''s'!$B$10:$H$450,2,0)))))</f>
        <v xml:space="preserve">DISPOSIÇÃO FINAL DE RESÍDUOS SEGREGADOS DE CONSTRUÇÃO CIVIL </v>
      </c>
      <c r="E67" s="549" t="str">
        <f>IF(A67="SERVIÇO",VLOOKUP(C67,SERVIÇOS!$A$6:$D$7697,3,0),IF(A67="INSUMO",VLOOKUP(C67,INSUMOS!$A$6:$D$4845,3,0),IF(A67="COTAÇÃO",VLOOKUP(C67,'014-22-cotação'!$A$9:$I$138,4,0),IF(A67="CCU",VLOOKUP(C67,'014-22-CCU''s'!$B$10:$H$450,4,0)))))</f>
        <v>T</v>
      </c>
      <c r="F67" s="550">
        <f>F65*1.5</f>
        <v>874.49764940409818</v>
      </c>
      <c r="G67" s="551">
        <f>IF(A67="SERVIÇO",VLOOKUP(C67,SERVIÇOS!$A$6:$D$7697,4,0),IF(A67="INSUMO",VLOOKUP(C67,INSUMOS!$A$6:$D$4845,4,0),IF(A67="COTAÇÃO",VLOOKUP(C67,'014-22-cotação'!$A$9:$I$138,3,0),IF(A67="CCU",VLOOKUP(C67,'014-22-CCU''s'!$B$10:$H$450,7,0)))))</f>
        <v>15.25</v>
      </c>
      <c r="H67" s="552">
        <f>$F$9</f>
        <v>0.18559999999999999</v>
      </c>
      <c r="I67" s="551">
        <f>(G67*(1+H67))</f>
        <v>18.080400000000001</v>
      </c>
      <c r="J67" s="553">
        <f>I67*F67</f>
        <v>15811.267300285857</v>
      </c>
      <c r="K67" s="463"/>
      <c r="L67" s="467">
        <f t="shared" ref="L67:L77" si="23">I67*F67</f>
        <v>15811.267300285857</v>
      </c>
      <c r="M67" s="467" t="s">
        <v>4290</v>
      </c>
      <c r="N67" s="463"/>
      <c r="O67" s="463"/>
      <c r="P67" s="463"/>
      <c r="Q67" s="463"/>
      <c r="R67" s="466">
        <f>F67+F78</f>
        <v>1624.7276494040982</v>
      </c>
      <c r="S67" s="463"/>
    </row>
    <row r="68" spans="1:19" s="62" customFormat="1" ht="12.75" customHeight="1" x14ac:dyDescent="0.2">
      <c r="A68" s="199"/>
      <c r="B68" s="273"/>
      <c r="C68" s="273"/>
      <c r="D68" s="280"/>
      <c r="E68" s="273"/>
      <c r="F68" s="290"/>
      <c r="G68" s="290"/>
      <c r="H68" s="290"/>
      <c r="I68" s="290"/>
      <c r="J68" s="291"/>
      <c r="K68" s="213"/>
      <c r="L68" s="307">
        <f t="shared" si="23"/>
        <v>0</v>
      </c>
      <c r="M68" s="307">
        <f t="shared" ref="M68:M76" si="24">L68-J68</f>
        <v>0</v>
      </c>
      <c r="N68" s="213"/>
      <c r="O68" s="213"/>
      <c r="P68" s="213"/>
      <c r="Q68" s="213"/>
      <c r="R68" s="213"/>
      <c r="S68" s="213"/>
    </row>
    <row r="69" spans="1:19" s="62" customFormat="1" ht="12.75" customHeight="1" x14ac:dyDescent="0.2">
      <c r="A69" s="199"/>
      <c r="B69" s="206" t="s">
        <v>3883</v>
      </c>
      <c r="C69" s="206"/>
      <c r="D69" s="554" t="s">
        <v>3884</v>
      </c>
      <c r="E69" s="288"/>
      <c r="F69" s="288"/>
      <c r="G69" s="317"/>
      <c r="H69" s="288"/>
      <c r="I69" s="317"/>
      <c r="J69" s="289"/>
      <c r="K69" s="213"/>
      <c r="L69" s="307">
        <f t="shared" si="23"/>
        <v>0</v>
      </c>
      <c r="M69" s="307">
        <f t="shared" si="24"/>
        <v>0</v>
      </c>
      <c r="N69" s="213"/>
      <c r="O69" s="213"/>
      <c r="P69" s="213"/>
      <c r="Q69" s="213"/>
      <c r="R69" s="213"/>
      <c r="S69" s="213"/>
    </row>
    <row r="70" spans="1:19" s="62" customFormat="1" ht="12.75" customHeight="1" x14ac:dyDescent="0.2">
      <c r="A70" s="199"/>
      <c r="B70" s="206" t="s">
        <v>3886</v>
      </c>
      <c r="C70" s="206"/>
      <c r="D70" s="554" t="s">
        <v>3887</v>
      </c>
      <c r="E70" s="288"/>
      <c r="F70" s="288"/>
      <c r="G70" s="317"/>
      <c r="H70" s="288"/>
      <c r="I70" s="317"/>
      <c r="J70" s="289"/>
      <c r="K70" s="213"/>
      <c r="L70" s="307">
        <f>I70*F70</f>
        <v>0</v>
      </c>
      <c r="M70" s="307">
        <f t="shared" si="24"/>
        <v>0</v>
      </c>
      <c r="N70" s="213"/>
      <c r="O70" s="213"/>
      <c r="P70" s="213"/>
      <c r="Q70" s="213"/>
      <c r="R70" s="213"/>
      <c r="S70" s="213"/>
    </row>
    <row r="71" spans="1:19" s="468" customFormat="1" ht="25.5" x14ac:dyDescent="0.2">
      <c r="A71" s="462" t="s">
        <v>1121</v>
      </c>
      <c r="B71" s="207" t="s">
        <v>3885</v>
      </c>
      <c r="C71" s="207" t="s">
        <v>12720</v>
      </c>
      <c r="D71" s="548" t="str">
        <f>IF(A71="SERVIÇO",VLOOKUP(C71,SERVIÇOS!$A$6:$D$7697,2,0),IF(A71="INSUMO",VLOOKUP(C71,INSUMOS!$A$6:$D$4845,2,0),IF(A71="COTAÇÃO",VLOOKUP(C71,'014-22-cotação'!$A$9:$I$138,2,0),IF(A71="CCU",VLOOKUP(C71,'014-22-CCU''s'!$B$10:$H$450,2,0)))))</f>
        <v>LOCAÇÃO DE PONTO PARA REFERÊNCIA TOPOGRÁFICA. AF_10/2018</v>
      </c>
      <c r="E71" s="549" t="str">
        <f>IF(A71="SERVIÇO",VLOOKUP(C71,SERVIÇOS!$A$6:$D$7697,3,0),IF(A71="INSUMO",VLOOKUP(C71,INSUMOS!$A$6:$D$4845,3,0),IF(A71="COTAÇÃO",VLOOKUP(C71,'014-22-cotação'!$A$9:$I$138,4,0),IF(A71="CCU",VLOOKUP(C71,'014-22-CCU''s'!$B$10:$H$450,4,0)))))</f>
        <v>UN</v>
      </c>
      <c r="F71" s="550">
        <v>126</v>
      </c>
      <c r="G71" s="551">
        <f>IF(A71="SERVIÇO",VLOOKUP(C71,SERVIÇOS!$A$6:$D$7697,4,0),IF(A71="INSUMO",VLOOKUP(C71,INSUMOS!$A$6:$D$4845,4,0),IF(A71="COTAÇÃO",VLOOKUP(C71,'014-22-cotação'!$A$9:$I$138,3,0),IF(A71="CCU",VLOOKUP(C71,'014-22-CCU''s'!$B$10:$H$450,7,0)))))</f>
        <v>8.1</v>
      </c>
      <c r="H71" s="552">
        <f>$F$9</f>
        <v>0.18559999999999999</v>
      </c>
      <c r="I71" s="551">
        <f>(G71*(1+H71))</f>
        <v>9.6033600000000003</v>
      </c>
      <c r="J71" s="553">
        <f>I71*F71</f>
        <v>1210.0233600000001</v>
      </c>
      <c r="K71" s="463"/>
      <c r="L71" s="467">
        <f t="shared" si="23"/>
        <v>1210.0233600000001</v>
      </c>
      <c r="M71" s="467">
        <f t="shared" si="24"/>
        <v>0</v>
      </c>
      <c r="N71" s="463"/>
      <c r="O71" s="463"/>
      <c r="P71" s="463"/>
      <c r="Q71" s="463"/>
      <c r="R71" s="463"/>
      <c r="S71" s="463"/>
    </row>
    <row r="72" spans="1:19" s="62" customFormat="1" ht="12.75" customHeight="1" x14ac:dyDescent="0.2">
      <c r="A72" s="199"/>
      <c r="B72" s="273"/>
      <c r="C72" s="273"/>
      <c r="D72" s="280"/>
      <c r="E72" s="273"/>
      <c r="F72" s="290"/>
      <c r="G72" s="290"/>
      <c r="H72" s="290"/>
      <c r="I72" s="290"/>
      <c r="J72" s="291"/>
      <c r="K72" s="213"/>
      <c r="L72" s="307">
        <f t="shared" si="23"/>
        <v>0</v>
      </c>
      <c r="M72" s="307">
        <f t="shared" si="24"/>
        <v>0</v>
      </c>
      <c r="N72" s="213"/>
      <c r="O72" s="213"/>
      <c r="P72" s="213"/>
      <c r="Q72" s="213"/>
      <c r="R72" s="213"/>
      <c r="S72" s="213"/>
    </row>
    <row r="73" spans="1:19" s="62" customFormat="1" ht="12.75" customHeight="1" x14ac:dyDescent="0.2">
      <c r="A73" s="199"/>
      <c r="B73" s="206" t="s">
        <v>3868</v>
      </c>
      <c r="C73" s="206"/>
      <c r="D73" s="279" t="s">
        <v>3869</v>
      </c>
      <c r="E73" s="288"/>
      <c r="F73" s="288"/>
      <c r="G73" s="317"/>
      <c r="H73" s="288"/>
      <c r="I73" s="317"/>
      <c r="J73" s="289"/>
      <c r="K73" s="213"/>
      <c r="L73" s="307">
        <f t="shared" si="23"/>
        <v>0</v>
      </c>
      <c r="M73" s="307">
        <f t="shared" si="24"/>
        <v>0</v>
      </c>
      <c r="N73" s="213"/>
      <c r="O73" s="213"/>
      <c r="P73" s="213">
        <f>F65*1.5</f>
        <v>874.49764940409818</v>
      </c>
      <c r="Q73" s="213"/>
      <c r="R73" s="213"/>
      <c r="S73" s="213"/>
    </row>
    <row r="74" spans="1:19" s="62" customFormat="1" ht="12.75" customHeight="1" x14ac:dyDescent="0.2">
      <c r="A74" s="199"/>
      <c r="B74" s="206" t="s">
        <v>3870</v>
      </c>
      <c r="C74" s="206"/>
      <c r="D74" s="279" t="s">
        <v>3871</v>
      </c>
      <c r="E74" s="288"/>
      <c r="F74" s="288"/>
      <c r="G74" s="317"/>
      <c r="H74" s="288"/>
      <c r="I74" s="317"/>
      <c r="J74" s="289"/>
      <c r="K74" s="213"/>
      <c r="L74" s="307">
        <f t="shared" si="23"/>
        <v>0</v>
      </c>
      <c r="M74" s="307">
        <f t="shared" si="24"/>
        <v>0</v>
      </c>
      <c r="N74" s="213"/>
      <c r="O74" s="213"/>
      <c r="P74" s="213"/>
      <c r="Q74" s="213"/>
      <c r="R74" s="213"/>
      <c r="S74" s="213"/>
    </row>
    <row r="75" spans="1:19" s="126" customFormat="1" ht="51" x14ac:dyDescent="0.2">
      <c r="A75" s="398" t="s">
        <v>1120</v>
      </c>
      <c r="B75" s="207" t="s">
        <v>3872</v>
      </c>
      <c r="C75" s="207">
        <v>98525</v>
      </c>
      <c r="D75" s="548" t="str">
        <f>IF(A75="SERVIÇO",VLOOKUP(C75,SERVIÇOS!$A$6:$D$7697,2,0),IF(A75="INSUMO",VLOOKUP(C75,INSUMOS!$A$6:$D$4845,2,0),IF(A75="COTAÇÃO",VLOOKUP(C75,'014-22-cotação'!$A$9:$I$138,2,0),IF(A75="CCU",VLOOKUP(C75,'014-22-CCU''s'!$B$10:$H$450,2,0)))))</f>
        <v>LIMPEZA MECANIZADA DE CAMADA VEGETAL, VEGETAÇÃO E PEQUENAS ÁRVORES (DIÂMETRO DE TRONCO MENOR QUE 0,20 M), COM TRATOR DE ESTEIRAS. AF_03/2024</v>
      </c>
      <c r="E75" s="549" t="str">
        <f>IF(A75="SERVIÇO",VLOOKUP(C75,SERVIÇOS!$A$6:$D$7697,3,0),IF(A75="INSUMO",VLOOKUP(C75,INSUMOS!$A$6:$D$4845,3,0),IF(A75="COTAÇÃO",VLOOKUP(C75,'014-22-cotação'!$A$9:$I$138,4,0),IF(A75="CCU",VLOOKUP(C75,'014-22-CCU''s'!$B$10:$H$450,4,0)))))</f>
        <v>M2</v>
      </c>
      <c r="F75" s="550">
        <v>5001.54</v>
      </c>
      <c r="G75" s="551">
        <f>IF(A75="SERVIÇO",VLOOKUP(C75,SERVIÇOS!$A$6:$D$7697,4,0),IF(A75="INSUMO",VLOOKUP(C75,INSUMOS!$A$6:$D$4845,4,0),IF(A75="COTAÇÃO",VLOOKUP(C75,'014-22-cotação'!$A$9:$I$138,3,0),IF(A75="CCU",VLOOKUP(C75,'014-22-CCU''s'!$B$10:$H$450,7,0)))))</f>
        <v>0.63</v>
      </c>
      <c r="H75" s="552">
        <f>$F$9</f>
        <v>0.18559999999999999</v>
      </c>
      <c r="I75" s="551">
        <f>(G75*(1+H75))</f>
        <v>0.74692800000000004</v>
      </c>
      <c r="J75" s="553">
        <f>I75*F75</f>
        <v>3735.7902691200002</v>
      </c>
      <c r="K75" s="399">
        <v>743.5016286</v>
      </c>
      <c r="L75" s="309">
        <f t="shared" si="23"/>
        <v>3735.7902691200002</v>
      </c>
      <c r="M75" s="309">
        <f t="shared" si="24"/>
        <v>0</v>
      </c>
      <c r="N75" s="399"/>
      <c r="O75" s="399"/>
      <c r="P75" s="399"/>
      <c r="Q75" s="399"/>
      <c r="R75" s="399"/>
      <c r="S75" s="399"/>
    </row>
    <row r="76" spans="1:19" s="126" customFormat="1" ht="76.5" x14ac:dyDescent="0.2">
      <c r="A76" s="398" t="s">
        <v>1120</v>
      </c>
      <c r="B76" s="207" t="s">
        <v>3873</v>
      </c>
      <c r="C76" s="207">
        <v>100991</v>
      </c>
      <c r="D76" s="548" t="str">
        <f>IF(A76="SERVIÇO",VLOOKUP(C76,SERVIÇOS!$A$6:$D$7697,2,0),IF(A76="INSUMO",VLOOKUP(C76,INSUMOS!$A$6:$D$4845,2,0),IF(A76="COTAÇÃO",VLOOKUP(C76,'014-22-cotação'!$A$9:$I$138,2,0),IF(A76="CCU",VLOOKUP(C76,'014-22-CCU''s'!$B$10:$H$450,2,0)))))</f>
        <v>CARGA, MANOBRA E DESCARGA DE SOLOS E MATERIAIS GRANULARES EM CAMINHÃO BASCULANTE 14 M³ - CARGA COM PÁ CARREGADEIRA (CAÇAMBA DE 1,7 A 2,8 M³ / 128 HP) E DESCARGA LIVRE (UNIDADE: T). AF_07/2020</v>
      </c>
      <c r="E76" s="549" t="str">
        <f>IF(A76="SERVIÇO",VLOOKUP(C76,SERVIÇOS!$A$6:$D$7697,3,0),IF(A76="INSUMO",VLOOKUP(C76,INSUMOS!$A$6:$D$4845,3,0),IF(A76="COTAÇÃO",VLOOKUP(C76,'014-22-cotação'!$A$9:$I$138,4,0),IF(A76="CCU",VLOOKUP(C76,'014-22-CCU''s'!$B$10:$H$450,4,0)))))</f>
        <v>T</v>
      </c>
      <c r="F76" s="550">
        <f>F75*0.15*1</f>
        <v>750.23099999999999</v>
      </c>
      <c r="G76" s="551">
        <f>IF(A76="SERVIÇO",VLOOKUP(C76,SERVIÇOS!$A$6:$D$7697,4,0),IF(A76="INSUMO",VLOOKUP(C76,INSUMOS!$A$6:$D$4845,4,0),IF(A76="COTAÇÃO",VLOOKUP(C76,'014-22-cotação'!$A$9:$I$138,3,0),IF(A76="CCU",VLOOKUP(C76,'014-22-CCU''s'!$B$10:$H$450,7,0)))))</f>
        <v>5.65</v>
      </c>
      <c r="H76" s="552">
        <f>$F$9</f>
        <v>0.18559999999999999</v>
      </c>
      <c r="I76" s="551">
        <f>(G76*(1+H76))</f>
        <v>6.6986400000000001</v>
      </c>
      <c r="J76" s="553">
        <f>I76*F76</f>
        <v>5025.5273858399996</v>
      </c>
      <c r="K76" s="399">
        <v>3221.8403906000003</v>
      </c>
      <c r="L76" s="309">
        <f t="shared" si="23"/>
        <v>5025.5273858399996</v>
      </c>
      <c r="M76" s="309">
        <f t="shared" si="24"/>
        <v>0</v>
      </c>
      <c r="N76" s="399"/>
      <c r="O76" s="399"/>
      <c r="P76" s="399"/>
      <c r="Q76" s="399"/>
      <c r="R76" s="399"/>
      <c r="S76" s="399"/>
    </row>
    <row r="77" spans="1:19" s="126" customFormat="1" ht="38.25" x14ac:dyDescent="0.2">
      <c r="A77" s="398" t="s">
        <v>1120</v>
      </c>
      <c r="B77" s="207" t="s">
        <v>3874</v>
      </c>
      <c r="C77" s="207">
        <v>95879</v>
      </c>
      <c r="D77" s="548" t="str">
        <f>IF(A77="SERVIÇO",VLOOKUP(C77,SERVIÇOS!$A$6:$D$7697,2,0),IF(A77="INSUMO",VLOOKUP(C77,INSUMOS!$A$6:$D$4845,2,0),IF(A77="COTAÇÃO",VLOOKUP(C77,'014-22-cotação'!$A$9:$I$138,2,0),IF(A77="CCU",VLOOKUP(C77,'014-22-CCU''s'!$B$10:$H$450,2,0)))))</f>
        <v>TRANSPORTE COM CAMINHÃO BASCULANTE DE 14 M³, EM VIA URBANA PAVIMENTADA, DMT ATÉ 30 KM (UNIDADE: TXKM). AF_07/2020</v>
      </c>
      <c r="E77" s="549" t="str">
        <f>IF(A77="SERVIÇO",VLOOKUP(C77,SERVIÇOS!$A$6:$D$7697,3,0),IF(A77="INSUMO",VLOOKUP(C77,INSUMOS!$A$6:$D$4845,3,0),IF(A77="COTAÇÃO",VLOOKUP(C77,'014-22-cotação'!$A$9:$I$138,4,0),IF(A77="CCU",VLOOKUP(C77,'014-22-CCU''s'!$B$10:$H$450,4,0)))))</f>
        <v>TXKM</v>
      </c>
      <c r="F77" s="550">
        <f>F76*20.7</f>
        <v>15529.7817</v>
      </c>
      <c r="G77" s="551">
        <f>IF(A77="SERVIÇO",VLOOKUP(C77,SERVIÇOS!$A$6:$D$7697,4,0),IF(A77="INSUMO",VLOOKUP(C77,INSUMOS!$A$6:$D$4845,4,0),IF(A77="COTAÇÃO",VLOOKUP(C77,'014-22-cotação'!$A$9:$I$138,3,0),IF(A77="CCU",VLOOKUP(C77,'014-22-CCU''s'!$B$10:$H$450,7,0)))))</f>
        <v>1.43</v>
      </c>
      <c r="H77" s="552">
        <f>$F$9</f>
        <v>0.18559999999999999</v>
      </c>
      <c r="I77" s="551">
        <f>(G77*(1+H77))</f>
        <v>1.6954079999999998</v>
      </c>
      <c r="J77" s="553">
        <f>I77*F77</f>
        <v>26329.316132433596</v>
      </c>
      <c r="K77" s="399">
        <v>23494.651463760005</v>
      </c>
      <c r="L77" s="309">
        <f t="shared" si="23"/>
        <v>26329.316132433596</v>
      </c>
      <c r="M77" s="309" t="s">
        <v>4291</v>
      </c>
      <c r="N77" s="399"/>
      <c r="O77" s="399"/>
      <c r="P77" s="399"/>
      <c r="Q77" s="399"/>
      <c r="R77" s="399"/>
      <c r="S77" s="399"/>
    </row>
    <row r="78" spans="1:19" s="468" customFormat="1" ht="25.5" x14ac:dyDescent="0.2">
      <c r="A78" s="462" t="s">
        <v>1120</v>
      </c>
      <c r="B78" s="207" t="s">
        <v>3877</v>
      </c>
      <c r="C78" s="207" t="s">
        <v>3536</v>
      </c>
      <c r="D78" s="548" t="str">
        <f>IF(A78="SERVIÇO",VLOOKUP(C78,SERVIÇOS!$A$6:$D$7697,2,0),IF(A78="INSUMO",VLOOKUP(C78,INSUMOS!$A$6:$D$4845,2,0),IF(A78="COTAÇÃO",VLOOKUP(C78,'014-22-cotação'!$A$9:$I$138,2,0),IF(A78="CCU",VLOOKUP(C78,'014-22-CCU''s'!$B$10:$H$450,2,0)))))</f>
        <v xml:space="preserve">DISPOSIÇÃO FINAL DE RESÍDUOS SEGREGADOS DE CONSTRUÇÃO CIVIL </v>
      </c>
      <c r="E78" s="549" t="str">
        <f>IF(A78="SERVIÇO",VLOOKUP(C78,SERVIÇOS!$A$6:$D$7697,3,0),IF(A78="INSUMO",VLOOKUP(C78,INSUMOS!$A$6:$D$4845,3,0),IF(A78="COTAÇÃO",VLOOKUP(C78,'014-22-cotação'!$A$9:$I$138,4,0),IF(A78="CCU",VLOOKUP(C78,'014-22-CCU''s'!$B$10:$H$450,4,0)))))</f>
        <v>T</v>
      </c>
      <c r="F78" s="550">
        <v>750.23</v>
      </c>
      <c r="G78" s="551">
        <f>IF(A78="SERVIÇO",VLOOKUP(C78,SERVIÇOS!$A$6:$D$7697,4,0),IF(A78="INSUMO",VLOOKUP(C78,INSUMOS!$A$6:$D$4845,4,0),IF(A78="COTAÇÃO",VLOOKUP(C78,'014-22-cotação'!$A$9:$I$138,3,0),IF(A78="CCU",VLOOKUP(C78,'014-22-CCU''s'!$B$10:$H$450,7,0)))))</f>
        <v>15.25</v>
      </c>
      <c r="H78" s="552">
        <f>$F$9</f>
        <v>0.18559999999999999</v>
      </c>
      <c r="I78" s="551">
        <f>(G78*(1+H78))</f>
        <v>18.080400000000001</v>
      </c>
      <c r="J78" s="553">
        <f>I78*F78</f>
        <v>13564.458492000002</v>
      </c>
      <c r="K78" s="463">
        <v>4726.1920191340005</v>
      </c>
      <c r="L78" s="467">
        <f t="shared" ref="L78:L86" si="25">I78*F78</f>
        <v>13564.458492000002</v>
      </c>
      <c r="M78" s="467" t="s">
        <v>4289</v>
      </c>
      <c r="N78" s="463"/>
      <c r="O78" s="463"/>
      <c r="P78" s="463"/>
      <c r="Q78" s="463"/>
      <c r="R78" s="466">
        <f>F77+F66</f>
        <v>33631.883042664835</v>
      </c>
      <c r="S78" s="463"/>
    </row>
    <row r="79" spans="1:19" s="62" customFormat="1" ht="12.75" customHeight="1" x14ac:dyDescent="0.2">
      <c r="A79" s="199"/>
      <c r="B79" s="273"/>
      <c r="C79" s="273"/>
      <c r="D79" s="280"/>
      <c r="E79" s="273"/>
      <c r="F79" s="290"/>
      <c r="G79" s="290"/>
      <c r="H79" s="290"/>
      <c r="I79" s="290"/>
      <c r="J79" s="291"/>
      <c r="K79" s="213"/>
      <c r="L79" s="307">
        <f t="shared" si="25"/>
        <v>0</v>
      </c>
      <c r="M79" s="307">
        <f t="shared" ref="M79:M86" si="26">L79-J79</f>
        <v>0</v>
      </c>
      <c r="N79" s="213"/>
      <c r="O79" s="213"/>
      <c r="P79" s="213"/>
      <c r="Q79" s="213"/>
      <c r="R79" s="213"/>
      <c r="S79" s="213"/>
    </row>
    <row r="80" spans="1:19" s="62" customFormat="1" ht="12.75" customHeight="1" x14ac:dyDescent="0.2">
      <c r="A80" s="199"/>
      <c r="B80" s="206" t="s">
        <v>3875</v>
      </c>
      <c r="C80" s="206"/>
      <c r="D80" s="554" t="s">
        <v>3876</v>
      </c>
      <c r="E80" s="288"/>
      <c r="F80" s="288"/>
      <c r="G80" s="317"/>
      <c r="H80" s="288"/>
      <c r="I80" s="317"/>
      <c r="J80" s="289"/>
      <c r="K80" s="213"/>
      <c r="L80" s="307">
        <f t="shared" si="25"/>
        <v>0</v>
      </c>
      <c r="M80" s="307">
        <f t="shared" si="26"/>
        <v>0</v>
      </c>
      <c r="N80" s="213"/>
      <c r="O80" s="213"/>
      <c r="P80" s="213"/>
      <c r="Q80" s="213"/>
      <c r="R80" s="213"/>
      <c r="S80" s="213"/>
    </row>
    <row r="81" spans="1:19" s="126" customFormat="1" ht="76.5" x14ac:dyDescent="0.2">
      <c r="A81" s="398" t="s">
        <v>1120</v>
      </c>
      <c r="B81" s="207" t="s">
        <v>3878</v>
      </c>
      <c r="C81" s="207">
        <v>101134</v>
      </c>
      <c r="D81" s="548" t="str">
        <f>IF(A81="SERVIÇO",VLOOKUP(C81,SERVIÇOS!$A$6:$D$7697,2,0),IF(A81="INSUMO",VLOOKUP(C81,INSUMOS!$A$6:$D$4845,2,0),IF(A81="COTAÇÃO",VLOOKUP(C81,'014-22-cotação'!$A$9:$I$138,2,0),IF(A81="CCU",VLOOKUP(C81,'014-22-CCU''s'!$B$10:$H$450,2,0)))))</f>
        <v>ESCAVAÇÃO HORIZONTAL, INCLUINDO CARGA, DESCARGA E TRANSPORTE EM SOLO DE 1A CATEGORIA COM TRATOR DE ESTEIRAS (100HP/LÂMINA: 2,19M3) E CAMINHÃO BASCULANTE DE 10M3, DMT ATÉ 200M. AF_07/2020</v>
      </c>
      <c r="E81" s="549" t="str">
        <f>IF(A81="SERVIÇO",VLOOKUP(C81,SERVIÇOS!$A$6:$D$7697,3,0),IF(A81="INSUMO",VLOOKUP(C81,INSUMOS!$A$6:$D$4845,3,0),IF(A81="COTAÇÃO",VLOOKUP(C81,'014-22-cotação'!$A$9:$I$138,4,0),IF(A81="CCU",VLOOKUP(C81,'014-22-CCU''s'!$B$10:$H$450,4,0)))))</f>
        <v>M3</v>
      </c>
      <c r="F81" s="550">
        <v>270.42</v>
      </c>
      <c r="G81" s="551">
        <f>IF(A81="SERVIÇO",VLOOKUP(C81,SERVIÇOS!$A$6:$D$7697,4,0),IF(A81="INSUMO",VLOOKUP(C81,INSUMOS!$A$6:$D$4845,4,0),IF(A81="COTAÇÃO",VLOOKUP(C81,'014-22-cotação'!$A$9:$I$138,3,0),IF(A81="CCU",VLOOKUP(C81,'014-22-CCU''s'!$B$10:$H$450,7,0)))))</f>
        <v>15.4</v>
      </c>
      <c r="H81" s="552">
        <f>$F$9</f>
        <v>0.18559999999999999</v>
      </c>
      <c r="I81" s="551">
        <f>(G81*(1+H81))</f>
        <v>18.258240000000001</v>
      </c>
      <c r="J81" s="553">
        <f>I81*F81</f>
        <v>4937.3932608000005</v>
      </c>
      <c r="K81" s="399"/>
      <c r="L81" s="309">
        <f t="shared" si="25"/>
        <v>4937.3932608000005</v>
      </c>
      <c r="M81" s="309">
        <f t="shared" si="26"/>
        <v>0</v>
      </c>
      <c r="N81" s="399"/>
      <c r="O81" s="399"/>
      <c r="P81" s="399"/>
      <c r="Q81" s="399"/>
      <c r="R81" s="399"/>
      <c r="S81" s="399"/>
    </row>
    <row r="82" spans="1:19" s="62" customFormat="1" ht="12.75" customHeight="1" x14ac:dyDescent="0.2">
      <c r="A82" s="199"/>
      <c r="B82" s="273"/>
      <c r="C82" s="273"/>
      <c r="D82" s="280"/>
      <c r="E82" s="273"/>
      <c r="F82" s="290"/>
      <c r="G82" s="290"/>
      <c r="H82" s="290"/>
      <c r="I82" s="290"/>
      <c r="J82" s="291"/>
      <c r="K82" s="213"/>
      <c r="L82" s="307">
        <f t="shared" si="25"/>
        <v>0</v>
      </c>
      <c r="M82" s="307">
        <f t="shared" si="26"/>
        <v>0</v>
      </c>
      <c r="N82" s="213"/>
      <c r="O82" s="213"/>
      <c r="P82" s="213"/>
      <c r="Q82" s="213"/>
      <c r="R82" s="213"/>
      <c r="S82" s="213"/>
    </row>
    <row r="83" spans="1:19" s="62" customFormat="1" ht="12.75" customHeight="1" x14ac:dyDescent="0.2">
      <c r="A83" s="199"/>
      <c r="B83" s="206" t="s">
        <v>3879</v>
      </c>
      <c r="C83" s="206"/>
      <c r="D83" s="554" t="s">
        <v>4287</v>
      </c>
      <c r="E83" s="288"/>
      <c r="F83" s="288"/>
      <c r="G83" s="317"/>
      <c r="H83" s="288"/>
      <c r="I83" s="317"/>
      <c r="J83" s="289"/>
      <c r="K83" s="213"/>
      <c r="L83" s="307">
        <f t="shared" si="25"/>
        <v>0</v>
      </c>
      <c r="M83" s="307">
        <f t="shared" si="26"/>
        <v>0</v>
      </c>
      <c r="N83" s="213"/>
      <c r="O83" s="213"/>
      <c r="P83" s="213"/>
      <c r="Q83" s="213"/>
      <c r="R83" s="213"/>
      <c r="S83" s="213"/>
    </row>
    <row r="84" spans="1:19" s="126" customFormat="1" ht="25.5" x14ac:dyDescent="0.2">
      <c r="A84" s="398" t="s">
        <v>1122</v>
      </c>
      <c r="B84" s="207" t="s">
        <v>3880</v>
      </c>
      <c r="C84" s="207">
        <v>6081</v>
      </c>
      <c r="D84" s="548" t="str">
        <f>IF(A84="SERVIÇO",VLOOKUP(C84,SERVIÇOS!$A$6:$D$7697,2,0),IF(A84="INSUMO",VLOOKUP(C84,INSUMOS!$A$6:$D$4845,2,0),IF(A84="COTAÇÃO",VLOOKUP(C84,'014-22-cotação'!$A$9:$I$138,2,0),IF(A84="CCU",VLOOKUP(C84,'014-22-CCU''s'!$B$10:$H$450,2,0)))))</f>
        <v xml:space="preserve">ARGILA OU BARRO PARA ATERRO/REATERRO (COM TRANSPORTE ATE 10 KM)                                                                                                                                                                                                                                                                                                                                                                                                                                           </v>
      </c>
      <c r="E84" s="549" t="str">
        <f>IF(A84="SERVIÇO",VLOOKUP(C84,SERVIÇOS!$A$6:$D$7697,3,0),IF(A84="INSUMO",VLOOKUP(C84,INSUMOS!$A$6:$D$4845,3,0),IF(A84="COTAÇÃO",VLOOKUP(C84,'014-22-cotação'!$A$9:$I$138,4,0),IF(A84="CCU",VLOOKUP(C84,'014-22-CCU''s'!$B$10:$H$450,4,0)))))</f>
        <v xml:space="preserve">M3    </v>
      </c>
      <c r="F84" s="550">
        <v>56.49</v>
      </c>
      <c r="G84" s="551">
        <f>IF(A84="SERVIÇO",VLOOKUP(C84,SERVIÇOS!$A$6:$D$7697,4,0),IF(A84="INSUMO",VLOOKUP(C84,INSUMOS!$A$6:$D$4845,4,0),IF(A84="COTAÇÃO",VLOOKUP(C84,'014-22-cotação'!$A$9:$I$138,3,0),IF(A84="CCU",VLOOKUP(C84,'014-22-CCU''s'!$B$10:$H$450,7,0)))))</f>
        <v>52.3</v>
      </c>
      <c r="H84" s="552">
        <f>$F$9</f>
        <v>0.18559999999999999</v>
      </c>
      <c r="I84" s="551">
        <f>(G84*(1+H84))</f>
        <v>62.006879999999995</v>
      </c>
      <c r="J84" s="553">
        <f>I84*F84</f>
        <v>3502.7686512</v>
      </c>
      <c r="K84" s="399"/>
      <c r="L84" s="309">
        <f t="shared" si="25"/>
        <v>3502.7686512</v>
      </c>
      <c r="M84" s="309">
        <f t="shared" si="26"/>
        <v>0</v>
      </c>
      <c r="N84" s="399"/>
      <c r="O84" s="399"/>
      <c r="P84" s="399"/>
      <c r="Q84" s="399"/>
      <c r="R84" s="399"/>
      <c r="S84" s="399"/>
    </row>
    <row r="85" spans="1:19" s="126" customFormat="1" ht="25.5" x14ac:dyDescent="0.2">
      <c r="A85" s="398" t="s">
        <v>1120</v>
      </c>
      <c r="B85" s="207" t="s">
        <v>3881</v>
      </c>
      <c r="C85" s="207">
        <v>100574</v>
      </c>
      <c r="D85" s="548" t="str">
        <f>IF(A85="SERVIÇO",VLOOKUP(C85,SERVIÇOS!$A$6:$D$7697,2,0),IF(A85="INSUMO",VLOOKUP(C85,INSUMOS!$A$6:$D$4845,2,0),IF(A85="COTAÇÃO",VLOOKUP(C85,'014-22-cotação'!$A$9:$I$138,2,0),IF(A85="CCU",VLOOKUP(C85,'014-22-CCU''s'!$B$10:$H$450,2,0)))))</f>
        <v>ESPALHAMENTO DE MATERIAL COM TRATOR DE ESTEIRAS. AF_11/2019</v>
      </c>
      <c r="E85" s="549" t="str">
        <f>IF(A85="SERVIÇO",VLOOKUP(C85,SERVIÇOS!$A$6:$D$7697,3,0),IF(A85="INSUMO",VLOOKUP(C85,INSUMOS!$A$6:$D$4845,3,0),IF(A85="COTAÇÃO",VLOOKUP(C85,'014-22-cotação'!$A$9:$I$138,4,0),IF(A85="CCU",VLOOKUP(C85,'014-22-CCU''s'!$B$10:$H$450,4,0)))))</f>
        <v>M3</v>
      </c>
      <c r="F85" s="550">
        <f>F84+F81</f>
        <v>326.91000000000003</v>
      </c>
      <c r="G85" s="551">
        <f>IF(A85="SERVIÇO",VLOOKUP(C85,SERVIÇOS!$A$6:$D$7697,4,0),IF(A85="INSUMO",VLOOKUP(C85,INSUMOS!$A$6:$D$4845,4,0),IF(A85="COTAÇÃO",VLOOKUP(C85,'014-22-cotação'!$A$9:$I$138,3,0),IF(A85="CCU",VLOOKUP(C85,'014-22-CCU''s'!$B$10:$H$450,7,0)))))</f>
        <v>1.45</v>
      </c>
      <c r="H85" s="552">
        <f>$F$9</f>
        <v>0.18559999999999999</v>
      </c>
      <c r="I85" s="551">
        <f>(G85*(1+H85))</f>
        <v>1.71912</v>
      </c>
      <c r="J85" s="553">
        <f>I85*F85</f>
        <v>561.99751920000006</v>
      </c>
      <c r="K85" s="399"/>
      <c r="L85" s="309">
        <f t="shared" si="25"/>
        <v>561.99751920000006</v>
      </c>
      <c r="M85" s="309" t="s">
        <v>4288</v>
      </c>
      <c r="N85" s="399"/>
      <c r="O85" s="399"/>
      <c r="P85" s="399"/>
      <c r="Q85" s="399"/>
      <c r="R85" s="399"/>
      <c r="S85" s="399"/>
    </row>
    <row r="86" spans="1:19" s="126" customFormat="1" ht="51" x14ac:dyDescent="0.2">
      <c r="A86" s="398" t="s">
        <v>1120</v>
      </c>
      <c r="B86" s="207" t="s">
        <v>3882</v>
      </c>
      <c r="C86" s="207">
        <v>96385</v>
      </c>
      <c r="D86" s="548" t="str">
        <f>IF(A86="SERVIÇO",VLOOKUP(C86,SERVIÇOS!$A$6:$D$7697,2,0),IF(A86="INSUMO",VLOOKUP(C86,INSUMOS!$A$6:$D$4845,2,0),IF(A86="COTAÇÃO",VLOOKUP(C86,'014-22-cotação'!$A$9:$I$138,2,0),IF(A86="CCU",VLOOKUP(C86,'014-22-CCU''s'!$B$10:$H$450,2,0)))))</f>
        <v>EXECUÇÃO E COMPACTAÇÃO DE ATERRO COM SOLO PREDOMINANTEMENTE ARGILOSO - EXCLUSIVE SOLO, ESCAVAÇÃO, CARGA E TRANSPORTE. AF_11/2019</v>
      </c>
      <c r="E86" s="549" t="str">
        <f>IF(A86="SERVIÇO",VLOOKUP(C86,SERVIÇOS!$A$6:$D$7697,3,0),IF(A86="INSUMO",VLOOKUP(C86,INSUMOS!$A$6:$D$4845,3,0),IF(A86="COTAÇÃO",VLOOKUP(C86,'014-22-cotação'!$A$9:$I$138,4,0),IF(A86="CCU",VLOOKUP(C86,'014-22-CCU''s'!$B$10:$H$450,4,0)))))</f>
        <v>M3</v>
      </c>
      <c r="F86" s="550">
        <f>F85</f>
        <v>326.91000000000003</v>
      </c>
      <c r="G86" s="551">
        <f>IF(A86="SERVIÇO",VLOOKUP(C86,SERVIÇOS!$A$6:$D$7697,4,0),IF(A86="INSUMO",VLOOKUP(C86,INSUMOS!$A$6:$D$4845,4,0),IF(A86="COTAÇÃO",VLOOKUP(C86,'014-22-cotação'!$A$9:$I$138,3,0),IF(A86="CCU",VLOOKUP(C86,'014-22-CCU''s'!$B$10:$H$450,7,0)))))</f>
        <v>11.6</v>
      </c>
      <c r="H86" s="552">
        <f>$F$9</f>
        <v>0.18559999999999999</v>
      </c>
      <c r="I86" s="551">
        <f>(G86*(1+H86))</f>
        <v>13.75296</v>
      </c>
      <c r="J86" s="553">
        <f>I86*F86</f>
        <v>4495.9801536000004</v>
      </c>
      <c r="K86" s="399"/>
      <c r="L86" s="309">
        <f t="shared" si="25"/>
        <v>4495.9801536000004</v>
      </c>
      <c r="M86" s="309">
        <f t="shared" si="26"/>
        <v>0</v>
      </c>
      <c r="N86" s="399"/>
      <c r="O86" s="399"/>
      <c r="P86" s="399"/>
      <c r="Q86" s="399"/>
      <c r="R86" s="399"/>
      <c r="S86" s="399"/>
    </row>
    <row r="87" spans="1:19" s="62" customFormat="1" ht="12.75" customHeight="1" x14ac:dyDescent="0.2">
      <c r="A87" s="199"/>
      <c r="B87" s="273"/>
      <c r="C87" s="273"/>
      <c r="D87" s="280"/>
      <c r="E87" s="273"/>
      <c r="F87" s="290"/>
      <c r="G87" s="290"/>
      <c r="H87" s="290"/>
      <c r="I87" s="290"/>
      <c r="J87" s="291"/>
      <c r="K87" s="213"/>
      <c r="L87" s="307">
        <f>I87*F87</f>
        <v>0</v>
      </c>
      <c r="M87" s="307">
        <f>L87-J87</f>
        <v>0</v>
      </c>
      <c r="N87" s="213"/>
      <c r="O87" s="213"/>
      <c r="P87" s="213"/>
      <c r="Q87" s="213"/>
      <c r="R87" s="213"/>
      <c r="S87" s="213"/>
    </row>
    <row r="88" spans="1:19" s="62" customFormat="1" ht="12.75" customHeight="1" x14ac:dyDescent="0.2">
      <c r="A88" s="199"/>
      <c r="B88" s="274"/>
      <c r="C88" s="275"/>
      <c r="D88" s="281"/>
      <c r="E88" s="275"/>
      <c r="F88" s="275"/>
      <c r="G88" s="315" t="s">
        <v>68</v>
      </c>
      <c r="H88" s="292"/>
      <c r="I88" s="315"/>
      <c r="J88" s="293">
        <f>SUM(J20:J87)</f>
        <v>448441.12441017188</v>
      </c>
      <c r="K88" s="307"/>
      <c r="L88" s="307">
        <f t="shared" si="1"/>
        <v>0</v>
      </c>
      <c r="M88" s="307"/>
      <c r="N88" s="213"/>
      <c r="O88" s="213"/>
      <c r="P88" s="213"/>
      <c r="Q88" s="213"/>
      <c r="R88" s="213"/>
      <c r="S88" s="213"/>
    </row>
    <row r="89" spans="1:19" s="62" customFormat="1" ht="12.75" customHeight="1" x14ac:dyDescent="0.2">
      <c r="A89" s="199"/>
      <c r="B89" s="273"/>
      <c r="C89" s="273"/>
      <c r="D89" s="280"/>
      <c r="E89" s="273"/>
      <c r="F89" s="290"/>
      <c r="G89" s="290"/>
      <c r="H89" s="290"/>
      <c r="I89" s="290"/>
      <c r="J89" s="291"/>
      <c r="K89" s="213"/>
      <c r="L89" s="307">
        <f>I89*F89</f>
        <v>0</v>
      </c>
      <c r="M89" s="307">
        <f>L89-J89</f>
        <v>0</v>
      </c>
      <c r="N89" s="213"/>
      <c r="O89" s="213"/>
      <c r="P89" s="213"/>
      <c r="Q89" s="213"/>
      <c r="R89" s="213"/>
      <c r="S89" s="213"/>
    </row>
    <row r="90" spans="1:19" s="62" customFormat="1" ht="12.75" customHeight="1" x14ac:dyDescent="0.2">
      <c r="A90" s="199"/>
      <c r="B90" s="206" t="s">
        <v>1123</v>
      </c>
      <c r="C90" s="206"/>
      <c r="D90" s="555" t="s">
        <v>4270</v>
      </c>
      <c r="E90" s="286"/>
      <c r="F90" s="286"/>
      <c r="G90" s="316"/>
      <c r="H90" s="286"/>
      <c r="I90" s="316"/>
      <c r="J90" s="287"/>
      <c r="K90" s="213"/>
      <c r="L90" s="307">
        <f t="shared" si="1"/>
        <v>0</v>
      </c>
      <c r="M90" s="307">
        <f t="shared" ref="M90:M118" si="27">L90-J90</f>
        <v>0</v>
      </c>
      <c r="N90" s="213"/>
      <c r="O90" s="213"/>
      <c r="P90" s="213"/>
      <c r="Q90" s="213"/>
      <c r="R90" s="213"/>
      <c r="S90" s="213"/>
    </row>
    <row r="91" spans="1:19" s="62" customFormat="1" ht="12.75" customHeight="1" x14ac:dyDescent="0.2">
      <c r="A91" s="199"/>
      <c r="B91" s="206" t="s">
        <v>1124</v>
      </c>
      <c r="C91" s="206"/>
      <c r="D91" s="279" t="s">
        <v>1125</v>
      </c>
      <c r="E91" s="288"/>
      <c r="F91" s="288"/>
      <c r="G91" s="317"/>
      <c r="H91" s="288"/>
      <c r="I91" s="317"/>
      <c r="J91" s="289"/>
      <c r="K91" s="213"/>
      <c r="L91" s="307">
        <f t="shared" si="1"/>
        <v>0</v>
      </c>
      <c r="M91" s="307">
        <f t="shared" si="27"/>
        <v>0</v>
      </c>
      <c r="N91" s="213"/>
      <c r="O91" s="213"/>
      <c r="P91" s="213"/>
      <c r="Q91" s="213"/>
      <c r="R91" s="213"/>
      <c r="S91" s="213"/>
    </row>
    <row r="92" spans="1:19" s="62" customFormat="1" ht="12.75" customHeight="1" x14ac:dyDescent="0.2">
      <c r="A92" s="199"/>
      <c r="B92" s="206" t="s">
        <v>1126</v>
      </c>
      <c r="C92" s="206"/>
      <c r="D92" s="279" t="s">
        <v>1127</v>
      </c>
      <c r="E92" s="288"/>
      <c r="F92" s="288"/>
      <c r="G92" s="317"/>
      <c r="H92" s="288"/>
      <c r="I92" s="317"/>
      <c r="J92" s="289"/>
      <c r="K92" s="213"/>
      <c r="L92" s="307">
        <f t="shared" si="1"/>
        <v>0</v>
      </c>
      <c r="M92" s="307">
        <f t="shared" si="27"/>
        <v>0</v>
      </c>
      <c r="N92" s="213"/>
      <c r="O92" s="213"/>
      <c r="P92" s="213"/>
      <c r="Q92" s="213"/>
      <c r="R92" s="213"/>
      <c r="S92" s="213"/>
    </row>
    <row r="93" spans="1:19" s="126" customFormat="1" ht="51" x14ac:dyDescent="0.2">
      <c r="A93" s="398" t="s">
        <v>1120</v>
      </c>
      <c r="B93" s="207" t="s">
        <v>1128</v>
      </c>
      <c r="C93" s="207">
        <v>96523</v>
      </c>
      <c r="D93" s="548" t="str">
        <f>IF(A93="SERVIÇO",VLOOKUP(C93,SERVIÇOS!$A$6:$D$7697,2,0),IF(A93="INSUMO",VLOOKUP(C93,INSUMOS!$A$6:$D$4845,2,0),IF(A93="COTAÇÃO",VLOOKUP(C93,'014-22-cotação'!$A$9:$I$138,2,0),IF(A93="CCU",VLOOKUP(C93,'014-22-CCU''s'!$B$10:$H$450,2,0)))))</f>
        <v>ESCAVAÇÃO MANUAL PARA BLOCO DE COROAMENTO OU SAPATA (INCLUINDO ESCAVAÇÃO PARA COLOCAÇÃO DE FÔRMAS). AF_01/2024</v>
      </c>
      <c r="E93" s="549" t="str">
        <f>IF(A93="SERVIÇO",VLOOKUP(C93,SERVIÇOS!$A$6:$D$7697,3,0),IF(A93="INSUMO",VLOOKUP(C93,INSUMOS!$A$6:$D$4845,3,0),IF(A93="COTAÇÃO",VLOOKUP(C93,'014-22-cotação'!$A$9:$I$138,4,0),IF(A93="CCU",VLOOKUP(C93,'014-22-CCU''s'!$B$10:$H$450,4,0)))))</f>
        <v>M3</v>
      </c>
      <c r="F93" s="550">
        <v>7.5</v>
      </c>
      <c r="G93" s="551">
        <f>IF(A93="SERVIÇO",VLOOKUP(C93,SERVIÇOS!$A$6:$D$7697,4,0),IF(A93="INSUMO",VLOOKUP(C93,INSUMOS!$A$6:$D$4845,4,0),IF(A93="COTAÇÃO",VLOOKUP(C93,'014-22-cotação'!$A$9:$I$138,3,0),IF(A93="CCU",VLOOKUP(C93,'014-22-CCU''s'!$B$10:$H$450,7,0)))))</f>
        <v>103.18</v>
      </c>
      <c r="H93" s="552">
        <f>$F$9</f>
        <v>0.18559999999999999</v>
      </c>
      <c r="I93" s="551">
        <f>(G93*(1+H93))</f>
        <v>122.33020800000001</v>
      </c>
      <c r="J93" s="553">
        <f>I93*F93</f>
        <v>917.47656000000006</v>
      </c>
      <c r="K93" s="399"/>
      <c r="L93" s="309">
        <f t="shared" si="1"/>
        <v>917.47656000000006</v>
      </c>
      <c r="M93" s="309">
        <f t="shared" si="27"/>
        <v>0</v>
      </c>
      <c r="N93" s="399"/>
      <c r="O93" s="400"/>
      <c r="P93" s="399"/>
      <c r="Q93" s="399"/>
      <c r="R93" s="399"/>
      <c r="S93" s="399"/>
    </row>
    <row r="94" spans="1:19" s="126" customFormat="1" ht="38.25" x14ac:dyDescent="0.2">
      <c r="A94" s="398" t="s">
        <v>1120</v>
      </c>
      <c r="B94" s="207" t="s">
        <v>1129</v>
      </c>
      <c r="C94" s="207">
        <v>101616</v>
      </c>
      <c r="D94" s="548" t="str">
        <f>IF(A94="SERVIÇO",VLOOKUP(C94,SERVIÇOS!$A$6:$D$7697,2,0),IF(A94="INSUMO",VLOOKUP(C94,INSUMOS!$A$6:$D$4845,2,0),IF(A94="COTAÇÃO",VLOOKUP(C94,'014-22-cotação'!$A$9:$I$138,2,0),IF(A94="CCU",VLOOKUP(C94,'014-22-CCU''s'!$B$10:$H$450,2,0)))))</f>
        <v>PREPARO DE FUNDO DE VALA COM LARGURA MENOR QUE 1,5 M (ACERTO DO SOLO NATURAL). AF_08/2020</v>
      </c>
      <c r="E94" s="549" t="str">
        <f>IF(A94="SERVIÇO",VLOOKUP(C94,SERVIÇOS!$A$6:$D$7697,3,0),IF(A94="INSUMO",VLOOKUP(C94,INSUMOS!$A$6:$D$4845,3,0),IF(A94="COTAÇÃO",VLOOKUP(C94,'014-22-cotação'!$A$9:$I$138,4,0),IF(A94="CCU",VLOOKUP(C94,'014-22-CCU''s'!$B$10:$H$450,4,0)))))</f>
        <v>M2</v>
      </c>
      <c r="F94" s="550">
        <v>16.66</v>
      </c>
      <c r="G94" s="551">
        <f>IF(A94="SERVIÇO",VLOOKUP(C94,SERVIÇOS!$A$6:$D$7697,4,0),IF(A94="INSUMO",VLOOKUP(C94,INSUMOS!$A$6:$D$4845,4,0),IF(A94="COTAÇÃO",VLOOKUP(C94,'014-22-cotação'!$A$9:$I$138,3,0),IF(A94="CCU",VLOOKUP(C94,'014-22-CCU''s'!$B$10:$H$450,7,0)))))</f>
        <v>6.96</v>
      </c>
      <c r="H94" s="552">
        <f>$F$9</f>
        <v>0.18559999999999999</v>
      </c>
      <c r="I94" s="551">
        <f>(G94*(1+H94))</f>
        <v>8.2517759999999996</v>
      </c>
      <c r="J94" s="553">
        <f>I94*F94</f>
        <v>137.47458816</v>
      </c>
      <c r="K94" s="399"/>
      <c r="L94" s="309">
        <f t="shared" si="1"/>
        <v>137.47458816</v>
      </c>
      <c r="M94" s="309">
        <f t="shared" si="27"/>
        <v>0</v>
      </c>
      <c r="N94" s="399"/>
      <c r="O94" s="399"/>
      <c r="P94" s="399"/>
      <c r="Q94" s="399"/>
      <c r="R94" s="399"/>
      <c r="S94" s="399"/>
    </row>
    <row r="95" spans="1:19" s="126" customFormat="1" ht="38.25" x14ac:dyDescent="0.2">
      <c r="A95" s="398" t="s">
        <v>1120</v>
      </c>
      <c r="B95" s="207" t="s">
        <v>1130</v>
      </c>
      <c r="C95" s="207">
        <v>93382</v>
      </c>
      <c r="D95" s="548" t="str">
        <f>IF(A95="SERVIÇO",VLOOKUP(C95,SERVIÇOS!$A$6:$D$7697,2,0),IF(A95="INSUMO",VLOOKUP(C95,INSUMOS!$A$6:$D$4845,2,0),IF(A95="COTAÇÃO",VLOOKUP(C95,'014-22-cotação'!$A$9:$I$138,2,0),IF(A95="CCU",VLOOKUP(C95,'014-22-CCU''s'!$B$10:$H$450,2,0)))))</f>
        <v>REATERRO MANUAL DE VALAS, COM COMPACTADOR DE SOLOS DE PERCUSSÃO. AF_08/2023</v>
      </c>
      <c r="E95" s="549" t="str">
        <f>IF(A95="SERVIÇO",VLOOKUP(C95,SERVIÇOS!$A$6:$D$7697,3,0),IF(A95="INSUMO",VLOOKUP(C95,INSUMOS!$A$6:$D$4845,3,0),IF(A95="COTAÇÃO",VLOOKUP(C95,'014-22-cotação'!$A$9:$I$138,4,0),IF(A95="CCU",VLOOKUP(C95,'014-22-CCU''s'!$B$10:$H$450,4,0)))))</f>
        <v>M3</v>
      </c>
      <c r="F95" s="550">
        <v>5.05</v>
      </c>
      <c r="G95" s="551">
        <f>IF(A95="SERVIÇO",VLOOKUP(C95,SERVIÇOS!$A$6:$D$7697,4,0),IF(A95="INSUMO",VLOOKUP(C95,INSUMOS!$A$6:$D$4845,4,0),IF(A95="COTAÇÃO",VLOOKUP(C95,'014-22-cotação'!$A$9:$I$138,3,0),IF(A95="CCU",VLOOKUP(C95,'014-22-CCU''s'!$B$10:$H$450,7,0)))))</f>
        <v>26.75</v>
      </c>
      <c r="H95" s="552">
        <f>$F$9</f>
        <v>0.18559999999999999</v>
      </c>
      <c r="I95" s="551">
        <f>(G95*(1+H95))</f>
        <v>31.7148</v>
      </c>
      <c r="J95" s="553">
        <f>I95*F95</f>
        <v>160.15974</v>
      </c>
      <c r="K95" s="399"/>
      <c r="L95" s="309">
        <f t="shared" si="1"/>
        <v>160.15974</v>
      </c>
      <c r="M95" s="309">
        <f t="shared" si="27"/>
        <v>0</v>
      </c>
      <c r="N95" s="399"/>
      <c r="O95" s="399"/>
      <c r="P95" s="399"/>
      <c r="Q95" s="399"/>
      <c r="R95" s="399"/>
      <c r="S95" s="399"/>
    </row>
    <row r="96" spans="1:19" s="62" customFormat="1" ht="12.75" customHeight="1" x14ac:dyDescent="0.2">
      <c r="A96" s="199"/>
      <c r="B96" s="273"/>
      <c r="C96" s="273"/>
      <c r="D96" s="280"/>
      <c r="E96" s="273"/>
      <c r="F96" s="290"/>
      <c r="G96" s="290"/>
      <c r="H96" s="290"/>
      <c r="I96" s="290"/>
      <c r="J96" s="291"/>
      <c r="K96" s="213"/>
      <c r="L96" s="307">
        <f t="shared" si="1"/>
        <v>0</v>
      </c>
      <c r="M96" s="307">
        <f t="shared" si="27"/>
        <v>0</v>
      </c>
      <c r="N96" s="213"/>
      <c r="O96" s="213"/>
      <c r="P96" s="213"/>
      <c r="Q96" s="213"/>
      <c r="R96" s="213"/>
      <c r="S96" s="213"/>
    </row>
    <row r="97" spans="1:19" s="62" customFormat="1" ht="12.75" customHeight="1" x14ac:dyDescent="0.2">
      <c r="A97" s="199"/>
      <c r="B97" s="206" t="s">
        <v>1941</v>
      </c>
      <c r="C97" s="206"/>
      <c r="D97" s="279" t="s">
        <v>1945</v>
      </c>
      <c r="E97" s="288"/>
      <c r="F97" s="288"/>
      <c r="G97" s="317"/>
      <c r="H97" s="288"/>
      <c r="I97" s="317"/>
      <c r="J97" s="289"/>
      <c r="K97" s="213"/>
      <c r="L97" s="307">
        <f t="shared" ref="L97:L98" si="28">I97*F97</f>
        <v>0</v>
      </c>
      <c r="M97" s="307">
        <f t="shared" ref="M97:M98" si="29">L97-J97</f>
        <v>0</v>
      </c>
      <c r="N97" s="213"/>
      <c r="O97" s="213"/>
      <c r="P97" s="213"/>
      <c r="Q97" s="213"/>
      <c r="R97" s="213"/>
      <c r="S97" s="213"/>
    </row>
    <row r="98" spans="1:19" s="126" customFormat="1" ht="38.25" x14ac:dyDescent="0.2">
      <c r="A98" s="398" t="s">
        <v>1121</v>
      </c>
      <c r="B98" s="207" t="s">
        <v>1942</v>
      </c>
      <c r="C98" s="207" t="s">
        <v>1495</v>
      </c>
      <c r="D98" s="548" t="str">
        <f>IF(A98="SERVIÇO",VLOOKUP(C98,SERVIÇOS!$A$6:$D$7697,2,0),IF(A98="INSUMO",VLOOKUP(C98,INSUMOS!$A$6:$D$4845,2,0),IF(A98="COTAÇÃO",VLOOKUP(C98,'014-22-cotação'!$A$9:$I$138,2,0),IF(A98="CCU",VLOOKUP(C98,'014-22-CCU''s'!$B$10:$H$450,2,0)))))</f>
        <v>ESTACA BROCA DE CONCRETO, DIÂMETRO DE 40CM, ESCAVAÇÃO MANUAL COM TRADO CONCHA, (EXCLUSIVE ARMADURA).</v>
      </c>
      <c r="E98" s="549" t="str">
        <f>IF(A98="SERVIÇO",VLOOKUP(C98,SERVIÇOS!$A$6:$D$7697,3,0),IF(A98="INSUMO",VLOOKUP(C98,INSUMOS!$A$6:$D$4845,3,0),IF(A98="COTAÇÃO",VLOOKUP(C98,'014-22-cotação'!$A$9:$I$138,4,0),IF(A98="CCU",VLOOKUP(C98,'014-22-CCU''s'!$B$10:$H$450,4,0)))))</f>
        <v>M</v>
      </c>
      <c r="F98" s="550">
        <v>14</v>
      </c>
      <c r="G98" s="551">
        <f>IF(A98="SERVIÇO",VLOOKUP(C98,SERVIÇOS!$A$6:$D$7697,4,0),IF(A98="INSUMO",VLOOKUP(C98,INSUMOS!$A$6:$D$4845,4,0),IF(A98="COTAÇÃO",VLOOKUP(C98,'014-22-cotação'!$A$9:$I$138,3,0),IF(A98="CCU",VLOOKUP(C98,'014-22-CCU''s'!$B$10:$H$450,7,0)))))</f>
        <v>150.25</v>
      </c>
      <c r="H98" s="552">
        <f>$F$9</f>
        <v>0.18559999999999999</v>
      </c>
      <c r="I98" s="551">
        <f>(G98*(1+H98))</f>
        <v>178.13640000000001</v>
      </c>
      <c r="J98" s="553">
        <f>I98*F98</f>
        <v>2493.9096</v>
      </c>
      <c r="K98" s="399">
        <f>PI()*(0.15^2)*F98</f>
        <v>0.9896016858807849</v>
      </c>
      <c r="L98" s="309">
        <f t="shared" si="28"/>
        <v>2493.9096</v>
      </c>
      <c r="M98" s="309">
        <f t="shared" si="29"/>
        <v>0</v>
      </c>
      <c r="N98" s="399"/>
      <c r="O98" s="399"/>
      <c r="P98" s="399"/>
      <c r="Q98" s="399"/>
      <c r="R98" s="399"/>
      <c r="S98" s="399"/>
    </row>
    <row r="99" spans="1:19" s="126" customFormat="1" ht="38.25" x14ac:dyDescent="0.2">
      <c r="A99" s="398" t="s">
        <v>1121</v>
      </c>
      <c r="B99" s="207" t="s">
        <v>1943</v>
      </c>
      <c r="C99" s="207" t="s">
        <v>3900</v>
      </c>
      <c r="D99" s="548" t="str">
        <f>IF(A99="SERVIÇO",VLOOKUP(C99,SERVIÇOS!$A$6:$D$7697,2,0),IF(A99="INSUMO",VLOOKUP(C99,INSUMOS!$A$6:$D$4845,2,0),IF(A99="COTAÇÃO",VLOOKUP(C99,'014-22-cotação'!$A$9:$I$138,2,0),IF(A99="CCU",VLOOKUP(C99,'014-22-CCU''s'!$B$10:$H$450,2,0)))))</f>
        <v>ESTACA BROCA DE CONCRETO, DIÂMETRO DE 25CM, ESCAVAÇÃO MANUAL COM TRADO CONCHA, (EXCLUSIVE ARMADURA).</v>
      </c>
      <c r="E99" s="549" t="str">
        <f>IF(A99="SERVIÇO",VLOOKUP(C99,SERVIÇOS!$A$6:$D$7697,3,0),IF(A99="INSUMO",VLOOKUP(C99,INSUMOS!$A$6:$D$4845,3,0),IF(A99="COTAÇÃO",VLOOKUP(C99,'014-22-cotação'!$A$9:$I$138,4,0),IF(A99="CCU",VLOOKUP(C99,'014-22-CCU''s'!$B$10:$H$450,4,0)))))</f>
        <v>M</v>
      </c>
      <c r="F99" s="550">
        <v>2</v>
      </c>
      <c r="G99" s="551">
        <f>IF(A99="SERVIÇO",VLOOKUP(C99,SERVIÇOS!$A$6:$D$7697,4,0),IF(A99="INSUMO",VLOOKUP(C99,INSUMOS!$A$6:$D$4845,4,0),IF(A99="COTAÇÃO",VLOOKUP(C99,'014-22-cotação'!$A$9:$I$138,3,0),IF(A99="CCU",VLOOKUP(C99,'014-22-CCU''s'!$B$10:$H$450,7,0)))))</f>
        <v>82.15</v>
      </c>
      <c r="H99" s="552">
        <f>$F$9</f>
        <v>0.18559999999999999</v>
      </c>
      <c r="I99" s="551">
        <f>(G99*(1+H99))</f>
        <v>97.397040000000004</v>
      </c>
      <c r="J99" s="553">
        <f>I99*F99</f>
        <v>194.79408000000001</v>
      </c>
      <c r="K99" s="399">
        <f>PI()*(0.15^2)*F99</f>
        <v>0.1413716694115407</v>
      </c>
      <c r="L99" s="309">
        <f t="shared" ref="L99" si="30">I99*F99</f>
        <v>194.79408000000001</v>
      </c>
      <c r="M99" s="309">
        <f t="shared" ref="M99" si="31">L99-J99</f>
        <v>0</v>
      </c>
      <c r="N99" s="399"/>
      <c r="O99" s="399"/>
      <c r="P99" s="399"/>
      <c r="Q99" s="399"/>
      <c r="R99" s="399"/>
      <c r="S99" s="399"/>
    </row>
    <row r="100" spans="1:19" s="404" customFormat="1" ht="38.25" x14ac:dyDescent="0.2">
      <c r="A100" s="398" t="s">
        <v>1121</v>
      </c>
      <c r="B100" s="207" t="s">
        <v>1944</v>
      </c>
      <c r="C100" s="207" t="s">
        <v>1496</v>
      </c>
      <c r="D100" s="548" t="str">
        <f>IF(A100="SERVIÇO",VLOOKUP(C100,SERVIÇOS!$A$6:$D$7697,2,0),IF(A100="INSUMO",VLOOKUP(C100,INSUMOS!$A$6:$D$4845,2,0),IF(A100="COTAÇÃO",VLOOKUP(C100,'014-22-cotação'!$A$9:$I$138,2,0),IF(A100="CCU",VLOOKUP(C100,'014-22-CCU''s'!$B$10:$H$450,2,0)))))</f>
        <v>CHAPA DE AÇO E= PARA ANCORAGEM DOS CHUMBADORES - FORNECIMENTO E INSTALAÇÃO</v>
      </c>
      <c r="E100" s="549" t="str">
        <f>IF(A100="SERVIÇO",VLOOKUP(C100,SERVIÇOS!$A$6:$D$7697,3,0),IF(A100="INSUMO",VLOOKUP(C100,INSUMOS!$A$6:$D$4845,3,0),IF(A100="COTAÇÃO",VLOOKUP(C100,'014-22-cotação'!$A$9:$I$138,4,0),IF(A100="CCU",VLOOKUP(C100,'014-22-CCU''s'!$B$10:$H$450,4,0)))))</f>
        <v>M2</v>
      </c>
      <c r="F100" s="550">
        <f>PI()*((0.3/2)^2)*14</f>
        <v>0.9896016858807849</v>
      </c>
      <c r="G100" s="551">
        <f>IF(A100="SERVIÇO",VLOOKUP(C100,SERVIÇOS!$A$6:$D$7697,4,0),IF(A100="INSUMO",VLOOKUP(C100,INSUMOS!$A$6:$D$4845,4,0),IF(A100="COTAÇÃO",VLOOKUP(C100,'014-22-cotação'!$A$9:$I$138,3,0),IF(A100="CCU",VLOOKUP(C100,'014-22-CCU''s'!$B$10:$H$450,7,0)))))</f>
        <v>285.82</v>
      </c>
      <c r="H100" s="552">
        <f>$F$9</f>
        <v>0.18559999999999999</v>
      </c>
      <c r="I100" s="551">
        <f t="shared" ref="I100" si="32">(G100*(1+H100))</f>
        <v>338.86819199999996</v>
      </c>
      <c r="J100" s="553">
        <f t="shared" ref="J100" si="33">I100*F100</f>
        <v>335.34453409457348</v>
      </c>
      <c r="K100" s="403"/>
      <c r="L100" s="309">
        <f>I100*F100</f>
        <v>335.34453409457348</v>
      </c>
      <c r="M100" s="403">
        <v>2.4660000000000002</v>
      </c>
      <c r="N100" s="403"/>
      <c r="O100" s="403"/>
      <c r="P100" s="403"/>
      <c r="Q100" s="403"/>
      <c r="R100" s="403"/>
      <c r="S100" s="403"/>
    </row>
    <row r="101" spans="1:19" s="404" customFormat="1" ht="25.5" x14ac:dyDescent="0.2">
      <c r="A101" s="398" t="s">
        <v>1121</v>
      </c>
      <c r="B101" s="207" t="s">
        <v>3905</v>
      </c>
      <c r="C101" s="207" t="s">
        <v>3906</v>
      </c>
      <c r="D101" s="548" t="str">
        <f>IF(A101="SERVIÇO",VLOOKUP(C101,SERVIÇOS!$A$6:$D$7697,2,0),IF(A101="INSUMO",VLOOKUP(C101,INSUMOS!$A$6:$D$4845,2,0),IF(A101="COTAÇÃO",VLOOKUP(C101,'014-22-cotação'!$A$9:$I$138,2,0),IF(A101="CCU",VLOOKUP(C101,'014-22-CCU''s'!$B$10:$H$450,2,0)))))</f>
        <v>CHUMBADOR Ø3/4"- FORNECIMENTO E INSTALAÇÃO</v>
      </c>
      <c r="E101" s="549" t="str">
        <f>IF(A101="SERVIÇO",VLOOKUP(C101,SERVIÇOS!$A$6:$D$7697,3,0),IF(A101="INSUMO",VLOOKUP(C101,INSUMOS!$A$6:$D$4845,3,0),IF(A101="COTAÇÃO",VLOOKUP(C101,'014-22-cotação'!$A$9:$I$138,4,0),IF(A101="CCU",VLOOKUP(C101,'014-22-CCU''s'!$B$10:$H$450,4,0)))))</f>
        <v xml:space="preserve">UN    </v>
      </c>
      <c r="F101" s="550">
        <v>56</v>
      </c>
      <c r="G101" s="551">
        <f>IF(A101="SERVIÇO",VLOOKUP(C101,SERVIÇOS!$A$6:$D$7697,4,0),IF(A101="INSUMO",VLOOKUP(C101,INSUMOS!$A$6:$D$4845,4,0),IF(A101="COTAÇÃO",VLOOKUP(C101,'014-22-cotação'!$A$9:$I$138,3,0),IF(A101="CCU",VLOOKUP(C101,'014-22-CCU''s'!$B$10:$H$450,7,0)))))</f>
        <v>26.33</v>
      </c>
      <c r="H101" s="552">
        <f>$F$9</f>
        <v>0.18559999999999999</v>
      </c>
      <c r="I101" s="551">
        <f t="shared" ref="I101" si="34">(G101*(1+H101))</f>
        <v>31.216847999999999</v>
      </c>
      <c r="J101" s="553">
        <f t="shared" ref="J101" si="35">I101*F101</f>
        <v>1748.1434879999999</v>
      </c>
      <c r="K101" s="403"/>
      <c r="L101" s="309">
        <f t="shared" ref="L101" si="36">I101*F101</f>
        <v>1748.1434879999999</v>
      </c>
      <c r="M101" s="403">
        <v>2.4660000000000002</v>
      </c>
      <c r="N101" s="403"/>
      <c r="O101" s="403"/>
      <c r="P101" s="403"/>
      <c r="Q101" s="403"/>
      <c r="R101" s="403"/>
      <c r="S101" s="403"/>
    </row>
    <row r="102" spans="1:19" s="62" customFormat="1" ht="12.75" customHeight="1" x14ac:dyDescent="0.2">
      <c r="A102" s="199"/>
      <c r="B102" s="273"/>
      <c r="C102" s="273"/>
      <c r="D102" s="280"/>
      <c r="E102" s="273"/>
      <c r="F102" s="290"/>
      <c r="G102" s="290"/>
      <c r="H102" s="290"/>
      <c r="I102" s="290"/>
      <c r="J102" s="291"/>
      <c r="K102" s="213"/>
      <c r="L102" s="307">
        <f>I102*F102</f>
        <v>0</v>
      </c>
      <c r="M102" s="307">
        <f>L102-J102</f>
        <v>0</v>
      </c>
      <c r="N102" s="213"/>
      <c r="O102" s="213"/>
      <c r="P102" s="213"/>
      <c r="Q102" s="213"/>
      <c r="R102" s="213"/>
      <c r="S102" s="213"/>
    </row>
    <row r="103" spans="1:19" s="62" customFormat="1" ht="12.75" customHeight="1" x14ac:dyDescent="0.2">
      <c r="A103" s="199"/>
      <c r="B103" s="206" t="s">
        <v>1131</v>
      </c>
      <c r="C103" s="206"/>
      <c r="D103" s="555" t="s">
        <v>4274</v>
      </c>
      <c r="E103" s="286"/>
      <c r="F103" s="286"/>
      <c r="G103" s="316"/>
      <c r="H103" s="286"/>
      <c r="I103" s="316"/>
      <c r="J103" s="287"/>
      <c r="K103" s="213"/>
      <c r="L103" s="307">
        <f t="shared" ref="L103:L119" si="37">I103*F103</f>
        <v>0</v>
      </c>
      <c r="M103" s="307">
        <f t="shared" si="27"/>
        <v>0</v>
      </c>
      <c r="N103" s="213"/>
      <c r="O103" s="213"/>
      <c r="P103" s="213"/>
      <c r="Q103" s="213"/>
      <c r="R103" s="213"/>
      <c r="S103" s="213"/>
    </row>
    <row r="104" spans="1:19" s="62" customFormat="1" ht="12.75" customHeight="1" x14ac:dyDescent="0.2">
      <c r="A104" s="199"/>
      <c r="B104" s="206" t="s">
        <v>1132</v>
      </c>
      <c r="C104" s="206"/>
      <c r="D104" s="279" t="s">
        <v>1133</v>
      </c>
      <c r="E104" s="288"/>
      <c r="F104" s="288"/>
      <c r="G104" s="317"/>
      <c r="H104" s="288"/>
      <c r="I104" s="317"/>
      <c r="J104" s="289"/>
      <c r="K104" s="213"/>
      <c r="L104" s="307">
        <f t="shared" si="37"/>
        <v>0</v>
      </c>
      <c r="M104" s="307">
        <f t="shared" si="27"/>
        <v>0</v>
      </c>
      <c r="N104" s="213"/>
      <c r="O104" s="213"/>
      <c r="P104" s="213"/>
      <c r="Q104" s="213"/>
      <c r="R104" s="213"/>
      <c r="S104" s="213"/>
    </row>
    <row r="105" spans="1:19" s="126" customFormat="1" ht="38.25" x14ac:dyDescent="0.2">
      <c r="A105" s="398" t="s">
        <v>1120</v>
      </c>
      <c r="B105" s="207" t="s">
        <v>1134</v>
      </c>
      <c r="C105" s="207">
        <v>96616</v>
      </c>
      <c r="D105" s="548" t="str">
        <f>IF(A105="SERVIÇO",VLOOKUP(C105,SERVIÇOS!$A$6:$D$7697,2,0),IF(A105="INSUMO",VLOOKUP(C105,INSUMOS!$A$6:$D$4845,2,0),IF(A105="COTAÇÃO",VLOOKUP(C105,'014-22-cotação'!$A$9:$I$138,2,0),IF(A105="CCU",VLOOKUP(C105,'014-22-CCU''s'!$B$10:$H$450,2,0)))))</f>
        <v>LASTRO DE CONCRETO MAGRO, APLICADO EM BLOCOS DE COROAMENTO OU SAPATAS. AF_01/2024</v>
      </c>
      <c r="E105" s="549" t="str">
        <f>IF(A105="SERVIÇO",VLOOKUP(C105,SERVIÇOS!$A$6:$D$7697,3,0),IF(A105="INSUMO",VLOOKUP(C105,INSUMOS!$A$6:$D$4845,3,0),IF(A105="COTAÇÃO",VLOOKUP(C105,'014-22-cotação'!$A$9:$I$138,4,0),IF(A105="CCU",VLOOKUP(C105,'014-22-CCU''s'!$B$10:$H$450,4,0)))))</f>
        <v>M3</v>
      </c>
      <c r="F105" s="550">
        <v>0.27</v>
      </c>
      <c r="G105" s="551">
        <f>IF(A105="SERVIÇO",VLOOKUP(C105,SERVIÇOS!$A$6:$D$7697,4,0),IF(A105="INSUMO",VLOOKUP(C105,INSUMOS!$A$6:$D$4845,4,0),IF(A105="COTAÇÃO",VLOOKUP(C105,'014-22-cotação'!$A$9:$I$138,3,0),IF(A105="CCU",VLOOKUP(C105,'014-22-CCU''s'!$B$10:$H$450,7,0)))))</f>
        <v>950.51</v>
      </c>
      <c r="H105" s="552">
        <f>$F$9</f>
        <v>0.18559999999999999</v>
      </c>
      <c r="I105" s="551">
        <f>(G105*(1+H105))</f>
        <v>1126.9246559999999</v>
      </c>
      <c r="J105" s="553">
        <f>I105*F105</f>
        <v>304.26965711999998</v>
      </c>
      <c r="K105" s="399"/>
      <c r="L105" s="309">
        <f t="shared" si="37"/>
        <v>304.26965711999998</v>
      </c>
      <c r="M105" s="309">
        <f t="shared" si="27"/>
        <v>0</v>
      </c>
      <c r="N105" s="399"/>
      <c r="O105" s="399"/>
      <c r="P105" s="399"/>
      <c r="Q105" s="399"/>
      <c r="R105" s="399"/>
      <c r="S105" s="399"/>
    </row>
    <row r="106" spans="1:19" s="62" customFormat="1" ht="12.75" customHeight="1" x14ac:dyDescent="0.2">
      <c r="A106" s="199"/>
      <c r="B106" s="273"/>
      <c r="C106" s="273"/>
      <c r="D106" s="280"/>
      <c r="E106" s="273"/>
      <c r="F106" s="290"/>
      <c r="G106" s="290"/>
      <c r="H106" s="290"/>
      <c r="I106" s="290"/>
      <c r="J106" s="291"/>
      <c r="K106" s="213"/>
      <c r="L106" s="307">
        <f t="shared" si="37"/>
        <v>0</v>
      </c>
      <c r="M106" s="307">
        <f t="shared" si="27"/>
        <v>0</v>
      </c>
      <c r="N106" s="213"/>
      <c r="O106" s="213"/>
      <c r="P106" s="213"/>
      <c r="Q106" s="213"/>
      <c r="R106" s="213"/>
      <c r="S106" s="213"/>
    </row>
    <row r="107" spans="1:19" s="62" customFormat="1" ht="12.75" customHeight="1" x14ac:dyDescent="0.2">
      <c r="A107" s="199"/>
      <c r="B107" s="206" t="s">
        <v>1135</v>
      </c>
      <c r="C107" s="206"/>
      <c r="D107" s="278" t="s">
        <v>1136</v>
      </c>
      <c r="E107" s="286"/>
      <c r="F107" s="286"/>
      <c r="G107" s="316"/>
      <c r="H107" s="286"/>
      <c r="I107" s="316"/>
      <c r="J107" s="287"/>
      <c r="K107" s="213"/>
      <c r="L107" s="307">
        <f t="shared" si="37"/>
        <v>0</v>
      </c>
      <c r="M107" s="307">
        <f t="shared" si="27"/>
        <v>0</v>
      </c>
      <c r="N107" s="213"/>
      <c r="O107" s="213"/>
      <c r="P107" s="213"/>
      <c r="Q107" s="213"/>
      <c r="R107" s="213"/>
      <c r="S107" s="213"/>
    </row>
    <row r="108" spans="1:19" s="126" customFormat="1" ht="63.75" x14ac:dyDescent="0.2">
      <c r="A108" s="398" t="s">
        <v>1120</v>
      </c>
      <c r="B108" s="207" t="s">
        <v>1137</v>
      </c>
      <c r="C108" s="207">
        <v>96540</v>
      </c>
      <c r="D108" s="548" t="str">
        <f>IF(A108="SERVIÇO",VLOOKUP(C108,SERVIÇOS!$A$6:$D$7697,2,0),IF(A108="INSUMO",VLOOKUP(C108,INSUMOS!$A$6:$D$4845,2,0),IF(A108="COTAÇÃO",VLOOKUP(C108,'014-22-cotação'!$A$9:$I$138,2,0),IF(A108="CCU",VLOOKUP(C108,'014-22-CCU''s'!$B$10:$H$450,2,0)))))</f>
        <v>FABRICAÇÃO, MONTAGEM E DESMONTAGEM DE FÔRMA PARA BLOCO DE COROAMENTO, EM CHAPA DE MADEIRA COMPENSADA RESINADA, E=17 MM, 4 UTILIZAÇÕES. AF_01/2024</v>
      </c>
      <c r="E108" s="549" t="str">
        <f>IF(A108="SERVIÇO",VLOOKUP(C108,SERVIÇOS!$A$6:$D$7697,3,0),IF(A108="INSUMO",VLOOKUP(C108,INSUMOS!$A$6:$D$4845,3,0),IF(A108="COTAÇÃO",VLOOKUP(C108,'014-22-cotação'!$A$9:$I$138,4,0),IF(A108="CCU",VLOOKUP(C108,'014-22-CCU''s'!$B$10:$H$450,4,0)))))</f>
        <v>M2</v>
      </c>
      <c r="F108" s="550">
        <v>24.48</v>
      </c>
      <c r="G108" s="551">
        <f>IF(A108="SERVIÇO",VLOOKUP(C108,SERVIÇOS!$A$6:$D$7697,4,0),IF(A108="INSUMO",VLOOKUP(C108,INSUMOS!$A$6:$D$4845,4,0),IF(A108="COTAÇÃO",VLOOKUP(C108,'014-22-cotação'!$A$9:$I$138,3,0),IF(A108="CCU",VLOOKUP(C108,'014-22-CCU''s'!$B$10:$H$450,7,0)))))</f>
        <v>130.54</v>
      </c>
      <c r="H108" s="552">
        <f>$F$9</f>
        <v>0.18559999999999999</v>
      </c>
      <c r="I108" s="551">
        <f>(G108*(1+H108))</f>
        <v>154.76822399999998</v>
      </c>
      <c r="J108" s="553">
        <f>I108*F108</f>
        <v>3788.7261235199994</v>
      </c>
      <c r="K108" s="399"/>
      <c r="L108" s="309">
        <f t="shared" si="37"/>
        <v>3788.7261235199994</v>
      </c>
      <c r="M108" s="309">
        <f t="shared" si="27"/>
        <v>0</v>
      </c>
      <c r="N108" s="399"/>
      <c r="O108" s="399"/>
      <c r="P108" s="399"/>
      <c r="Q108" s="399"/>
      <c r="R108" s="399"/>
      <c r="S108" s="399"/>
    </row>
    <row r="109" spans="1:19" s="62" customFormat="1" ht="12.75" customHeight="1" x14ac:dyDescent="0.2">
      <c r="A109" s="199"/>
      <c r="B109" s="273"/>
      <c r="C109" s="273"/>
      <c r="D109" s="280"/>
      <c r="E109" s="273"/>
      <c r="F109" s="290"/>
      <c r="G109" s="290"/>
      <c r="H109" s="290"/>
      <c r="I109" s="290"/>
      <c r="J109" s="291"/>
      <c r="K109" s="213"/>
      <c r="L109" s="307">
        <f t="shared" si="37"/>
        <v>0</v>
      </c>
      <c r="M109" s="307">
        <f t="shared" si="27"/>
        <v>0</v>
      </c>
      <c r="N109" s="213"/>
      <c r="O109" s="213"/>
      <c r="P109" s="213"/>
      <c r="Q109" s="213"/>
      <c r="R109" s="213"/>
      <c r="S109" s="213"/>
    </row>
    <row r="110" spans="1:19" s="62" customFormat="1" ht="12.75" customHeight="1" x14ac:dyDescent="0.2">
      <c r="A110" s="199"/>
      <c r="B110" s="206" t="s">
        <v>1138</v>
      </c>
      <c r="C110" s="206"/>
      <c r="D110" s="278" t="s">
        <v>1139</v>
      </c>
      <c r="E110" s="286"/>
      <c r="F110" s="286"/>
      <c r="G110" s="316"/>
      <c r="H110" s="286"/>
      <c r="I110" s="316"/>
      <c r="J110" s="287"/>
      <c r="K110" s="213"/>
      <c r="L110" s="307">
        <f t="shared" si="37"/>
        <v>0</v>
      </c>
      <c r="M110" s="307">
        <f t="shared" si="27"/>
        <v>0</v>
      </c>
      <c r="N110" s="213"/>
      <c r="O110" s="213"/>
      <c r="P110" s="213"/>
      <c r="Q110" s="213"/>
      <c r="R110" s="213"/>
      <c r="S110" s="213"/>
    </row>
    <row r="111" spans="1:19" s="126" customFormat="1" ht="25.5" x14ac:dyDescent="0.2">
      <c r="A111" s="398" t="s">
        <v>1120</v>
      </c>
      <c r="B111" s="207" t="s">
        <v>1140</v>
      </c>
      <c r="C111" s="207">
        <v>96543</v>
      </c>
      <c r="D111" s="548" t="str">
        <f>IF(A111="SERVIÇO",VLOOKUP(C111,SERVIÇOS!$A$6:$D$7697,2,0),IF(A111="INSUMO",VLOOKUP(C111,INSUMOS!$A$6:$D$4845,2,0),IF(A111="COTAÇÃO",VLOOKUP(C111,'014-22-cotação'!$A$9:$I$138,2,0),IF(A111="CCU",VLOOKUP(C111,'014-22-CCU''s'!$B$10:$H$450,2,0)))))</f>
        <v>ARMAÇÃO DE BLOCO UTILIZANDO AÇO CA-60 DE 5 MM - MONTAGEM. AF_01/2024</v>
      </c>
      <c r="E111" s="549" t="str">
        <f>IF(A111="SERVIÇO",VLOOKUP(C111,SERVIÇOS!$A$6:$D$7697,3,0),IF(A111="INSUMO",VLOOKUP(C111,INSUMOS!$A$6:$D$4845,3,0),IF(A111="COTAÇÃO",VLOOKUP(C111,'014-22-cotação'!$A$9:$I$138,4,0),IF(A111="CCU",VLOOKUP(C111,'014-22-CCU''s'!$B$10:$H$450,4,0)))))</f>
        <v>KG</v>
      </c>
      <c r="F111" s="550">
        <v>102</v>
      </c>
      <c r="G111" s="551">
        <f>IF(A111="SERVIÇO",VLOOKUP(C111,SERVIÇOS!$A$6:$D$7697,4,0),IF(A111="INSUMO",VLOOKUP(C111,INSUMOS!$A$6:$D$4845,4,0),IF(A111="COTAÇÃO",VLOOKUP(C111,'014-22-cotação'!$A$9:$I$138,3,0),IF(A111="CCU",VLOOKUP(C111,'014-22-CCU''s'!$B$10:$H$450,7,0)))))</f>
        <v>20.76</v>
      </c>
      <c r="H111" s="552">
        <f>$F$9</f>
        <v>0.18559999999999999</v>
      </c>
      <c r="I111" s="551">
        <f>(G111*(1+H111))</f>
        <v>24.613056</v>
      </c>
      <c r="J111" s="553">
        <f>I111*F111</f>
        <v>2510.531712</v>
      </c>
      <c r="K111" s="399"/>
      <c r="L111" s="309">
        <f t="shared" si="37"/>
        <v>2510.531712</v>
      </c>
      <c r="M111" s="309">
        <f t="shared" si="27"/>
        <v>0</v>
      </c>
      <c r="N111" s="399"/>
      <c r="O111" s="399"/>
      <c r="P111" s="399"/>
      <c r="Q111" s="399"/>
      <c r="R111" s="399"/>
      <c r="S111" s="399"/>
    </row>
    <row r="112" spans="1:19" s="62" customFormat="1" ht="12.75" customHeight="1" x14ac:dyDescent="0.2">
      <c r="A112" s="199"/>
      <c r="B112" s="273"/>
      <c r="C112" s="273"/>
      <c r="D112" s="280"/>
      <c r="E112" s="273"/>
      <c r="F112" s="290"/>
      <c r="G112" s="290"/>
      <c r="H112" s="290"/>
      <c r="I112" s="290"/>
      <c r="J112" s="291"/>
      <c r="K112" s="213"/>
      <c r="L112" s="307">
        <f t="shared" si="37"/>
        <v>0</v>
      </c>
      <c r="M112" s="307">
        <f t="shared" si="27"/>
        <v>0</v>
      </c>
      <c r="N112" s="213"/>
      <c r="O112" s="213"/>
      <c r="P112" s="213"/>
      <c r="Q112" s="213"/>
      <c r="R112" s="213"/>
      <c r="S112" s="213"/>
    </row>
    <row r="113" spans="1:19" s="62" customFormat="1" ht="12.75" customHeight="1" x14ac:dyDescent="0.2">
      <c r="A113" s="199"/>
      <c r="B113" s="206" t="s">
        <v>1141</v>
      </c>
      <c r="C113" s="206"/>
      <c r="D113" s="278" t="s">
        <v>1142</v>
      </c>
      <c r="E113" s="286"/>
      <c r="F113" s="286"/>
      <c r="G113" s="316"/>
      <c r="H113" s="286"/>
      <c r="I113" s="316"/>
      <c r="J113" s="287"/>
      <c r="K113" s="213"/>
      <c r="L113" s="307">
        <f t="shared" si="37"/>
        <v>0</v>
      </c>
      <c r="M113" s="307">
        <f t="shared" si="27"/>
        <v>0</v>
      </c>
      <c r="N113" s="213"/>
      <c r="O113" s="213"/>
      <c r="P113" s="213"/>
      <c r="Q113" s="213"/>
      <c r="R113" s="213"/>
      <c r="S113" s="213"/>
    </row>
    <row r="114" spans="1:19" s="468" customFormat="1" ht="38.25" x14ac:dyDescent="0.2">
      <c r="A114" s="462" t="s">
        <v>1121</v>
      </c>
      <c r="B114" s="207" t="s">
        <v>1143</v>
      </c>
      <c r="C114" s="207" t="s">
        <v>2146</v>
      </c>
      <c r="D114" s="548" t="str">
        <f>IF(A114="SERVIÇO",VLOOKUP(C114,SERVIÇOS!$A$6:$D$7697,2,0),IF(A114="INSUMO",VLOOKUP(C114,INSUMOS!$A$6:$D$4845,2,0),IF(A114="COTAÇÃO",VLOOKUP(C114,'014-22-cotação'!$A$9:$I$138,2,0),IF(A114="CCU",VLOOKUP(C114,'014-22-CCU''s'!$B$10:$H$450,2,0)))))</f>
        <v>CONCRETAGEM DE BLOCOS DE COROAMENTO , FCK 25 MPA, LANÇAMENTO MANUAL, ADENSAMENTO E ACABAMENTO.</v>
      </c>
      <c r="E114" s="549" t="str">
        <f>IF(A114="SERVIÇO",VLOOKUP(C114,SERVIÇOS!$A$6:$D$7697,3,0),IF(A114="INSUMO",VLOOKUP(C114,INSUMOS!$A$6:$D$4845,3,0),IF(A114="COTAÇÃO",VLOOKUP(C114,'014-22-cotação'!$A$9:$I$138,4,0),IF(A114="CCU",VLOOKUP(C114,'014-22-CCU''s'!$B$10:$H$450,4,0)))))</f>
        <v xml:space="preserve">M3    </v>
      </c>
      <c r="F114" s="550">
        <v>2.1800000000000002</v>
      </c>
      <c r="G114" s="551">
        <f>IF(A114="SERVIÇO",VLOOKUP(C114,SERVIÇOS!$A$6:$D$7697,4,0),IF(A114="INSUMO",VLOOKUP(C114,INSUMOS!$A$6:$D$4845,4,0),IF(A114="COTAÇÃO",VLOOKUP(C114,'014-22-cotação'!$A$9:$I$138,3,0),IF(A114="CCU",VLOOKUP(C114,'014-22-CCU''s'!$B$10:$H$450,7,0)))))</f>
        <v>830.5</v>
      </c>
      <c r="H114" s="552">
        <f>$F$9</f>
        <v>0.18559999999999999</v>
      </c>
      <c r="I114" s="551">
        <f>(G114*(1+H114))</f>
        <v>984.64080000000001</v>
      </c>
      <c r="J114" s="553">
        <f>I114*F114</f>
        <v>2146.516944</v>
      </c>
      <c r="K114" s="463"/>
      <c r="L114" s="467">
        <f t="shared" si="37"/>
        <v>2146.516944</v>
      </c>
      <c r="M114" s="467">
        <f t="shared" si="27"/>
        <v>0</v>
      </c>
      <c r="N114" s="463"/>
      <c r="O114" s="463"/>
      <c r="P114" s="463"/>
      <c r="Q114" s="463"/>
      <c r="R114" s="463"/>
      <c r="S114" s="463"/>
    </row>
    <row r="115" spans="1:19" s="62" customFormat="1" ht="12.75" customHeight="1" x14ac:dyDescent="0.2">
      <c r="A115" s="199"/>
      <c r="B115" s="273"/>
      <c r="C115" s="273"/>
      <c r="D115" s="280"/>
      <c r="E115" s="273"/>
      <c r="F115" s="290"/>
      <c r="G115" s="290"/>
      <c r="H115" s="290"/>
      <c r="I115" s="290"/>
      <c r="J115" s="291"/>
      <c r="K115" s="213"/>
      <c r="L115" s="307">
        <f t="shared" ref="L115" si="38">I115*F115</f>
        <v>0</v>
      </c>
      <c r="M115" s="307">
        <f t="shared" ref="M115" si="39">L115-J115</f>
        <v>0</v>
      </c>
      <c r="N115" s="213"/>
      <c r="O115" s="213"/>
      <c r="P115" s="213"/>
      <c r="Q115" s="213"/>
      <c r="R115" s="213"/>
      <c r="S115" s="213"/>
    </row>
    <row r="116" spans="1:19" s="62" customFormat="1" ht="12.75" customHeight="1" x14ac:dyDescent="0.2">
      <c r="A116" s="199"/>
      <c r="B116" s="206" t="s">
        <v>1144</v>
      </c>
      <c r="C116" s="206"/>
      <c r="D116" s="278" t="s">
        <v>1145</v>
      </c>
      <c r="E116" s="286"/>
      <c r="F116" s="286"/>
      <c r="G116" s="316"/>
      <c r="H116" s="286"/>
      <c r="I116" s="316"/>
      <c r="J116" s="287"/>
      <c r="K116" s="213"/>
      <c r="L116" s="307">
        <f t="shared" si="37"/>
        <v>0</v>
      </c>
      <c r="M116" s="307">
        <f t="shared" si="27"/>
        <v>0</v>
      </c>
      <c r="N116" s="213"/>
      <c r="O116" s="213"/>
      <c r="P116" s="213"/>
      <c r="Q116" s="213"/>
      <c r="R116" s="213"/>
      <c r="S116" s="213"/>
    </row>
    <row r="117" spans="1:19" s="62" customFormat="1" ht="12.75" customHeight="1" x14ac:dyDescent="0.2">
      <c r="A117" s="199"/>
      <c r="B117" s="206" t="s">
        <v>1146</v>
      </c>
      <c r="C117" s="206"/>
      <c r="D117" s="279" t="s">
        <v>1125</v>
      </c>
      <c r="E117" s="288"/>
      <c r="F117" s="288"/>
      <c r="G117" s="317"/>
      <c r="H117" s="288"/>
      <c r="I117" s="317"/>
      <c r="J117" s="289"/>
      <c r="K117" s="213"/>
      <c r="L117" s="307">
        <f t="shared" si="37"/>
        <v>0</v>
      </c>
      <c r="M117" s="307">
        <f t="shared" si="27"/>
        <v>0</v>
      </c>
      <c r="N117" s="213"/>
      <c r="O117" s="213"/>
      <c r="P117" s="213"/>
      <c r="Q117" s="213"/>
      <c r="R117" s="213"/>
      <c r="S117" s="213"/>
    </row>
    <row r="118" spans="1:19" s="126" customFormat="1" ht="25.5" x14ac:dyDescent="0.2">
      <c r="A118" s="398" t="s">
        <v>1120</v>
      </c>
      <c r="B118" s="207" t="s">
        <v>1147</v>
      </c>
      <c r="C118" s="207">
        <v>98557</v>
      </c>
      <c r="D118" s="548" t="str">
        <f>IF(A118="SERVIÇO",VLOOKUP(C118,SERVIÇOS!$A$6:$D$7697,2,0),IF(A118="INSUMO",VLOOKUP(C118,INSUMOS!$A$6:$D$4845,2,0),IF(A118="COTAÇÃO",VLOOKUP(C118,'014-22-cotação'!$A$9:$I$138,2,0),IF(A118="CCU",VLOOKUP(C118,'014-22-CCU''s'!$B$10:$H$450,2,0)))))</f>
        <v>IMPERMEABILIZAÇÃO DE SUPERFÍCIE COM EMULSÃO ASFÁLTICA, 2 DEMÃOS. AF_09/2023</v>
      </c>
      <c r="E118" s="549" t="str">
        <f>IF(A118="SERVIÇO",VLOOKUP(C118,SERVIÇOS!$A$6:$D$7697,3,0),IF(A118="INSUMO",VLOOKUP(C118,INSUMOS!$A$6:$D$4845,3,0),IF(A118="COTAÇÃO",VLOOKUP(C118,'014-22-cotação'!$A$9:$I$138,4,0),IF(A118="CCU",VLOOKUP(C118,'014-22-CCU''s'!$B$10:$H$450,4,0)))))</f>
        <v>M2</v>
      </c>
      <c r="F118" s="550">
        <v>29.92</v>
      </c>
      <c r="G118" s="551">
        <f>IF(A118="SERVIÇO",VLOOKUP(C118,SERVIÇOS!$A$6:$D$7697,4,0),IF(A118="INSUMO",VLOOKUP(C118,INSUMOS!$A$6:$D$4845,4,0),IF(A118="COTAÇÃO",VLOOKUP(C118,'014-22-cotação'!$A$9:$I$138,3,0),IF(A118="CCU",VLOOKUP(C118,'014-22-CCU''s'!$B$10:$H$450,7,0)))))</f>
        <v>47.43</v>
      </c>
      <c r="H118" s="552">
        <f>$F$9</f>
        <v>0.18559999999999999</v>
      </c>
      <c r="I118" s="551">
        <f>(G118*(1+H118))</f>
        <v>56.233007999999998</v>
      </c>
      <c r="J118" s="553">
        <f>I118*F118</f>
        <v>1682.49159936</v>
      </c>
      <c r="K118" s="399"/>
      <c r="L118" s="309">
        <f t="shared" si="37"/>
        <v>1682.49159936</v>
      </c>
      <c r="M118" s="309">
        <f t="shared" si="27"/>
        <v>0</v>
      </c>
      <c r="N118" s="399"/>
      <c r="O118" s="399"/>
      <c r="P118" s="399"/>
      <c r="Q118" s="399"/>
      <c r="R118" s="399"/>
      <c r="S118" s="399"/>
    </row>
    <row r="119" spans="1:19" ht="12.75" customHeight="1" x14ac:dyDescent="0.2">
      <c r="A119" s="199"/>
      <c r="B119" s="273"/>
      <c r="C119" s="273"/>
      <c r="D119" s="280"/>
      <c r="E119" s="273"/>
      <c r="F119" s="290"/>
      <c r="G119" s="290"/>
      <c r="H119" s="290"/>
      <c r="I119" s="290"/>
      <c r="J119" s="291"/>
      <c r="L119" s="307">
        <f t="shared" si="37"/>
        <v>0</v>
      </c>
    </row>
    <row r="120" spans="1:19" s="62" customFormat="1" ht="12.75" customHeight="1" x14ac:dyDescent="0.2">
      <c r="A120" s="199"/>
      <c r="B120" s="274"/>
      <c r="C120" s="275"/>
      <c r="D120" s="281"/>
      <c r="E120" s="275"/>
      <c r="F120" s="275"/>
      <c r="G120" s="315" t="s">
        <v>68</v>
      </c>
      <c r="H120" s="292"/>
      <c r="I120" s="315"/>
      <c r="J120" s="293">
        <f>SUM(J92:J119)</f>
        <v>16419.838626254572</v>
      </c>
      <c r="K120" s="307"/>
      <c r="L120" s="307">
        <f t="shared" ref="L120:L190" si="40">I120*F120</f>
        <v>0</v>
      </c>
      <c r="M120" s="307"/>
      <c r="N120" s="213"/>
      <c r="O120" s="213"/>
      <c r="P120" s="213"/>
      <c r="Q120" s="213"/>
      <c r="R120" s="213"/>
      <c r="S120" s="213"/>
    </row>
    <row r="121" spans="1:19" s="62" customFormat="1" ht="12.75" customHeight="1" x14ac:dyDescent="0.2">
      <c r="A121" s="199"/>
      <c r="B121" s="273"/>
      <c r="C121" s="273"/>
      <c r="D121" s="280"/>
      <c r="E121" s="273"/>
      <c r="F121" s="290"/>
      <c r="G121" s="290"/>
      <c r="H121" s="290"/>
      <c r="I121" s="290"/>
      <c r="J121" s="291"/>
      <c r="K121" s="213"/>
      <c r="L121" s="307">
        <f t="shared" si="40"/>
        <v>0</v>
      </c>
      <c r="M121" s="307">
        <f t="shared" ref="M121:M186" si="41">L121-J121</f>
        <v>0</v>
      </c>
      <c r="N121" s="213"/>
      <c r="O121" s="213"/>
      <c r="P121" s="213"/>
      <c r="Q121" s="213"/>
      <c r="R121" s="213"/>
      <c r="S121" s="213"/>
    </row>
    <row r="122" spans="1:19" s="62" customFormat="1" ht="12.75" customHeight="1" x14ac:dyDescent="0.2">
      <c r="A122" s="199"/>
      <c r="B122" s="206" t="s">
        <v>140</v>
      </c>
      <c r="C122" s="206"/>
      <c r="D122" s="278" t="s">
        <v>141</v>
      </c>
      <c r="E122" s="286"/>
      <c r="F122" s="286"/>
      <c r="G122" s="316"/>
      <c r="H122" s="286"/>
      <c r="I122" s="316"/>
      <c r="J122" s="287"/>
      <c r="K122" s="213"/>
      <c r="L122" s="307">
        <f t="shared" si="40"/>
        <v>0</v>
      </c>
      <c r="M122" s="307">
        <f t="shared" si="41"/>
        <v>0</v>
      </c>
      <c r="N122" s="213"/>
      <c r="O122" s="213"/>
      <c r="P122" s="213"/>
      <c r="Q122" s="213"/>
      <c r="R122" s="213"/>
      <c r="S122" s="213"/>
    </row>
    <row r="123" spans="1:19" s="62" customFormat="1" ht="12.75" customHeight="1" x14ac:dyDescent="0.2">
      <c r="A123" s="199"/>
      <c r="B123" s="206" t="s">
        <v>151</v>
      </c>
      <c r="C123" s="206"/>
      <c r="D123" s="279" t="s">
        <v>152</v>
      </c>
      <c r="E123" s="288"/>
      <c r="F123" s="288"/>
      <c r="G123" s="317"/>
      <c r="H123" s="288"/>
      <c r="I123" s="317"/>
      <c r="J123" s="289"/>
      <c r="K123" s="213"/>
      <c r="L123" s="307">
        <f t="shared" si="40"/>
        <v>0</v>
      </c>
      <c r="M123" s="307">
        <f t="shared" si="41"/>
        <v>0</v>
      </c>
      <c r="N123" s="213"/>
      <c r="O123" s="213"/>
      <c r="P123" s="213"/>
      <c r="Q123" s="213"/>
      <c r="R123" s="213"/>
      <c r="S123" s="213"/>
    </row>
    <row r="124" spans="1:19" s="62" customFormat="1" ht="12.75" customHeight="1" x14ac:dyDescent="0.2">
      <c r="A124" s="199"/>
      <c r="B124" s="206" t="s">
        <v>3517</v>
      </c>
      <c r="C124" s="206"/>
      <c r="D124" s="279" t="s">
        <v>3532</v>
      </c>
      <c r="E124" s="288"/>
      <c r="F124" s="288"/>
      <c r="G124" s="317"/>
      <c r="H124" s="288"/>
      <c r="I124" s="317"/>
      <c r="J124" s="289"/>
      <c r="K124" s="213"/>
      <c r="L124" s="307">
        <f t="shared" si="40"/>
        <v>0</v>
      </c>
      <c r="M124" s="307">
        <f t="shared" si="41"/>
        <v>0</v>
      </c>
      <c r="N124" s="213"/>
      <c r="O124" s="213"/>
      <c r="P124" s="213"/>
      <c r="Q124" s="213"/>
      <c r="R124" s="213"/>
      <c r="S124" s="213"/>
    </row>
    <row r="125" spans="1:19" s="62" customFormat="1" ht="12.75" customHeight="1" x14ac:dyDescent="0.2">
      <c r="A125" s="199"/>
      <c r="B125" s="206" t="s">
        <v>3518</v>
      </c>
      <c r="C125" s="206"/>
      <c r="D125" s="279" t="s">
        <v>4286</v>
      </c>
      <c r="E125" s="288"/>
      <c r="F125" s="288"/>
      <c r="G125" s="317"/>
      <c r="H125" s="288"/>
      <c r="I125" s="317"/>
      <c r="J125" s="289"/>
      <c r="K125" s="213"/>
      <c r="L125" s="307">
        <f t="shared" si="40"/>
        <v>0</v>
      </c>
      <c r="M125" s="307">
        <f t="shared" si="41"/>
        <v>0</v>
      </c>
      <c r="N125" s="213"/>
      <c r="O125" s="213"/>
      <c r="P125" s="213"/>
      <c r="Q125" s="213"/>
      <c r="R125" s="213"/>
      <c r="S125" s="213"/>
    </row>
    <row r="126" spans="1:19" s="404" customFormat="1" ht="76.5" x14ac:dyDescent="0.2">
      <c r="A126" s="406" t="s">
        <v>1120</v>
      </c>
      <c r="B126" s="556" t="s">
        <v>3519</v>
      </c>
      <c r="C126" s="556">
        <v>94275</v>
      </c>
      <c r="D126" s="548" t="str">
        <f>IF(A126="SERVIÇO",VLOOKUP(C126,SERVIÇOS!$A$6:$D$7697,2,0),IF(A126="INSUMO",VLOOKUP(C126,INSUMOS!$A$6:$D$4845,2,0),IF(A126="COTAÇÃO",VLOOKUP(C126,'014-22-cotação'!$A$9:$I$138,2,0),IF(A126="CCU",VLOOKUP(C126,'014-22-CCU''s'!$B$10:$H$450,2,0)))))</f>
        <v>ASSENTAMENTO DE GUIA (MEIO-FIO) EM TRECHO RETO, CONFECCIONADA EM CONCRETO PRÉ-FABRICADO, DIMENSÕES 100X15X13X20 CM (COMPRIMENTO X BASE INFERIOR X BASE SUPERIOR X ALTURA). AF_01/2024</v>
      </c>
      <c r="E126" s="549" t="str">
        <f>IF(A126="SERVIÇO",VLOOKUP(C126,SERVIÇOS!$A$6:$D$7697,3,0),IF(A126="INSUMO",VLOOKUP(C126,INSUMOS!$A$6:$D$4845,3,0),IF(A126="COTAÇÃO",VLOOKUP(C126,'014-22-cotação'!$A$9:$I$138,4,0),IF(A126="CCU",VLOOKUP(C126,'014-22-CCU''s'!$B$10:$H$450,4,0)))))</f>
        <v>M</v>
      </c>
      <c r="F126" s="557">
        <v>81.8</v>
      </c>
      <c r="G126" s="551">
        <f>IF(A126="SERVIÇO",VLOOKUP(C126,SERVIÇOS!$A$6:$D$7697,4,0),IF(A126="INSUMO",VLOOKUP(C126,INSUMOS!$A$6:$D$4845,4,0),IF(A126="COTAÇÃO",VLOOKUP(C126,'014-22-cotação'!$A$9:$I$138,3,0),IF(A126="CCU",VLOOKUP(C126,'014-22-CCU''s'!$B$10:$H$450,7,0)))))</f>
        <v>43.42</v>
      </c>
      <c r="H126" s="552">
        <f>$F$9</f>
        <v>0.18559999999999999</v>
      </c>
      <c r="I126" s="551">
        <f>(G126*(1+H126))</f>
        <v>51.478752</v>
      </c>
      <c r="J126" s="553">
        <f>I126*F126</f>
        <v>4210.9619136000001</v>
      </c>
      <c r="K126" s="403"/>
      <c r="L126" s="309">
        <f t="shared" ref="L126" si="42">I126*F126</f>
        <v>4210.9619136000001</v>
      </c>
      <c r="M126" s="309">
        <f t="shared" si="41"/>
        <v>0</v>
      </c>
      <c r="N126" s="403" t="s">
        <v>4491</v>
      </c>
      <c r="O126" s="403"/>
      <c r="P126" s="403"/>
      <c r="Q126" s="403"/>
      <c r="R126" s="403"/>
      <c r="S126" s="403"/>
    </row>
    <row r="127" spans="1:19" s="404" customFormat="1" ht="63.75" x14ac:dyDescent="0.2">
      <c r="A127" s="406" t="s">
        <v>1120</v>
      </c>
      <c r="B127" s="556" t="s">
        <v>3520</v>
      </c>
      <c r="C127" s="556">
        <v>97084</v>
      </c>
      <c r="D127" s="548" t="str">
        <f>IF(A127="SERVIÇO",VLOOKUP(C127,SERVIÇOS!$A$6:$D$7697,2,0),IF(A127="INSUMO",VLOOKUP(C127,INSUMOS!$A$6:$D$4845,2,0),IF(A127="COTAÇÃO",VLOOKUP(C127,'014-22-cotação'!$A$9:$I$138,2,0),IF(A127="CCU",VLOOKUP(C127,'014-22-CCU''s'!$B$10:$H$450,2,0)))))</f>
        <v>COMPACTAÇÃO MECÂNICA DE SOLO PARA EXECUÇÃO DE RADIER, PISO DE CONCRETO OU LAJE SOBRE SOLO, COM COMPACTADOR DE SOLOS TIPO PLACA VIBRATÓRIA. AF_09/2021</v>
      </c>
      <c r="E127" s="549" t="str">
        <f>IF(A127="SERVIÇO",VLOOKUP(C127,SERVIÇOS!$A$6:$D$7697,3,0),IF(A127="INSUMO",VLOOKUP(C127,INSUMOS!$A$6:$D$4845,3,0),IF(A127="COTAÇÃO",VLOOKUP(C127,'014-22-cotação'!$A$9:$I$138,4,0),IF(A127="CCU",VLOOKUP(C127,'014-22-CCU''s'!$B$10:$H$450,4,0)))))</f>
        <v>M2</v>
      </c>
      <c r="F127" s="557">
        <v>340.27</v>
      </c>
      <c r="G127" s="551">
        <f>IF(A127="SERVIÇO",VLOOKUP(C127,SERVIÇOS!$A$6:$D$7697,4,0),IF(A127="INSUMO",VLOOKUP(C127,INSUMOS!$A$6:$D$4845,4,0),IF(A127="COTAÇÃO",VLOOKUP(C127,'014-22-cotação'!$A$9:$I$138,3,0),IF(A127="CCU",VLOOKUP(C127,'014-22-CCU''s'!$B$10:$H$450,7,0)))))</f>
        <v>0.75</v>
      </c>
      <c r="H127" s="552">
        <f t="shared" ref="H127:H145" si="43">$F$9</f>
        <v>0.18559999999999999</v>
      </c>
      <c r="I127" s="551">
        <f>(G127*(1+H127))</f>
        <v>0.88919999999999999</v>
      </c>
      <c r="J127" s="553">
        <f>I127*F127</f>
        <v>302.568084</v>
      </c>
      <c r="K127" s="403"/>
      <c r="L127" s="309">
        <f t="shared" si="40"/>
        <v>302.568084</v>
      </c>
      <c r="M127" s="309">
        <f t="shared" si="41"/>
        <v>0</v>
      </c>
      <c r="N127" s="403"/>
      <c r="O127" s="403"/>
      <c r="P127" s="403"/>
      <c r="Q127" s="403"/>
      <c r="R127" s="403"/>
      <c r="S127" s="403"/>
    </row>
    <row r="128" spans="1:19" s="404" customFormat="1" ht="38.25" x14ac:dyDescent="0.2">
      <c r="A128" s="406" t="s">
        <v>1120</v>
      </c>
      <c r="B128" s="556" t="s">
        <v>3521</v>
      </c>
      <c r="C128" s="556">
        <v>97087</v>
      </c>
      <c r="D128" s="548" t="str">
        <f>IF(A128="SERVIÇO",VLOOKUP(C128,SERVIÇOS!$A$6:$D$7697,2,0),IF(A128="INSUMO",VLOOKUP(C128,INSUMOS!$A$6:$D$4845,2,0),IF(A128="COTAÇÃO",VLOOKUP(C128,'014-22-cotação'!$A$9:$I$138,2,0),IF(A128="CCU",VLOOKUP(C128,'014-22-CCU''s'!$B$10:$H$450,2,0)))))</f>
        <v>CAMADA SEPARADORA PARA EXECUÇÃO DE RADIER, PISO DE CONCRETO OU LAJE SOBRE SOLO, EM LONA PLÁSTICA. AF_09/2021</v>
      </c>
      <c r="E128" s="549" t="str">
        <f>IF(A128="SERVIÇO",VLOOKUP(C128,SERVIÇOS!$A$6:$D$7697,3,0),IF(A128="INSUMO",VLOOKUP(C128,INSUMOS!$A$6:$D$4845,3,0),IF(A128="COTAÇÃO",VLOOKUP(C128,'014-22-cotação'!$A$9:$I$138,4,0),IF(A128="CCU",VLOOKUP(C128,'014-22-CCU''s'!$B$10:$H$450,4,0)))))</f>
        <v>M2</v>
      </c>
      <c r="F128" s="557">
        <v>340.27</v>
      </c>
      <c r="G128" s="551">
        <f>IF(A128="SERVIÇO",VLOOKUP(C128,SERVIÇOS!$A$6:$D$7697,4,0),IF(A128="INSUMO",VLOOKUP(C128,INSUMOS!$A$6:$D$4845,4,0),IF(A128="COTAÇÃO",VLOOKUP(C128,'014-22-cotação'!$A$9:$I$138,3,0),IF(A128="CCU",VLOOKUP(C128,'014-22-CCU''s'!$B$10:$H$450,7,0)))))</f>
        <v>2.68</v>
      </c>
      <c r="H128" s="552">
        <f t="shared" si="43"/>
        <v>0.18559999999999999</v>
      </c>
      <c r="I128" s="551">
        <f>(G128*(1+H128))</f>
        <v>3.1774080000000002</v>
      </c>
      <c r="J128" s="553">
        <f>I128*F128</f>
        <v>1081.1766201600001</v>
      </c>
      <c r="K128" s="403"/>
      <c r="L128" s="309">
        <f t="shared" si="40"/>
        <v>1081.1766201600001</v>
      </c>
      <c r="M128" s="309">
        <f t="shared" si="41"/>
        <v>0</v>
      </c>
      <c r="N128" s="403"/>
      <c r="O128" s="403"/>
      <c r="P128" s="403"/>
      <c r="Q128" s="403"/>
      <c r="R128" s="403"/>
      <c r="S128" s="403"/>
    </row>
    <row r="129" spans="1:19" s="404" customFormat="1" ht="51" x14ac:dyDescent="0.2">
      <c r="A129" s="406" t="s">
        <v>1120</v>
      </c>
      <c r="B129" s="556" t="s">
        <v>3522</v>
      </c>
      <c r="C129" s="556">
        <v>100324</v>
      </c>
      <c r="D129" s="548" t="str">
        <f>IF(A129="SERVIÇO",VLOOKUP(C129,SERVIÇOS!$A$6:$D$7697,2,0),IF(A129="INSUMO",VLOOKUP(C129,INSUMOS!$A$6:$D$4845,2,0),IF(A129="COTAÇÃO",VLOOKUP(C129,'014-22-cotação'!$A$9:$I$138,2,0),IF(A129="CCU",VLOOKUP(C129,'014-22-CCU''s'!$B$10:$H$450,2,0)))))</f>
        <v>LASTRO COM MATERIAL GRANULAR (PEDRA BRITADA N.1 E PEDRA BRITADA N.2), APLICADO EM PISOS OU LAJES SOBRE SOLO, ESPESSURA DE *10 CM*. AF_01/2024</v>
      </c>
      <c r="E129" s="549" t="str">
        <f>IF(A129="SERVIÇO",VLOOKUP(C129,SERVIÇOS!$A$6:$D$7697,3,0),IF(A129="INSUMO",VLOOKUP(C129,INSUMOS!$A$6:$D$4845,3,0),IF(A129="COTAÇÃO",VLOOKUP(C129,'014-22-cotação'!$A$9:$I$138,4,0),IF(A129="CCU",VLOOKUP(C129,'014-22-CCU''s'!$B$10:$H$450,4,0)))))</f>
        <v>M3</v>
      </c>
      <c r="F129" s="557">
        <f>340.27*0.05</f>
        <v>17.013500000000001</v>
      </c>
      <c r="G129" s="551">
        <f>IF(A129="SERVIÇO",VLOOKUP(C129,SERVIÇOS!$A$6:$D$7697,4,0),IF(A129="INSUMO",VLOOKUP(C129,INSUMOS!$A$6:$D$4845,4,0),IF(A129="COTAÇÃO",VLOOKUP(C129,'014-22-cotação'!$A$9:$I$138,3,0),IF(A129="CCU",VLOOKUP(C129,'014-22-CCU''s'!$B$10:$H$450,7,0)))))</f>
        <v>275.94</v>
      </c>
      <c r="H129" s="552">
        <f t="shared" si="43"/>
        <v>0.18559999999999999</v>
      </c>
      <c r="I129" s="551">
        <f>(G129*(1+H129))</f>
        <v>327.15446400000002</v>
      </c>
      <c r="J129" s="553">
        <f>I129*F129</f>
        <v>5566.0424732640004</v>
      </c>
      <c r="K129" s="403"/>
      <c r="L129" s="309">
        <f t="shared" si="40"/>
        <v>5566.0424732640004</v>
      </c>
      <c r="M129" s="309">
        <f t="shared" si="41"/>
        <v>0</v>
      </c>
      <c r="N129" s="403"/>
      <c r="O129" s="403"/>
      <c r="P129" s="403"/>
      <c r="Q129" s="403"/>
      <c r="R129" s="403"/>
      <c r="S129" s="403"/>
    </row>
    <row r="130" spans="1:19" s="404" customFormat="1" ht="51" x14ac:dyDescent="0.2">
      <c r="A130" s="406" t="s">
        <v>1121</v>
      </c>
      <c r="B130" s="556" t="s">
        <v>3523</v>
      </c>
      <c r="C130" s="556" t="s">
        <v>3464</v>
      </c>
      <c r="D130" s="548" t="str">
        <f>IF(A130="SERVIÇO",VLOOKUP(C130,SERVIÇOS!$A$6:$D$7697,2,0),IF(A130="INSUMO",VLOOKUP(C130,INSUMOS!$A$6:$D$4845,2,0),IF(A130="COTAÇÃO",VLOOKUP(C130,'014-22-cotação'!$A$9:$I$138,2,0),IF(A130="CCU",VLOOKUP(C130,'014-22-CCU''s'!$B$10:$H$450,2,0)))))</f>
        <v>PISO EM CONCRETO, MOLDADO “IN LOCO”, FCK=20 MPA, COM PREPARO MECÂNICO, 8 (OITO) CM DE ESPESSURA, INCLUSO SELANTE ELÁSTICO À BASE DE POLIURETANO</v>
      </c>
      <c r="E130" s="549" t="str">
        <f>IF(A130="SERVIÇO",VLOOKUP(C130,SERVIÇOS!$A$6:$D$7697,3,0),IF(A130="INSUMO",VLOOKUP(C130,INSUMOS!$A$6:$D$4845,3,0),IF(A130="COTAÇÃO",VLOOKUP(C130,'014-22-cotação'!$A$9:$I$138,4,0),IF(A130="CCU",VLOOKUP(C130,'014-22-CCU''s'!$B$10:$H$450,4,0)))))</f>
        <v>M2</v>
      </c>
      <c r="F130" s="557">
        <v>340.27</v>
      </c>
      <c r="G130" s="551">
        <f>IF(A130="SERVIÇO",VLOOKUP(C130,SERVIÇOS!$A$6:$D$7697,4,0),IF(A130="INSUMO",VLOOKUP(C130,INSUMOS!$A$6:$D$4845,4,0),IF(A130="COTAÇÃO",VLOOKUP(C130,'014-22-cotação'!$A$9:$I$138,3,0),IF(A130="CCU",VLOOKUP(C130,'014-22-CCU''s'!$B$10:$H$450,7,0)))))</f>
        <v>92.899999999999991</v>
      </c>
      <c r="H130" s="552">
        <f t="shared" si="43"/>
        <v>0.18559999999999999</v>
      </c>
      <c r="I130" s="551">
        <f>(G130*(1+H130))</f>
        <v>110.14223999999999</v>
      </c>
      <c r="J130" s="553">
        <f>I130*F130</f>
        <v>37478.100004799991</v>
      </c>
      <c r="K130" s="403"/>
      <c r="L130" s="309">
        <f>I130*F130</f>
        <v>37478.100004799991</v>
      </c>
      <c r="M130" s="309">
        <f>L130-J130</f>
        <v>0</v>
      </c>
      <c r="N130" s="403"/>
      <c r="O130" s="403"/>
      <c r="P130" s="403"/>
      <c r="Q130" s="403"/>
      <c r="R130" s="403"/>
      <c r="S130" s="403"/>
    </row>
    <row r="131" spans="1:19" s="62" customFormat="1" ht="12.75" customHeight="1" x14ac:dyDescent="0.2">
      <c r="A131" s="199"/>
      <c r="B131" s="273"/>
      <c r="C131" s="273"/>
      <c r="D131" s="280"/>
      <c r="E131" s="273"/>
      <c r="F131" s="290"/>
      <c r="G131" s="290"/>
      <c r="H131" s="290"/>
      <c r="I131" s="290"/>
      <c r="J131" s="291"/>
      <c r="K131" s="213"/>
      <c r="L131" s="307">
        <f t="shared" si="40"/>
        <v>0</v>
      </c>
      <c r="M131" s="307">
        <f t="shared" si="41"/>
        <v>0</v>
      </c>
      <c r="N131" s="213"/>
      <c r="O131" s="213"/>
      <c r="P131" s="213"/>
      <c r="Q131" s="213"/>
      <c r="R131" s="213"/>
      <c r="S131" s="213"/>
    </row>
    <row r="132" spans="1:19" s="62" customFormat="1" ht="12.75" customHeight="1" x14ac:dyDescent="0.2">
      <c r="A132" s="199"/>
      <c r="B132" s="206" t="s">
        <v>3888</v>
      </c>
      <c r="C132" s="206"/>
      <c r="D132" s="279" t="s">
        <v>4285</v>
      </c>
      <c r="E132" s="288"/>
      <c r="F132" s="288"/>
      <c r="G132" s="317"/>
      <c r="H132" s="288"/>
      <c r="I132" s="317"/>
      <c r="J132" s="289"/>
      <c r="K132" s="213"/>
      <c r="L132" s="307">
        <f t="shared" ref="L132:L146" si="44">I132*F132</f>
        <v>0</v>
      </c>
      <c r="M132" s="307">
        <f t="shared" ref="M132:M146" si="45">L132-J132</f>
        <v>0</v>
      </c>
      <c r="N132" s="213"/>
      <c r="O132" s="213"/>
      <c r="P132" s="213"/>
      <c r="Q132" s="213"/>
      <c r="R132" s="213"/>
      <c r="S132" s="213"/>
    </row>
    <row r="133" spans="1:19" s="404" customFormat="1" ht="63.75" x14ac:dyDescent="0.2">
      <c r="A133" s="406" t="s">
        <v>1120</v>
      </c>
      <c r="B133" s="556" t="s">
        <v>3889</v>
      </c>
      <c r="C133" s="556">
        <v>97084</v>
      </c>
      <c r="D133" s="548" t="str">
        <f>IF(A133="SERVIÇO",VLOOKUP(C133,SERVIÇOS!$A$6:$D$7697,2,0),IF(A133="INSUMO",VLOOKUP(C133,INSUMOS!$A$6:$D$4845,2,0),IF(A133="COTAÇÃO",VLOOKUP(C133,'014-22-cotação'!$A$9:$I$138,2,0),IF(A133="CCU",VLOOKUP(C133,'014-22-CCU''s'!$B$10:$H$450,2,0)))))</f>
        <v>COMPACTAÇÃO MECÂNICA DE SOLO PARA EXECUÇÃO DE RADIER, PISO DE CONCRETO OU LAJE SOBRE SOLO, COM COMPACTADOR DE SOLOS TIPO PLACA VIBRATÓRIA. AF_09/2021</v>
      </c>
      <c r="E133" s="549" t="str">
        <f>IF(A133="SERVIÇO",VLOOKUP(C133,SERVIÇOS!$A$6:$D$7697,3,0),IF(A133="INSUMO",VLOOKUP(C133,INSUMOS!$A$6:$D$4845,3,0),IF(A133="COTAÇÃO",VLOOKUP(C133,'014-22-cotação'!$A$9:$I$138,4,0),IF(A133="CCU",VLOOKUP(C133,'014-22-CCU''s'!$B$10:$H$450,4,0)))))</f>
        <v>M2</v>
      </c>
      <c r="F133" s="557">
        <v>4729.17</v>
      </c>
      <c r="G133" s="551">
        <f>IF(A133="SERVIÇO",VLOOKUP(C133,SERVIÇOS!$A$6:$D$7697,4,0),IF(A133="INSUMO",VLOOKUP(C133,INSUMOS!$A$6:$D$4845,4,0),IF(A133="COTAÇÃO",VLOOKUP(C133,'014-22-cotação'!$A$9:$I$138,3,0),IF(A133="CCU",VLOOKUP(C133,'014-22-CCU''s'!$B$10:$H$450,7,0)))))</f>
        <v>0.75</v>
      </c>
      <c r="H133" s="552">
        <f t="shared" si="43"/>
        <v>0.18559999999999999</v>
      </c>
      <c r="I133" s="551">
        <f t="shared" ref="I133:I142" si="46">(G133*(1+H133))</f>
        <v>0.88919999999999999</v>
      </c>
      <c r="J133" s="553">
        <f t="shared" ref="J133:J142" si="47">I133*F133</f>
        <v>4205.1779640000004</v>
      </c>
      <c r="K133" s="403"/>
      <c r="L133" s="309">
        <f t="shared" si="44"/>
        <v>4205.1779640000004</v>
      </c>
      <c r="M133" s="309">
        <f t="shared" si="45"/>
        <v>0</v>
      </c>
      <c r="N133" s="403"/>
      <c r="O133" s="403"/>
      <c r="P133" s="403"/>
      <c r="Q133" s="403"/>
      <c r="R133" s="403"/>
      <c r="S133" s="403"/>
    </row>
    <row r="134" spans="1:19" s="404" customFormat="1" ht="76.5" x14ac:dyDescent="0.2">
      <c r="A134" s="406" t="s">
        <v>1120</v>
      </c>
      <c r="B134" s="556" t="s">
        <v>3890</v>
      </c>
      <c r="C134" s="556">
        <v>94275</v>
      </c>
      <c r="D134" s="548" t="str">
        <f>IF(A134="SERVIÇO",VLOOKUP(C134,SERVIÇOS!$A$6:$D$7697,2,0),IF(A134="INSUMO",VLOOKUP(C134,INSUMOS!$A$6:$D$4845,2,0),IF(A134="COTAÇÃO",VLOOKUP(C134,'014-22-cotação'!$A$9:$I$138,2,0),IF(A134="CCU",VLOOKUP(C134,'014-22-CCU''s'!$B$10:$H$450,2,0)))))</f>
        <v>ASSENTAMENTO DE GUIA (MEIO-FIO) EM TRECHO RETO, CONFECCIONADA EM CONCRETO PRÉ-FABRICADO, DIMENSÕES 100X15X13X20 CM (COMPRIMENTO X BASE INFERIOR X BASE SUPERIOR X ALTURA). AF_01/2024</v>
      </c>
      <c r="E134" s="549" t="str">
        <f>IF(A134="SERVIÇO",VLOOKUP(C134,SERVIÇOS!$A$6:$D$7697,3,0),IF(A134="INSUMO",VLOOKUP(C134,INSUMOS!$A$6:$D$4845,3,0),IF(A134="COTAÇÃO",VLOOKUP(C134,'014-22-cotação'!$A$9:$I$138,4,0),IF(A134="CCU",VLOOKUP(C134,'014-22-CCU''s'!$B$10:$H$450,4,0)))))</f>
        <v>M</v>
      </c>
      <c r="F134" s="557">
        <f>39.4+2*4*9</f>
        <v>111.4</v>
      </c>
      <c r="G134" s="551">
        <f>IF(A134="SERVIÇO",VLOOKUP(C134,SERVIÇOS!$A$6:$D$7697,4,0),IF(A134="INSUMO",VLOOKUP(C134,INSUMOS!$A$6:$D$4845,4,0),IF(A134="COTAÇÃO",VLOOKUP(C134,'014-22-cotação'!$A$9:$I$138,3,0),IF(A134="CCU",VLOOKUP(C134,'014-22-CCU''s'!$B$10:$H$450,7,0)))))</f>
        <v>43.42</v>
      </c>
      <c r="H134" s="552">
        <f>$F$9</f>
        <v>0.18559999999999999</v>
      </c>
      <c r="I134" s="551">
        <f t="shared" si="46"/>
        <v>51.478752</v>
      </c>
      <c r="J134" s="553">
        <f t="shared" si="47"/>
        <v>5734.7329728000004</v>
      </c>
      <c r="K134" s="403"/>
      <c r="L134" s="309">
        <f>I134*F134</f>
        <v>5734.7329728000004</v>
      </c>
      <c r="M134" s="309">
        <f>L134-J134</f>
        <v>0</v>
      </c>
      <c r="N134" s="403" t="s">
        <v>4490</v>
      </c>
      <c r="O134" s="403"/>
      <c r="P134" s="403"/>
      <c r="Q134" s="403"/>
      <c r="R134" s="403"/>
      <c r="S134" s="403"/>
    </row>
    <row r="135" spans="1:19" s="404" customFormat="1" ht="51" x14ac:dyDescent="0.2">
      <c r="A135" s="406" t="s">
        <v>1120</v>
      </c>
      <c r="B135" s="556" t="s">
        <v>3891</v>
      </c>
      <c r="C135" s="556">
        <v>100324</v>
      </c>
      <c r="D135" s="548" t="str">
        <f>IF(A135="SERVIÇO",VLOOKUP(C135,SERVIÇOS!$A$6:$D$7697,2,0),IF(A135="INSUMO",VLOOKUP(C135,INSUMOS!$A$6:$D$4845,2,0),IF(A135="COTAÇÃO",VLOOKUP(C135,'014-22-cotação'!$A$9:$I$138,2,0),IF(A135="CCU",VLOOKUP(C135,'014-22-CCU''s'!$B$10:$H$450,2,0)))))</f>
        <v>LASTRO COM MATERIAL GRANULAR (PEDRA BRITADA N.1 E PEDRA BRITADA N.2), APLICADO EM PISOS OU LAJES SOBRE SOLO, ESPESSURA DE *10 CM*. AF_01/2024</v>
      </c>
      <c r="E135" s="549" t="str">
        <f>IF(A135="SERVIÇO",VLOOKUP(C135,SERVIÇOS!$A$6:$D$7697,3,0),IF(A135="INSUMO",VLOOKUP(C135,INSUMOS!$A$6:$D$4845,3,0),IF(A135="COTAÇÃO",VLOOKUP(C135,'014-22-cotação'!$A$9:$I$138,4,0),IF(A135="CCU",VLOOKUP(C135,'014-22-CCU''s'!$B$10:$H$450,4,0)))))</f>
        <v>M3</v>
      </c>
      <c r="F135" s="557">
        <f>F133*0.05</f>
        <v>236.45850000000002</v>
      </c>
      <c r="G135" s="551">
        <f>IF(A135="SERVIÇO",VLOOKUP(C135,SERVIÇOS!$A$6:$D$7697,4,0),IF(A135="INSUMO",VLOOKUP(C135,INSUMOS!$A$6:$D$4845,4,0),IF(A135="COTAÇÃO",VLOOKUP(C135,'014-22-cotação'!$A$9:$I$138,3,0),IF(A135="CCU",VLOOKUP(C135,'014-22-CCU''s'!$B$10:$H$450,7,0)))))</f>
        <v>275.94</v>
      </c>
      <c r="H135" s="552">
        <f t="shared" si="43"/>
        <v>0.18559999999999999</v>
      </c>
      <c r="I135" s="551">
        <f t="shared" si="46"/>
        <v>327.15446400000002</v>
      </c>
      <c r="J135" s="553">
        <f t="shared" si="47"/>
        <v>77358.453825744014</v>
      </c>
      <c r="K135" s="403"/>
      <c r="L135" s="309">
        <f t="shared" si="44"/>
        <v>77358.453825744014</v>
      </c>
      <c r="M135" s="309">
        <f t="shared" si="45"/>
        <v>0</v>
      </c>
      <c r="N135" s="403"/>
      <c r="O135" s="403"/>
      <c r="P135" s="403"/>
      <c r="Q135" s="403"/>
      <c r="R135" s="403"/>
      <c r="S135" s="403"/>
    </row>
    <row r="136" spans="1:19" s="404" customFormat="1" ht="63.75" x14ac:dyDescent="0.2">
      <c r="A136" s="406" t="s">
        <v>1121</v>
      </c>
      <c r="B136" s="556" t="s">
        <v>4456</v>
      </c>
      <c r="C136" s="556" t="s">
        <v>3465</v>
      </c>
      <c r="D136" s="548" t="str">
        <f>IF(A136="SERVIÇO",VLOOKUP(C136,SERVIÇOS!$A$6:$D$7697,2,0),IF(A136="INSUMO",VLOOKUP(C136,INSUMOS!$A$6:$D$4845,2,0),IF(A136="COTAÇÃO",VLOOKUP(C136,'014-22-cotação'!$A$9:$I$138,2,0),IF(A136="CCU",VLOOKUP(C136,'014-22-CCU''s'!$B$10:$H$450,2,0)))))</f>
        <v>CALÇADA - PAVIMENTO EM CONCRETO ARMADO, COR NATURAL E=8CM COM ACABAMENTO DESEMPENADO E JUNTA DE DILATAÇÃO COM DISCO DE MAQUITA OU SARRAFO DE MADEIRA.</v>
      </c>
      <c r="E136" s="549" t="str">
        <f>IF(A136="SERVIÇO",VLOOKUP(C136,SERVIÇOS!$A$6:$D$7697,3,0),IF(A136="INSUMO",VLOOKUP(C136,INSUMOS!$A$6:$D$4845,3,0),IF(A136="COTAÇÃO",VLOOKUP(C136,'014-22-cotação'!$A$9:$I$138,4,0),IF(A136="CCU",VLOOKUP(C136,'014-22-CCU''s'!$B$10:$H$450,4,0)))))</f>
        <v xml:space="preserve">M2    </v>
      </c>
      <c r="F136" s="557">
        <v>1021.08</v>
      </c>
      <c r="G136" s="551">
        <f>IF(A136="SERVIÇO",VLOOKUP(C136,SERVIÇOS!$A$6:$D$7697,4,0),IF(A136="INSUMO",VLOOKUP(C136,INSUMOS!$A$6:$D$4845,4,0),IF(A136="COTAÇÃO",VLOOKUP(C136,'014-22-cotação'!$A$9:$I$138,3,0),IF(A136="CCU",VLOOKUP(C136,'014-22-CCU''s'!$B$10:$H$450,7,0)))))</f>
        <v>102.01</v>
      </c>
      <c r="H136" s="552">
        <f t="shared" si="43"/>
        <v>0.18559999999999999</v>
      </c>
      <c r="I136" s="551">
        <f t="shared" si="46"/>
        <v>120.943056</v>
      </c>
      <c r="J136" s="553">
        <f t="shared" si="47"/>
        <v>123492.53562048</v>
      </c>
      <c r="K136" s="403"/>
      <c r="L136" s="309">
        <f t="shared" si="44"/>
        <v>123492.53562048</v>
      </c>
      <c r="M136" s="309">
        <f t="shared" si="45"/>
        <v>0</v>
      </c>
      <c r="N136" s="403"/>
      <c r="O136" s="403"/>
      <c r="P136" s="403"/>
      <c r="Q136" s="403"/>
      <c r="R136" s="403"/>
      <c r="S136" s="403"/>
    </row>
    <row r="137" spans="1:19" s="404" customFormat="1" ht="63.75" x14ac:dyDescent="0.2">
      <c r="A137" s="406" t="s">
        <v>1121</v>
      </c>
      <c r="B137" s="556" t="s">
        <v>4483</v>
      </c>
      <c r="C137" s="556" t="s">
        <v>4464</v>
      </c>
      <c r="D137" s="548" t="str">
        <f>IF(A137="SERVIÇO",VLOOKUP(C137,SERVIÇOS!$A$6:$D$7697,2,0),IF(A137="INSUMO",VLOOKUP(C137,INSUMOS!$A$6:$D$4845,2,0),IF(A137="COTAÇÃO",VLOOKUP(C137,'014-22-cotação'!$A$9:$I$138,2,0),IF(A137="CCU",VLOOKUP(C137,'014-22-CCU''s'!$B$10:$H$450,2,0)))))</f>
        <v>CALÇADA - PAVIMENTO EM CONCRETO ARMADO, COR GRAFITE E=8CM COM ACABAMENTO DESEMPENADO E JUNTA DE DILATAÇÃO COM DISCO DE MAQUITA OU SARRAFO DE MADEIRA.</v>
      </c>
      <c r="E137" s="549" t="str">
        <f>IF(A137="SERVIÇO",VLOOKUP(C137,SERVIÇOS!$A$6:$D$7697,3,0),IF(A137="INSUMO",VLOOKUP(C137,INSUMOS!$A$6:$D$4845,3,0),IF(A137="COTAÇÃO",VLOOKUP(C137,'014-22-cotação'!$A$9:$I$138,4,0),IF(A137="CCU",VLOOKUP(C137,'014-22-CCU''s'!$B$10:$H$450,4,0)))))</f>
        <v xml:space="preserve">M2    </v>
      </c>
      <c r="F137" s="557">
        <v>380.75</v>
      </c>
      <c r="G137" s="551">
        <f>IF(A137="SERVIÇO",VLOOKUP(C137,SERVIÇOS!$A$6:$D$7697,4,0),IF(A137="INSUMO",VLOOKUP(C137,INSUMOS!$A$6:$D$4845,4,0),IF(A137="COTAÇÃO",VLOOKUP(C137,'014-22-cotação'!$A$9:$I$138,3,0),IF(A137="CCU",VLOOKUP(C137,'014-22-CCU''s'!$B$10:$H$450,7,0)))))</f>
        <v>152.47</v>
      </c>
      <c r="H137" s="552">
        <f t="shared" si="43"/>
        <v>0.18559999999999999</v>
      </c>
      <c r="I137" s="551">
        <f t="shared" si="46"/>
        <v>180.76843199999999</v>
      </c>
      <c r="J137" s="553">
        <f t="shared" si="47"/>
        <v>68827.580483999991</v>
      </c>
      <c r="K137" s="403"/>
      <c r="L137" s="309">
        <f t="shared" si="44"/>
        <v>68827.580483999991</v>
      </c>
      <c r="M137" s="309">
        <f t="shared" si="45"/>
        <v>0</v>
      </c>
      <c r="N137" s="403"/>
      <c r="O137" s="403"/>
      <c r="P137" s="403"/>
      <c r="Q137" s="403"/>
      <c r="R137" s="403"/>
      <c r="S137" s="403"/>
    </row>
    <row r="138" spans="1:19" s="404" customFormat="1" ht="63.75" x14ac:dyDescent="0.2">
      <c r="A138" s="406" t="s">
        <v>1121</v>
      </c>
      <c r="B138" s="556" t="s">
        <v>4484</v>
      </c>
      <c r="C138" s="556" t="s">
        <v>3466</v>
      </c>
      <c r="D138" s="548" t="str">
        <f>IF(A138="SERVIÇO",VLOOKUP(C138,SERVIÇOS!$A$6:$D$7697,2,0),IF(A138="INSUMO",VLOOKUP(C138,INSUMOS!$A$6:$D$4845,2,0),IF(A138="COTAÇÃO",VLOOKUP(C138,'014-22-cotação'!$A$9:$I$138,2,0),IF(A138="CCU",VLOOKUP(C138,'014-22-CCU''s'!$B$10:$H$450,2,0)))))</f>
        <v>CALÇADA - PAVIMENTO EM CONCRETO ARMADO, COR VERDE E=8CM COM ACABAMENTO DESEMPENADO E JUNTA DE DILATAÇÃO COM DISCO DE MAQUITA OU SARRAFO DE MADEIRA.</v>
      </c>
      <c r="E138" s="549" t="str">
        <f>IF(A138="SERVIÇO",VLOOKUP(C138,SERVIÇOS!$A$6:$D$7697,3,0),IF(A138="INSUMO",VLOOKUP(C138,INSUMOS!$A$6:$D$4845,3,0),IF(A138="COTAÇÃO",VLOOKUP(C138,'014-22-cotação'!$A$9:$I$138,4,0),IF(A138="CCU",VLOOKUP(C138,'014-22-CCU''s'!$B$10:$H$450,4,0)))))</f>
        <v xml:space="preserve">M2    </v>
      </c>
      <c r="F138" s="557">
        <v>748.01</v>
      </c>
      <c r="G138" s="551">
        <f>IF(A138="SERVIÇO",VLOOKUP(C138,SERVIÇOS!$A$6:$D$7697,4,0),IF(A138="INSUMO",VLOOKUP(C138,INSUMOS!$A$6:$D$4845,4,0),IF(A138="COTAÇÃO",VLOOKUP(C138,'014-22-cotação'!$A$9:$I$138,3,0),IF(A138="CCU",VLOOKUP(C138,'014-22-CCU''s'!$B$10:$H$450,7,0)))))</f>
        <v>146.37</v>
      </c>
      <c r="H138" s="552">
        <f t="shared" si="43"/>
        <v>0.18559999999999999</v>
      </c>
      <c r="I138" s="551">
        <f t="shared" si="46"/>
        <v>173.536272</v>
      </c>
      <c r="J138" s="553">
        <f t="shared" si="47"/>
        <v>129806.86681871999</v>
      </c>
      <c r="K138" s="403"/>
      <c r="L138" s="309">
        <f t="shared" ref="L138:L141" si="48">I138*F138</f>
        <v>129806.86681871999</v>
      </c>
      <c r="M138" s="309">
        <f t="shared" ref="M138:M141" si="49">L138-J138</f>
        <v>0</v>
      </c>
      <c r="N138" s="403"/>
      <c r="O138" s="403"/>
      <c r="P138" s="403"/>
      <c r="Q138" s="403"/>
      <c r="R138" s="403"/>
      <c r="S138" s="403"/>
    </row>
    <row r="139" spans="1:19" s="404" customFormat="1" ht="63.75" x14ac:dyDescent="0.2">
      <c r="A139" s="406" t="s">
        <v>1121</v>
      </c>
      <c r="B139" s="556" t="s">
        <v>4485</v>
      </c>
      <c r="C139" s="556" t="s">
        <v>3467</v>
      </c>
      <c r="D139" s="548" t="str">
        <f>IF(A139="SERVIÇO",VLOOKUP(C139,SERVIÇOS!$A$6:$D$7697,2,0),IF(A139="INSUMO",VLOOKUP(C139,INSUMOS!$A$6:$D$4845,2,0),IF(A139="COTAÇÃO",VLOOKUP(C139,'014-22-cotação'!$A$9:$I$138,2,0),IF(A139="CCU",VLOOKUP(C139,'014-22-CCU''s'!$B$10:$H$450,2,0)))))</f>
        <v>CALÇADA - PAVIMENTO EM CONCRETO ARMADO, COR AZUL E=8CM COM ACABAMENTO DESEMPENADO E JUNTA DE DILATAÇÃO COM DISCO DE MAQUITA OU SARRAFO DE MADEIRA.</v>
      </c>
      <c r="E139" s="549" t="str">
        <f>IF(A139="SERVIÇO",VLOOKUP(C139,SERVIÇOS!$A$6:$D$7697,3,0),IF(A139="INSUMO",VLOOKUP(C139,INSUMOS!$A$6:$D$4845,3,0),IF(A139="COTAÇÃO",VLOOKUP(C139,'014-22-cotação'!$A$9:$I$138,4,0),IF(A139="CCU",VLOOKUP(C139,'014-22-CCU''s'!$B$10:$H$450,4,0)))))</f>
        <v xml:space="preserve">M2    </v>
      </c>
      <c r="F139" s="557">
        <v>729.01</v>
      </c>
      <c r="G139" s="551">
        <f>IF(A139="SERVIÇO",VLOOKUP(C139,SERVIÇOS!$A$6:$D$7697,4,0),IF(A139="INSUMO",VLOOKUP(C139,INSUMOS!$A$6:$D$4845,4,0),IF(A139="COTAÇÃO",VLOOKUP(C139,'014-22-cotação'!$A$9:$I$138,3,0),IF(A139="CCU",VLOOKUP(C139,'014-22-CCU''s'!$B$10:$H$450,7,0)))))</f>
        <v>146.37</v>
      </c>
      <c r="H139" s="552">
        <f t="shared" si="43"/>
        <v>0.18559999999999999</v>
      </c>
      <c r="I139" s="551">
        <f t="shared" si="46"/>
        <v>173.536272</v>
      </c>
      <c r="J139" s="553">
        <f t="shared" si="47"/>
        <v>126509.67765072</v>
      </c>
      <c r="K139" s="403"/>
      <c r="L139" s="309">
        <f t="shared" si="48"/>
        <v>126509.67765072</v>
      </c>
      <c r="M139" s="309">
        <f t="shared" si="49"/>
        <v>0</v>
      </c>
      <c r="N139" s="403"/>
      <c r="O139" s="403"/>
      <c r="P139" s="403"/>
      <c r="Q139" s="403"/>
      <c r="R139" s="403"/>
      <c r="S139" s="403"/>
    </row>
    <row r="140" spans="1:19" s="404" customFormat="1" ht="63.75" x14ac:dyDescent="0.2">
      <c r="A140" s="406" t="s">
        <v>1121</v>
      </c>
      <c r="B140" s="556" t="s">
        <v>4486</v>
      </c>
      <c r="C140" s="556" t="s">
        <v>3468</v>
      </c>
      <c r="D140" s="548" t="str">
        <f>IF(A140="SERVIÇO",VLOOKUP(C140,SERVIÇOS!$A$6:$D$7697,2,0),IF(A140="INSUMO",VLOOKUP(C140,INSUMOS!$A$6:$D$4845,2,0),IF(A140="COTAÇÃO",VLOOKUP(C140,'014-22-cotação'!$A$9:$I$138,2,0),IF(A140="CCU",VLOOKUP(C140,'014-22-CCU''s'!$B$10:$H$450,2,0)))))</f>
        <v>CALÇADA - PAVIMENTO EM CONCRETO ARMADO, COR AMARELO E=8CM COM ACABAMENTO DESEMPENADO E JUNTA DE DILATAÇÃO COM DISCO DE MAQUITA OU SARRAFO DE MADEIRA.</v>
      </c>
      <c r="E140" s="549" t="str">
        <f>IF(A140="SERVIÇO",VLOOKUP(C140,SERVIÇOS!$A$6:$D$7697,3,0),IF(A140="INSUMO",VLOOKUP(C140,INSUMOS!$A$6:$D$4845,3,0),IF(A140="COTAÇÃO",VLOOKUP(C140,'014-22-cotação'!$A$9:$I$138,4,0),IF(A140="CCU",VLOOKUP(C140,'014-22-CCU''s'!$B$10:$H$450,4,0)))))</f>
        <v xml:space="preserve">M2    </v>
      </c>
      <c r="F140" s="557">
        <v>867.8</v>
      </c>
      <c r="G140" s="551">
        <f>IF(A140="SERVIÇO",VLOOKUP(C140,SERVIÇOS!$A$6:$D$7697,4,0),IF(A140="INSUMO",VLOOKUP(C140,INSUMOS!$A$6:$D$4845,4,0),IF(A140="COTAÇÃO",VLOOKUP(C140,'014-22-cotação'!$A$9:$I$138,3,0),IF(A140="CCU",VLOOKUP(C140,'014-22-CCU''s'!$B$10:$H$450,7,0)))))</f>
        <v>146.37</v>
      </c>
      <c r="H140" s="552">
        <f t="shared" si="43"/>
        <v>0.18559999999999999</v>
      </c>
      <c r="I140" s="551">
        <f t="shared" si="46"/>
        <v>173.536272</v>
      </c>
      <c r="J140" s="553">
        <f t="shared" si="47"/>
        <v>150594.77684159999</v>
      </c>
      <c r="K140" s="403"/>
      <c r="L140" s="309">
        <f t="shared" ref="L140" si="50">I140*F140</f>
        <v>150594.77684159999</v>
      </c>
      <c r="M140" s="309">
        <f t="shared" ref="M140" si="51">L140-J140</f>
        <v>0</v>
      </c>
      <c r="N140" s="403"/>
      <c r="O140" s="403"/>
      <c r="P140" s="403"/>
      <c r="Q140" s="403"/>
      <c r="R140" s="403"/>
      <c r="S140" s="403"/>
    </row>
    <row r="141" spans="1:19" s="404" customFormat="1" ht="63.75" x14ac:dyDescent="0.2">
      <c r="A141" s="406" t="s">
        <v>1121</v>
      </c>
      <c r="B141" s="556" t="s">
        <v>4487</v>
      </c>
      <c r="C141" s="556" t="s">
        <v>3469</v>
      </c>
      <c r="D141" s="548" t="str">
        <f>IF(A141="SERVIÇO",VLOOKUP(C141,SERVIÇOS!$A$6:$D$7697,2,0),IF(A141="INSUMO",VLOOKUP(C141,INSUMOS!$A$6:$D$4845,2,0),IF(A141="COTAÇÃO",VLOOKUP(C141,'014-22-cotação'!$A$9:$I$138,2,0),IF(A141="CCU",VLOOKUP(C141,'014-22-CCU''s'!$B$10:$H$450,2,0)))))</f>
        <v>CALÇADA - PAVIMENTO EM CONCRETO ARMADO, COR ROSA E=8CM COM ACABAMENTO DESEMPENADO E JUNTA DE DILATAÇÃO COM DISCO DE MAQUITA OU SARRAFO DE MADEIRA.</v>
      </c>
      <c r="E141" s="549" t="str">
        <f>IF(A141="SERVIÇO",VLOOKUP(C141,SERVIÇOS!$A$6:$D$7697,3,0),IF(A141="INSUMO",VLOOKUP(C141,INSUMOS!$A$6:$D$4845,3,0),IF(A141="COTAÇÃO",VLOOKUP(C141,'014-22-cotação'!$A$9:$I$138,4,0),IF(A141="CCU",VLOOKUP(C141,'014-22-CCU''s'!$B$10:$H$450,4,0)))))</f>
        <v xml:space="preserve">M2    </v>
      </c>
      <c r="F141" s="557">
        <v>801.81</v>
      </c>
      <c r="G141" s="551">
        <f>IF(A141="SERVIÇO",VLOOKUP(C141,SERVIÇOS!$A$6:$D$7697,4,0),IF(A141="INSUMO",VLOOKUP(C141,INSUMOS!$A$6:$D$4845,4,0),IF(A141="COTAÇÃO",VLOOKUP(C141,'014-22-cotação'!$A$9:$I$138,3,0),IF(A141="CCU",VLOOKUP(C141,'014-22-CCU''s'!$B$10:$H$450,7,0)))))</f>
        <v>158.72999999999999</v>
      </c>
      <c r="H141" s="552">
        <f t="shared" si="43"/>
        <v>0.18559999999999999</v>
      </c>
      <c r="I141" s="551">
        <f t="shared" si="46"/>
        <v>188.19028799999998</v>
      </c>
      <c r="J141" s="553">
        <f t="shared" si="47"/>
        <v>150892.85482127997</v>
      </c>
      <c r="K141" s="403"/>
      <c r="L141" s="309">
        <f t="shared" si="48"/>
        <v>150892.85482127997</v>
      </c>
      <c r="M141" s="309">
        <f t="shared" si="49"/>
        <v>0</v>
      </c>
      <c r="N141" s="403"/>
      <c r="O141" s="403"/>
      <c r="P141" s="403"/>
      <c r="Q141" s="403"/>
      <c r="R141" s="403"/>
      <c r="S141" s="403"/>
    </row>
    <row r="142" spans="1:19" s="404" customFormat="1" ht="38.25" x14ac:dyDescent="0.2">
      <c r="A142" s="406" t="s">
        <v>1120</v>
      </c>
      <c r="B142" s="556" t="s">
        <v>4488</v>
      </c>
      <c r="C142" s="556">
        <v>92391</v>
      </c>
      <c r="D142" s="548" t="str">
        <f>IF(A142="SERVIÇO",VLOOKUP(C142,SERVIÇOS!$A$6:$D$7697,2,0),IF(A142="INSUMO",VLOOKUP(C142,INSUMOS!$A$6:$D$4845,2,0),IF(A142="COTAÇÃO",VLOOKUP(C142,'014-22-cotação'!$A$9:$I$138,2,0),IF(A142="CCU",VLOOKUP(C142,'014-22-CCU''s'!$B$10:$H$450,2,0)))))</f>
        <v>EXECUÇÃO DE PAVIMENTO EM PISO INTERTRAVADO, COM BLOCO PISOGRAMA DE 35 X 15 CM, ESPESSURA 6 CM. AF_10/2022</v>
      </c>
      <c r="E142" s="549" t="str">
        <f>IF(A142="SERVIÇO",VLOOKUP(C142,SERVIÇOS!$A$6:$D$7697,3,0),IF(A142="INSUMO",VLOOKUP(C142,INSUMOS!$A$6:$D$4845,3,0),IF(A142="COTAÇÃO",VLOOKUP(C142,'014-22-cotação'!$A$9:$I$138,4,0),IF(A142="CCU",VLOOKUP(C142,'014-22-CCU''s'!$B$10:$H$450,4,0)))))</f>
        <v>M2</v>
      </c>
      <c r="F142" s="557">
        <f>(2*2-1*1)*9</f>
        <v>27</v>
      </c>
      <c r="G142" s="551">
        <f>IF(A142="SERVIÇO",VLOOKUP(C142,SERVIÇOS!$A$6:$D$7697,4,0),IF(A142="INSUMO",VLOOKUP(C142,INSUMOS!$A$6:$D$4845,4,0),IF(A142="COTAÇÃO",VLOOKUP(C142,'014-22-cotação'!$A$9:$I$138,3,0),IF(A142="CCU",VLOOKUP(C142,'014-22-CCU''s'!$B$10:$H$450,7,0)))))</f>
        <v>83.13</v>
      </c>
      <c r="H142" s="552">
        <f t="shared" si="43"/>
        <v>0.18559999999999999</v>
      </c>
      <c r="I142" s="551">
        <f t="shared" si="46"/>
        <v>98.558927999999995</v>
      </c>
      <c r="J142" s="553">
        <f t="shared" si="47"/>
        <v>2661.0910559999998</v>
      </c>
      <c r="K142" s="403"/>
      <c r="L142" s="309">
        <f t="shared" ref="L142" si="52">I142*F142</f>
        <v>2661.0910559999998</v>
      </c>
      <c r="M142" s="309">
        <f t="shared" ref="M142" si="53">L142-J142</f>
        <v>0</v>
      </c>
      <c r="N142" s="403" t="s">
        <v>4489</v>
      </c>
      <c r="O142" s="403"/>
      <c r="P142" s="403"/>
      <c r="Q142" s="403"/>
      <c r="R142" s="403"/>
      <c r="S142" s="403"/>
    </row>
    <row r="143" spans="1:19" s="62" customFormat="1" ht="12.75" customHeight="1" x14ac:dyDescent="0.2">
      <c r="A143" s="199"/>
      <c r="B143" s="273"/>
      <c r="C143" s="273"/>
      <c r="D143" s="280"/>
      <c r="E143" s="273"/>
      <c r="F143" s="290"/>
      <c r="G143" s="290"/>
      <c r="H143" s="290"/>
      <c r="I143" s="290"/>
      <c r="J143" s="291"/>
      <c r="K143" s="213"/>
      <c r="L143" s="307">
        <f t="shared" si="44"/>
        <v>0</v>
      </c>
      <c r="M143" s="307">
        <f t="shared" si="45"/>
        <v>0</v>
      </c>
      <c r="N143" s="213"/>
      <c r="O143" s="213"/>
      <c r="P143" s="213"/>
      <c r="Q143" s="213"/>
      <c r="R143" s="213"/>
      <c r="S143" s="213"/>
    </row>
    <row r="144" spans="1:19" s="62" customFormat="1" ht="12.75" customHeight="1" x14ac:dyDescent="0.2">
      <c r="A144" s="199"/>
      <c r="B144" s="206" t="s">
        <v>3892</v>
      </c>
      <c r="C144" s="206"/>
      <c r="D144" s="279" t="s">
        <v>3894</v>
      </c>
      <c r="E144" s="288"/>
      <c r="F144" s="288"/>
      <c r="G144" s="317"/>
      <c r="H144" s="288"/>
      <c r="I144" s="317"/>
      <c r="J144" s="289"/>
      <c r="K144" s="213"/>
      <c r="L144" s="307">
        <f t="shared" si="44"/>
        <v>0</v>
      </c>
      <c r="M144" s="307">
        <f t="shared" si="45"/>
        <v>0</v>
      </c>
      <c r="N144" s="213"/>
      <c r="O144" s="213"/>
      <c r="P144" s="213"/>
      <c r="Q144" s="213"/>
      <c r="R144" s="213"/>
      <c r="S144" s="213"/>
    </row>
    <row r="145" spans="1:19" s="404" customFormat="1" ht="25.5" x14ac:dyDescent="0.2">
      <c r="A145" s="406" t="s">
        <v>4494</v>
      </c>
      <c r="B145" s="556" t="s">
        <v>3893</v>
      </c>
      <c r="C145" s="556" t="s">
        <v>3470</v>
      </c>
      <c r="D145" s="548" t="str">
        <f>IF(A145="SERVIÇO",VLOOKUP(C145,SERVIÇOS!$A$6:$D$7697,2,0),IF(A145="INSUMO",VLOOKUP(C145,INSUMOS!$A$6:$D$4845,2,0),IF(A145="COTAÇÃO",VLOOKUP(C145,'014-22-cotação'!$A$9:$I$138,2,0),IF(A145="CCU",VLOOKUP(C145,'014-22-CCU''s'!$B$10:$H$450,2,0)))))</f>
        <v>PISO TÁTIL ALERTA 40X40 EM CONCRETO - FORNECIMENTO E INSTALAÇÃO</v>
      </c>
      <c r="E145" s="549" t="str">
        <f>IF(A145="SERVIÇO",VLOOKUP(C145,SERVIÇOS!$A$6:$D$7697,3,0),IF(A145="INSUMO",VLOOKUP(C145,INSUMOS!$A$6:$D$4845,3,0),IF(A145="COTAÇÃO",VLOOKUP(C145,'014-22-cotação'!$A$9:$I$138,4,0),IF(A145="CCU",VLOOKUP(C145,'014-22-CCU''s'!$B$10:$H$450,4,0)))))</f>
        <v>M2</v>
      </c>
      <c r="F145" s="557">
        <v>8.9600000000000009</v>
      </c>
      <c r="G145" s="551">
        <f>IF(A145="SERVIÇO",VLOOKUP(C145,SERVIÇOS!$A$6:$D$7697,4,0),IF(A145="INSUMO",VLOOKUP(C145,INSUMOS!$A$6:$D$4845,4,0),IF(A145="COTAÇÃO",VLOOKUP(C145,'014-22-cotação'!$A$9:$I$138,3,0),IF(A145="CCU",VLOOKUP(C145,'014-22-CCU''s'!$B$10:$H$450,7,0)))))</f>
        <v>176.41000000000003</v>
      </c>
      <c r="H145" s="552">
        <f t="shared" si="43"/>
        <v>0.18559999999999999</v>
      </c>
      <c r="I145" s="551">
        <f>(G145*(1+H145))</f>
        <v>209.15169600000002</v>
      </c>
      <c r="J145" s="553">
        <f>I145*F145</f>
        <v>1873.9991961600003</v>
      </c>
      <c r="K145" s="403"/>
      <c r="L145" s="309">
        <f t="shared" si="44"/>
        <v>1873.9991961600003</v>
      </c>
      <c r="M145" s="309">
        <f t="shared" si="45"/>
        <v>0</v>
      </c>
      <c r="N145" s="403"/>
      <c r="O145" s="403"/>
      <c r="P145" s="403"/>
      <c r="Q145" s="403"/>
      <c r="R145" s="403"/>
      <c r="S145" s="403"/>
    </row>
    <row r="146" spans="1:19" s="62" customFormat="1" ht="12.75" customHeight="1" x14ac:dyDescent="0.2">
      <c r="A146" s="199"/>
      <c r="B146" s="273"/>
      <c r="C146" s="273"/>
      <c r="D146" s="280"/>
      <c r="E146" s="273"/>
      <c r="F146" s="290"/>
      <c r="G146" s="290"/>
      <c r="H146" s="290"/>
      <c r="I146" s="290"/>
      <c r="J146" s="291"/>
      <c r="K146" s="213"/>
      <c r="L146" s="307">
        <f t="shared" si="44"/>
        <v>0</v>
      </c>
      <c r="M146" s="307">
        <f t="shared" si="45"/>
        <v>0</v>
      </c>
      <c r="N146" s="213"/>
      <c r="O146" s="213">
        <v>0</v>
      </c>
      <c r="P146" s="213"/>
      <c r="Q146" s="213"/>
      <c r="R146" s="213"/>
      <c r="S146" s="213"/>
    </row>
    <row r="147" spans="1:19" s="62" customFormat="1" ht="12.75" customHeight="1" x14ac:dyDescent="0.2">
      <c r="A147" s="199"/>
      <c r="B147" s="206" t="s">
        <v>3524</v>
      </c>
      <c r="C147" s="206"/>
      <c r="D147" s="279" t="s">
        <v>3525</v>
      </c>
      <c r="E147" s="288"/>
      <c r="F147" s="288"/>
      <c r="G147" s="317"/>
      <c r="H147" s="288"/>
      <c r="I147" s="317"/>
      <c r="J147" s="289"/>
      <c r="K147" s="213"/>
      <c r="L147" s="307">
        <f t="shared" si="40"/>
        <v>0</v>
      </c>
      <c r="M147" s="307">
        <f t="shared" si="41"/>
        <v>0</v>
      </c>
      <c r="N147" s="213"/>
      <c r="O147" s="213"/>
      <c r="P147" s="213"/>
      <c r="Q147" s="213"/>
      <c r="R147" s="213"/>
      <c r="S147" s="213"/>
    </row>
    <row r="148" spans="1:19" s="62" customFormat="1" ht="12.75" customHeight="1" x14ac:dyDescent="0.2">
      <c r="A148" s="199"/>
      <c r="B148" s="206" t="s">
        <v>3533</v>
      </c>
      <c r="C148" s="206"/>
      <c r="D148" s="279" t="s">
        <v>3895</v>
      </c>
      <c r="E148" s="288"/>
      <c r="F148" s="288"/>
      <c r="G148" s="317"/>
      <c r="H148" s="288"/>
      <c r="I148" s="317"/>
      <c r="J148" s="289"/>
      <c r="K148" s="213"/>
      <c r="L148" s="307">
        <f t="shared" ref="L148:L155" si="54">I148*F148</f>
        <v>0</v>
      </c>
      <c r="M148" s="307">
        <f t="shared" ref="M148:M155" si="55">L148-J148</f>
        <v>0</v>
      </c>
      <c r="N148" s="213"/>
      <c r="O148" s="213"/>
      <c r="P148" s="213"/>
      <c r="Q148" s="213"/>
      <c r="R148" s="213"/>
      <c r="S148" s="213"/>
    </row>
    <row r="149" spans="1:19" s="404" customFormat="1" ht="38.25" x14ac:dyDescent="0.2">
      <c r="A149" s="406" t="s">
        <v>1120</v>
      </c>
      <c r="B149" s="556" t="s">
        <v>3534</v>
      </c>
      <c r="C149" s="556">
        <v>102513</v>
      </c>
      <c r="D149" s="548" t="str">
        <f>IF(A149="SERVIÇO",VLOOKUP(C149,SERVIÇOS!$A$6:$D$7697,2,0),IF(A149="INSUMO",VLOOKUP(C149,INSUMOS!$A$6:$D$4845,2,0),IF(A149="COTAÇÃO",VLOOKUP(C149,'014-22-cotação'!$A$9:$I$138,2,0),IF(A149="CCU",VLOOKUP(C149,'014-22-CCU''s'!$B$10:$H$450,2,0)))))</f>
        <v>PINTURA DE SÍMBOLOS E TEXTOS COM TINTA ACRÍLICA, DEMARCAÇÃO COM FITA ADESIVA E APLICAÇÃO COM ROLO. AF_05/2021</v>
      </c>
      <c r="E149" s="549" t="str">
        <f>IF(A149="SERVIÇO",VLOOKUP(C149,SERVIÇOS!$A$6:$D$7697,3,0),IF(A149="INSUMO",VLOOKUP(C149,INSUMOS!$A$6:$D$4845,3,0),IF(A149="COTAÇÃO",VLOOKUP(C149,'014-22-cotação'!$A$9:$I$138,4,0),IF(A149="CCU",VLOOKUP(C149,'014-22-CCU''s'!$B$10:$H$450,4,0)))))</f>
        <v>M2</v>
      </c>
      <c r="F149" s="557">
        <v>5.76</v>
      </c>
      <c r="G149" s="551">
        <f>IF(A149="SERVIÇO",VLOOKUP(C149,SERVIÇOS!$A$6:$D$7697,4,0),IF(A149="INSUMO",VLOOKUP(C149,INSUMOS!$A$6:$D$4845,4,0),IF(A149="COTAÇÃO",VLOOKUP(C149,'014-22-cotação'!$A$9:$I$138,3,0),IF(A149="CCU",VLOOKUP(C149,'014-22-CCU''s'!$B$10:$H$450,7,0)))))</f>
        <v>52.07</v>
      </c>
      <c r="H149" s="552">
        <f t="shared" ref="H149" si="56">$F$9</f>
        <v>0.18559999999999999</v>
      </c>
      <c r="I149" s="551">
        <f>(G149*(1+H149))</f>
        <v>61.734192</v>
      </c>
      <c r="J149" s="553">
        <f>I149*F149</f>
        <v>355.58894592000001</v>
      </c>
      <c r="K149" s="403"/>
      <c r="L149" s="309">
        <f t="shared" si="54"/>
        <v>355.58894592000001</v>
      </c>
      <c r="M149" s="309">
        <f t="shared" si="55"/>
        <v>0</v>
      </c>
      <c r="N149" s="403"/>
      <c r="O149" s="403">
        <f>4000000/1300</f>
        <v>3076.9230769230771</v>
      </c>
      <c r="P149" s="403"/>
      <c r="Q149" s="403"/>
      <c r="R149" s="403"/>
      <c r="S149" s="403"/>
    </row>
    <row r="150" spans="1:19" s="62" customFormat="1" ht="12.75" customHeight="1" x14ac:dyDescent="0.2">
      <c r="A150" s="199"/>
      <c r="B150" s="273"/>
      <c r="C150" s="273"/>
      <c r="D150" s="280"/>
      <c r="E150" s="273"/>
      <c r="F150" s="290"/>
      <c r="G150" s="290"/>
      <c r="H150" s="290"/>
      <c r="I150" s="290"/>
      <c r="J150" s="291"/>
      <c r="K150" s="213"/>
      <c r="L150" s="307">
        <f t="shared" si="54"/>
        <v>0</v>
      </c>
      <c r="M150" s="307">
        <f t="shared" si="55"/>
        <v>0</v>
      </c>
      <c r="N150" s="213"/>
      <c r="O150" s="213"/>
      <c r="P150" s="213"/>
      <c r="Q150" s="213"/>
      <c r="R150" s="213"/>
      <c r="S150" s="213"/>
    </row>
    <row r="151" spans="1:19" s="62" customFormat="1" ht="12.75" customHeight="1" x14ac:dyDescent="0.2">
      <c r="A151" s="199"/>
      <c r="B151" s="206" t="s">
        <v>4517</v>
      </c>
      <c r="C151" s="206"/>
      <c r="D151" s="279" t="s">
        <v>4518</v>
      </c>
      <c r="E151" s="288"/>
      <c r="F151" s="288"/>
      <c r="G151" s="317"/>
      <c r="H151" s="288"/>
      <c r="I151" s="317"/>
      <c r="J151" s="289"/>
      <c r="K151" s="213"/>
      <c r="L151" s="307">
        <f t="shared" si="54"/>
        <v>0</v>
      </c>
      <c r="M151" s="307">
        <f t="shared" si="55"/>
        <v>0</v>
      </c>
      <c r="N151" s="213"/>
      <c r="O151" s="213"/>
      <c r="P151" s="213"/>
      <c r="Q151" s="213"/>
      <c r="R151" s="213"/>
      <c r="S151" s="213"/>
    </row>
    <row r="152" spans="1:19" s="62" customFormat="1" ht="12.75" customHeight="1" x14ac:dyDescent="0.2">
      <c r="A152" s="199"/>
      <c r="B152" s="206" t="s">
        <v>4519</v>
      </c>
      <c r="C152" s="206"/>
      <c r="D152" s="279" t="s">
        <v>3424</v>
      </c>
      <c r="E152" s="288"/>
      <c r="F152" s="288"/>
      <c r="G152" s="317"/>
      <c r="H152" s="288"/>
      <c r="I152" s="317"/>
      <c r="J152" s="289"/>
      <c r="K152" s="213"/>
      <c r="L152" s="307">
        <f t="shared" ref="L152" si="57">I152*F152</f>
        <v>0</v>
      </c>
      <c r="M152" s="307">
        <f t="shared" ref="M152" si="58">L152-J152</f>
        <v>0</v>
      </c>
      <c r="N152" s="213"/>
      <c r="O152" s="213"/>
      <c r="P152" s="213"/>
      <c r="Q152" s="213"/>
      <c r="R152" s="213"/>
      <c r="S152" s="213"/>
    </row>
    <row r="153" spans="1:19" s="62" customFormat="1" ht="12.75" customHeight="1" x14ac:dyDescent="0.2">
      <c r="A153" s="199"/>
      <c r="B153" s="206" t="s">
        <v>4520</v>
      </c>
      <c r="C153" s="206"/>
      <c r="D153" s="279" t="s">
        <v>4521</v>
      </c>
      <c r="E153" s="288"/>
      <c r="F153" s="288"/>
      <c r="G153" s="317"/>
      <c r="H153" s="288"/>
      <c r="I153" s="317"/>
      <c r="J153" s="289"/>
      <c r="K153" s="213"/>
      <c r="L153" s="307">
        <f t="shared" ref="L153" si="59">I153*F153</f>
        <v>0</v>
      </c>
      <c r="M153" s="307">
        <f t="shared" ref="M153" si="60">L153-J153</f>
        <v>0</v>
      </c>
      <c r="N153" s="213"/>
      <c r="O153" s="213"/>
      <c r="P153" s="213"/>
      <c r="Q153" s="213"/>
      <c r="R153" s="213"/>
      <c r="S153" s="213"/>
    </row>
    <row r="154" spans="1:19" s="404" customFormat="1" ht="51" x14ac:dyDescent="0.2">
      <c r="A154" s="406" t="s">
        <v>1121</v>
      </c>
      <c r="B154" s="556" t="s">
        <v>4522</v>
      </c>
      <c r="C154" s="556" t="s">
        <v>3471</v>
      </c>
      <c r="D154" s="548" t="str">
        <f>IF(A154="SERVIÇO",VLOOKUP(C154,SERVIÇOS!$A$6:$D$7697,2,0),IF(A154="INSUMO",VLOOKUP(C154,INSUMOS!$A$6:$D$4845,2,0),IF(A154="COTAÇÃO",VLOOKUP(C154,'014-22-cotação'!$A$9:$I$138,2,0),IF(A154="CCU",VLOOKUP(C154,'014-22-CCU''s'!$B$10:$H$450,2,0)))))</f>
        <v>BICICLETÁRIO EM TUBO DE AÇO INOX 2'' ACABAMENTO ESCOVADO CHUMBADO 35CM C/ CONCRETO 18MPA - FORNECIMENTO E INSTALAÇÃO</v>
      </c>
      <c r="E154" s="549" t="str">
        <f>IF(A154="SERVIÇO",VLOOKUP(C154,SERVIÇOS!$A$6:$D$7697,3,0),IF(A154="INSUMO",VLOOKUP(C154,INSUMOS!$A$6:$D$4845,3,0),IF(A154="COTAÇÃO",VLOOKUP(C154,'014-22-cotação'!$A$9:$I$138,4,0),IF(A154="CCU",VLOOKUP(C154,'014-22-CCU''s'!$B$10:$H$450,4,0)))))</f>
        <v xml:space="preserve">UN    </v>
      </c>
      <c r="F154" s="557">
        <v>8</v>
      </c>
      <c r="G154" s="551">
        <f>IF(A154="SERVIÇO",VLOOKUP(C154,SERVIÇOS!$A$6:$D$7697,4,0),IF(A154="INSUMO",VLOOKUP(C154,INSUMOS!$A$6:$D$4845,4,0),IF(A154="COTAÇÃO",VLOOKUP(C154,'014-22-cotação'!$A$9:$I$138,3,0),IF(A154="CCU",VLOOKUP(C154,'014-22-CCU''s'!$B$10:$H$450,7,0)))))</f>
        <v>976.85</v>
      </c>
      <c r="H154" s="552">
        <f>$F$9</f>
        <v>0.18559999999999999</v>
      </c>
      <c r="I154" s="551">
        <f t="shared" ref="I154:I157" si="61">(G154*(1+H154))</f>
        <v>1158.15336</v>
      </c>
      <c r="J154" s="553">
        <f t="shared" ref="J154:J157" si="62">I154*F154</f>
        <v>9265.2268800000002</v>
      </c>
      <c r="K154" s="403"/>
      <c r="L154" s="309">
        <f t="shared" si="54"/>
        <v>9265.2268800000002</v>
      </c>
      <c r="M154" s="309">
        <f t="shared" si="55"/>
        <v>0</v>
      </c>
      <c r="N154" s="398"/>
      <c r="O154" s="398"/>
      <c r="P154" s="398"/>
      <c r="Q154" s="398"/>
      <c r="R154" s="398"/>
      <c r="S154" s="398"/>
    </row>
    <row r="155" spans="1:19" s="517" customFormat="1" ht="38.25" x14ac:dyDescent="0.2">
      <c r="A155" s="515" t="s">
        <v>1121</v>
      </c>
      <c r="B155" s="556" t="s">
        <v>4523</v>
      </c>
      <c r="C155" s="556" t="s">
        <v>3472</v>
      </c>
      <c r="D155" s="548" t="str">
        <f>IF(A155="SERVIÇO",VLOOKUP(C155,SERVIÇOS!$A$6:$D$7697,2,0),IF(A155="INSUMO",VLOOKUP(C155,INSUMOS!$A$6:$D$4845,2,0),IF(A155="COTAÇÃO",VLOOKUP(C155,'014-22-cotação'!$A$9:$I$138,2,0),IF(A155="CCU",VLOOKUP(C155,'014-22-CCU''s'!$B$10:$H$450,2,0)))))</f>
        <v>MESA MULTIUSO COM 4 BANCOS EM CONCRETO - CONFORME DETALHAMENTO DE PROJETO</v>
      </c>
      <c r="E155" s="549" t="str">
        <f>IF(A155="SERVIÇO",VLOOKUP(C155,SERVIÇOS!$A$6:$D$7697,3,0),IF(A155="INSUMO",VLOOKUP(C155,INSUMOS!$A$6:$D$4845,3,0),IF(A155="COTAÇÃO",VLOOKUP(C155,'014-22-cotação'!$A$9:$I$138,4,0),IF(A155="CCU",VLOOKUP(C155,'014-22-CCU''s'!$B$10:$H$450,4,0)))))</f>
        <v xml:space="preserve">UN    </v>
      </c>
      <c r="F155" s="557">
        <v>2</v>
      </c>
      <c r="G155" s="551">
        <f>IF(A155="SERVIÇO",VLOOKUP(C155,SERVIÇOS!$A$6:$D$7697,4,0),IF(A155="INSUMO",VLOOKUP(C155,INSUMOS!$A$6:$D$4845,4,0),IF(A155="COTAÇÃO",VLOOKUP(C155,'014-22-cotação'!$A$9:$I$138,3,0),IF(A155="CCU",VLOOKUP(C155,'014-22-CCU''s'!$B$10:$H$450,7,0)))))</f>
        <v>1054</v>
      </c>
      <c r="H155" s="552">
        <f>$H$9</f>
        <v>0</v>
      </c>
      <c r="I155" s="551">
        <f t="shared" si="61"/>
        <v>1054</v>
      </c>
      <c r="J155" s="553">
        <f t="shared" si="62"/>
        <v>2108</v>
      </c>
      <c r="K155" s="516"/>
      <c r="L155" s="467">
        <f t="shared" si="54"/>
        <v>2108</v>
      </c>
      <c r="M155" s="467">
        <f t="shared" si="55"/>
        <v>0</v>
      </c>
      <c r="N155" s="462"/>
      <c r="O155" s="462"/>
      <c r="P155" s="462"/>
      <c r="Q155" s="462"/>
      <c r="R155" s="462"/>
      <c r="S155" s="462"/>
    </row>
    <row r="156" spans="1:19" s="517" customFormat="1" ht="38.25" x14ac:dyDescent="0.2">
      <c r="A156" s="515" t="s">
        <v>1121</v>
      </c>
      <c r="B156" s="556" t="s">
        <v>4524</v>
      </c>
      <c r="C156" s="556" t="s">
        <v>3473</v>
      </c>
      <c r="D156" s="548" t="str">
        <f>IF(A156="SERVIÇO",VLOOKUP(C156,SERVIÇOS!$A$6:$D$7697,2,0),IF(A156="INSUMO",VLOOKUP(C156,INSUMOS!$A$6:$D$4845,2,0),IF(A156="COTAÇÃO",VLOOKUP(C156,'014-22-cotação'!$A$9:$I$138,2,0),IF(A156="CCU",VLOOKUP(C156,'014-22-CCU''s'!$B$10:$H$450,2,0)))))</f>
        <v>MESA MULTIUSO COM 3 BANCOS EM CONCRETO - CONFORME DETALHAMENTO DE PROJETO</v>
      </c>
      <c r="E156" s="549" t="str">
        <f>IF(A156="SERVIÇO",VLOOKUP(C156,SERVIÇOS!$A$6:$D$7697,3,0),IF(A156="INSUMO",VLOOKUP(C156,INSUMOS!$A$6:$D$4845,3,0),IF(A156="COTAÇÃO",VLOOKUP(C156,'014-22-cotação'!$A$9:$I$138,4,0),IF(A156="CCU",VLOOKUP(C156,'014-22-CCU''s'!$B$10:$H$450,4,0)))))</f>
        <v xml:space="preserve">UN    </v>
      </c>
      <c r="F156" s="557">
        <v>2</v>
      </c>
      <c r="G156" s="551">
        <f>IF(A156="SERVIÇO",VLOOKUP(C156,SERVIÇOS!$A$6:$D$7697,4,0),IF(A156="INSUMO",VLOOKUP(C156,INSUMOS!$A$6:$D$4845,4,0),IF(A156="COTAÇÃO",VLOOKUP(C156,'014-22-cotação'!$A$9:$I$138,3,0),IF(A156="CCU",VLOOKUP(C156,'014-22-CCU''s'!$B$10:$H$450,7,0)))))</f>
        <v>960.84</v>
      </c>
      <c r="H156" s="552">
        <f>$F$9</f>
        <v>0.18559999999999999</v>
      </c>
      <c r="I156" s="551">
        <f t="shared" si="61"/>
        <v>1139.171904</v>
      </c>
      <c r="J156" s="553">
        <f t="shared" si="62"/>
        <v>2278.3438080000001</v>
      </c>
      <c r="K156" s="516"/>
      <c r="L156" s="467">
        <f t="shared" si="40"/>
        <v>2278.3438080000001</v>
      </c>
      <c r="M156" s="467">
        <f t="shared" si="41"/>
        <v>0</v>
      </c>
      <c r="N156" s="462"/>
      <c r="O156" s="462"/>
      <c r="P156" s="462"/>
      <c r="Q156" s="462"/>
      <c r="R156" s="462"/>
      <c r="S156" s="462"/>
    </row>
    <row r="157" spans="1:19" s="517" customFormat="1" ht="89.25" x14ac:dyDescent="0.2">
      <c r="A157" s="515" t="s">
        <v>1121</v>
      </c>
      <c r="B157" s="556" t="s">
        <v>4525</v>
      </c>
      <c r="C157" s="556" t="s">
        <v>3474</v>
      </c>
      <c r="D157" s="548" t="str">
        <f>IF(A157="SERVIÇO",VLOOKUP(C157,SERVIÇOS!$A$6:$D$7697,2,0),IF(A157="INSUMO",VLOOKUP(C157,INSUMOS!$A$6:$D$4845,2,0),IF(A157="COTAÇÃO",VLOOKUP(C157,'014-22-cotação'!$A$9:$I$138,2,0),IF(A157="CCU",VLOOKUP(C157,'014-22-CCU''s'!$B$10:$H$450,2,0)))))</f>
        <v>PERGOLADO DE MADEIRA, EM TORAS DE EUCALIPTO COM DIÂMETROS DE 20CM, 15CM E 10CM, TRAVADOS COM BARRA ROSQUEADA DE 1/2" E PARAFUSO SESTAVADO COM 150MM DE COMRIMENTO, FIXADO EM BLOCO DE CONCRETO DE 75X40X110CM - FORNECIMENTO E INSTALAÇÃO</v>
      </c>
      <c r="E157" s="549" t="str">
        <f>IF(A157="SERVIÇO",VLOOKUP(C157,SERVIÇOS!$A$6:$D$7697,3,0),IF(A157="INSUMO",VLOOKUP(C157,INSUMOS!$A$6:$D$4845,3,0),IF(A157="COTAÇÃO",VLOOKUP(C157,'014-22-cotação'!$A$9:$I$138,4,0),IF(A157="CCU",VLOOKUP(C157,'014-22-CCU''s'!$B$10:$H$450,4,0)))))</f>
        <v xml:space="preserve">UN    </v>
      </c>
      <c r="F157" s="557">
        <v>2</v>
      </c>
      <c r="G157" s="551">
        <f>IF(A157="SERVIÇO",VLOOKUP(C157,SERVIÇOS!$A$6:$D$7697,4,0),IF(A157="INSUMO",VLOOKUP(C157,INSUMOS!$A$6:$D$4845,4,0),IF(A157="COTAÇÃO",VLOOKUP(C157,'014-22-cotação'!$A$9:$I$138,3,0),IF(A157="CCU",VLOOKUP(C157,'014-22-CCU''s'!$B$10:$H$450,7,0)))))</f>
        <v>6716.4900000000016</v>
      </c>
      <c r="H157" s="552">
        <f>$F$9</f>
        <v>0.18559999999999999</v>
      </c>
      <c r="I157" s="551">
        <f t="shared" si="61"/>
        <v>7963.070544000002</v>
      </c>
      <c r="J157" s="553">
        <f t="shared" si="62"/>
        <v>15926.141088000004</v>
      </c>
      <c r="K157" s="516"/>
      <c r="L157" s="467">
        <f t="shared" ref="L157" si="63">I157*F157</f>
        <v>15926.141088000004</v>
      </c>
      <c r="M157" s="467">
        <f t="shared" ref="M157" si="64">L157-J157</f>
        <v>0</v>
      </c>
      <c r="N157" s="462"/>
      <c r="O157" s="462"/>
      <c r="P157" s="462"/>
      <c r="Q157" s="462"/>
      <c r="R157" s="462"/>
      <c r="S157" s="462"/>
    </row>
    <row r="158" spans="1:19" s="62" customFormat="1" ht="12.75" customHeight="1" x14ac:dyDescent="0.2">
      <c r="A158" s="199"/>
      <c r="B158" s="273"/>
      <c r="C158" s="273"/>
      <c r="D158" s="280"/>
      <c r="E158" s="273"/>
      <c r="F158" s="290"/>
      <c r="G158" s="290"/>
      <c r="H158" s="290"/>
      <c r="I158" s="290"/>
      <c r="J158" s="291"/>
      <c r="K158" s="213"/>
      <c r="L158" s="307">
        <f t="shared" si="40"/>
        <v>0</v>
      </c>
      <c r="M158" s="307">
        <f t="shared" si="41"/>
        <v>0</v>
      </c>
      <c r="N158" s="213"/>
      <c r="O158" s="213"/>
      <c r="P158" s="213"/>
      <c r="Q158" s="213"/>
      <c r="R158" s="213"/>
      <c r="S158" s="213"/>
    </row>
    <row r="159" spans="1:19" s="62" customFormat="1" ht="12.75" customHeight="1" x14ac:dyDescent="0.2">
      <c r="A159" s="199"/>
      <c r="B159" s="206" t="s">
        <v>4526</v>
      </c>
      <c r="C159" s="206"/>
      <c r="D159" s="279" t="s">
        <v>4527</v>
      </c>
      <c r="E159" s="288"/>
      <c r="F159" s="288"/>
      <c r="G159" s="317"/>
      <c r="H159" s="288"/>
      <c r="I159" s="317"/>
      <c r="J159" s="289"/>
      <c r="K159" s="213"/>
      <c r="L159" s="307">
        <f t="shared" si="40"/>
        <v>0</v>
      </c>
      <c r="M159" s="307">
        <f t="shared" si="41"/>
        <v>0</v>
      </c>
      <c r="N159" s="213"/>
      <c r="O159" s="213"/>
      <c r="P159" s="213"/>
      <c r="Q159" s="213"/>
      <c r="R159" s="213"/>
      <c r="S159" s="213"/>
    </row>
    <row r="160" spans="1:19" s="404" customFormat="1" ht="38.25" x14ac:dyDescent="0.2">
      <c r="A160" s="406" t="s">
        <v>1121</v>
      </c>
      <c r="B160" s="556" t="s">
        <v>4528</v>
      </c>
      <c r="C160" s="556" t="s">
        <v>3475</v>
      </c>
      <c r="D160" s="548" t="str">
        <f>IF(A160="SERVIÇO",VLOOKUP(C160,SERVIÇOS!$A$6:$D$7697,2,0),IF(A160="INSUMO",VLOOKUP(C160,INSUMOS!$A$6:$D$4845,2,0),IF(A160="COTAÇÃO",VLOOKUP(C160,'014-22-cotação'!$A$9:$I$138,2,0),IF(A160="CCU",VLOOKUP(C160,'014-22-CCU''s'!$B$10:$H$450,2,0)))))</f>
        <v>INSTALAÇÃO DE MULTIEXERCITADOR COM SEIS FUNÇÕES DISTINTAS - ESTAÇÃO SAÚDE - CONFORME ESPECIFICAÇÕES DE PROJETO.</v>
      </c>
      <c r="E160" s="549" t="str">
        <f>IF(A160="SERVIÇO",VLOOKUP(C160,SERVIÇOS!$A$6:$D$7697,3,0),IF(A160="INSUMO",VLOOKUP(C160,INSUMOS!$A$6:$D$4845,3,0),IF(A160="COTAÇÃO",VLOOKUP(C160,'014-22-cotação'!$A$9:$I$138,4,0),IF(A160="CCU",VLOOKUP(C160,'014-22-CCU''s'!$B$10:$H$450,4,0)))))</f>
        <v xml:space="preserve">UN    </v>
      </c>
      <c r="F160" s="557">
        <v>1</v>
      </c>
      <c r="G160" s="551">
        <f>IF(A160="SERVIÇO",VLOOKUP(C160,SERVIÇOS!$A$6:$D$7697,4,0),IF(A160="INSUMO",VLOOKUP(C160,INSUMOS!$A$6:$D$4845,4,0),IF(A160="COTAÇÃO",VLOOKUP(C160,'014-22-cotação'!$A$9:$I$138,3,0),IF(A160="CCU",VLOOKUP(C160,'014-22-CCU''s'!$B$10:$H$450,7,0)))))</f>
        <v>6493</v>
      </c>
      <c r="H160" s="552">
        <f t="shared" ref="H160:H175" si="65">$F$9</f>
        <v>0.18559999999999999</v>
      </c>
      <c r="I160" s="551">
        <f t="shared" ref="I160:I175" si="66">(G160*(1+H160))</f>
        <v>7698.1008000000002</v>
      </c>
      <c r="J160" s="553">
        <f t="shared" ref="J160:J175" si="67">I160*F160</f>
        <v>7698.1008000000002</v>
      </c>
      <c r="K160" s="403"/>
      <c r="L160" s="309">
        <f t="shared" ref="L160:L161" si="68">I160*F160</f>
        <v>7698.1008000000002</v>
      </c>
      <c r="M160" s="309">
        <f t="shared" ref="M160:M161" si="69">L160-J160</f>
        <v>0</v>
      </c>
      <c r="N160" s="403"/>
      <c r="O160" s="403"/>
      <c r="P160" s="403"/>
      <c r="Q160" s="403"/>
      <c r="R160" s="403"/>
      <c r="S160" s="403"/>
    </row>
    <row r="161" spans="1:19" s="404" customFormat="1" ht="38.25" x14ac:dyDescent="0.2">
      <c r="A161" s="406" t="s">
        <v>1121</v>
      </c>
      <c r="B161" s="556" t="s">
        <v>4529</v>
      </c>
      <c r="C161" s="556" t="s">
        <v>3476</v>
      </c>
      <c r="D161" s="548" t="str">
        <f>IF(A161="SERVIÇO",VLOOKUP(C161,SERVIÇOS!$A$6:$D$7697,2,0),IF(A161="INSUMO",VLOOKUP(C161,INSUMOS!$A$6:$D$4845,2,0),IF(A161="COTAÇÃO",VLOOKUP(C161,'014-22-cotação'!$A$9:$I$138,2,0),IF(A161="CCU",VLOOKUP(C161,'014-22-CCU''s'!$B$10:$H$450,2,0)))))</f>
        <v>INSTALAÇÃO DE EQUIPAMENTO JOGO DE BARRA TRIPLO - PCR - CONFORME ESPECIFICAÇÕES DE PROJETO.</v>
      </c>
      <c r="E161" s="549" t="str">
        <f>IF(A161="SERVIÇO",VLOOKUP(C161,SERVIÇOS!$A$6:$D$7697,3,0),IF(A161="INSUMO",VLOOKUP(C161,INSUMOS!$A$6:$D$4845,3,0),IF(A161="COTAÇÃO",VLOOKUP(C161,'014-22-cotação'!$A$9:$I$138,4,0),IF(A161="CCU",VLOOKUP(C161,'014-22-CCU''s'!$B$10:$H$450,4,0)))))</f>
        <v xml:space="preserve">UN    </v>
      </c>
      <c r="F161" s="557">
        <v>1</v>
      </c>
      <c r="G161" s="551">
        <f>IF(A161="SERVIÇO",VLOOKUP(C161,SERVIÇOS!$A$6:$D$7697,4,0),IF(A161="INSUMO",VLOOKUP(C161,INSUMOS!$A$6:$D$4845,4,0),IF(A161="COTAÇÃO",VLOOKUP(C161,'014-22-cotação'!$A$9:$I$138,3,0),IF(A161="CCU",VLOOKUP(C161,'014-22-CCU''s'!$B$10:$H$450,7,0)))))</f>
        <v>4126.78</v>
      </c>
      <c r="H161" s="552">
        <f t="shared" si="65"/>
        <v>0.18559999999999999</v>
      </c>
      <c r="I161" s="551">
        <f t="shared" si="66"/>
        <v>4892.710368</v>
      </c>
      <c r="J161" s="553">
        <f t="shared" si="67"/>
        <v>4892.710368</v>
      </c>
      <c r="K161" s="403"/>
      <c r="L161" s="309">
        <f t="shared" si="68"/>
        <v>4892.710368</v>
      </c>
      <c r="M161" s="309">
        <f t="shared" si="69"/>
        <v>0</v>
      </c>
      <c r="N161" s="403"/>
      <c r="O161" s="403"/>
      <c r="P161" s="403"/>
      <c r="Q161" s="403"/>
      <c r="R161" s="403"/>
      <c r="S161" s="403"/>
    </row>
    <row r="162" spans="1:19" s="404" customFormat="1" ht="38.25" x14ac:dyDescent="0.2">
      <c r="A162" s="406" t="s">
        <v>1121</v>
      </c>
      <c r="B162" s="556" t="s">
        <v>4530</v>
      </c>
      <c r="C162" s="556" t="s">
        <v>3477</v>
      </c>
      <c r="D162" s="548" t="str">
        <f>IF(A162="SERVIÇO",VLOOKUP(C162,SERVIÇOS!$A$6:$D$7697,2,0),IF(A162="INSUMO",VLOOKUP(C162,INSUMOS!$A$6:$D$4845,2,0),IF(A162="COTAÇÃO",VLOOKUP(C162,'014-22-cotação'!$A$9:$I$138,2,0),IF(A162="CCU",VLOOKUP(C162,'014-22-CCU''s'!$B$10:$H$450,2,0)))))</f>
        <v>INSTALAÇÃO DE EQUIPAMENTO BARRAS PARALELAS - PCR - CONFORME ESPECIFICAÇÕES DE PROJETO.</v>
      </c>
      <c r="E162" s="549" t="str">
        <f>IF(A162="SERVIÇO",VLOOKUP(C162,SERVIÇOS!$A$6:$D$7697,3,0),IF(A162="INSUMO",VLOOKUP(C162,INSUMOS!$A$6:$D$4845,3,0),IF(A162="COTAÇÃO",VLOOKUP(C162,'014-22-cotação'!$A$9:$I$138,4,0),IF(A162="CCU",VLOOKUP(C162,'014-22-CCU''s'!$B$10:$H$450,4,0)))))</f>
        <v xml:space="preserve">UN    </v>
      </c>
      <c r="F162" s="557">
        <v>1</v>
      </c>
      <c r="G162" s="551">
        <f>IF(A162="SERVIÇO",VLOOKUP(C162,SERVIÇOS!$A$6:$D$7697,4,0),IF(A162="INSUMO",VLOOKUP(C162,INSUMOS!$A$6:$D$4845,4,0),IF(A162="COTAÇÃO",VLOOKUP(C162,'014-22-cotação'!$A$9:$I$138,3,0),IF(A162="CCU",VLOOKUP(C162,'014-22-CCU''s'!$B$10:$H$450,7,0)))))</f>
        <v>3380.98</v>
      </c>
      <c r="H162" s="552">
        <f t="shared" si="65"/>
        <v>0.18559999999999999</v>
      </c>
      <c r="I162" s="551">
        <f t="shared" si="66"/>
        <v>4008.4898880000001</v>
      </c>
      <c r="J162" s="553">
        <f t="shared" si="67"/>
        <v>4008.4898880000001</v>
      </c>
      <c r="K162" s="403"/>
      <c r="L162" s="309">
        <f t="shared" ref="L162:L165" si="70">I162*F162</f>
        <v>4008.4898880000001</v>
      </c>
      <c r="M162" s="309">
        <f t="shared" ref="M162:M165" si="71">L162-J162</f>
        <v>0</v>
      </c>
      <c r="N162" s="403"/>
      <c r="O162" s="403"/>
      <c r="P162" s="403"/>
      <c r="Q162" s="403"/>
      <c r="R162" s="403"/>
      <c r="S162" s="403"/>
    </row>
    <row r="163" spans="1:19" s="404" customFormat="1" ht="38.25" x14ac:dyDescent="0.2">
      <c r="A163" s="406" t="s">
        <v>1121</v>
      </c>
      <c r="B163" s="556" t="s">
        <v>4531</v>
      </c>
      <c r="C163" s="556" t="s">
        <v>3478</v>
      </c>
      <c r="D163" s="548" t="str">
        <f>IF(A163="SERVIÇO",VLOOKUP(C163,SERVIÇOS!$A$6:$D$7697,2,0),IF(A163="INSUMO",VLOOKUP(C163,INSUMOS!$A$6:$D$4845,2,0),IF(A163="COTAÇÃO",VLOOKUP(C163,'014-22-cotação'!$A$9:$I$138,2,0),IF(A163="CCU",VLOOKUP(C163,'014-22-CCU''s'!$B$10:$H$450,2,0)))))</f>
        <v>INSTALAÇÃO DE EQUIPAMENTO GIRO DE PUNHO - PCR - CONFORME ESPECIFICAÇÕES DE PROJETO.</v>
      </c>
      <c r="E163" s="549" t="str">
        <f>IF(A163="SERVIÇO",VLOOKUP(C163,SERVIÇOS!$A$6:$D$7697,3,0),IF(A163="INSUMO",VLOOKUP(C163,INSUMOS!$A$6:$D$4845,3,0),IF(A163="COTAÇÃO",VLOOKUP(C163,'014-22-cotação'!$A$9:$I$138,4,0),IF(A163="CCU",VLOOKUP(C163,'014-22-CCU''s'!$B$10:$H$450,4,0)))))</f>
        <v xml:space="preserve">UN    </v>
      </c>
      <c r="F163" s="557">
        <v>1</v>
      </c>
      <c r="G163" s="551">
        <f>IF(A163="SERVIÇO",VLOOKUP(C163,SERVIÇOS!$A$6:$D$7697,4,0),IF(A163="INSUMO",VLOOKUP(C163,INSUMOS!$A$6:$D$4845,4,0),IF(A163="COTAÇÃO",VLOOKUP(C163,'014-22-cotação'!$A$9:$I$138,3,0),IF(A163="CCU",VLOOKUP(C163,'014-22-CCU''s'!$B$10:$H$450,7,0)))))</f>
        <v>2380.61</v>
      </c>
      <c r="H163" s="552">
        <f t="shared" si="65"/>
        <v>0.18559999999999999</v>
      </c>
      <c r="I163" s="551">
        <f t="shared" si="66"/>
        <v>2822.4512159999999</v>
      </c>
      <c r="J163" s="553">
        <f t="shared" si="67"/>
        <v>2822.4512159999999</v>
      </c>
      <c r="K163" s="403"/>
      <c r="L163" s="309">
        <f t="shared" si="70"/>
        <v>2822.4512159999999</v>
      </c>
      <c r="M163" s="309">
        <f t="shared" si="71"/>
        <v>0</v>
      </c>
      <c r="N163" s="403"/>
      <c r="O163" s="403"/>
      <c r="P163" s="403"/>
      <c r="Q163" s="403"/>
      <c r="R163" s="403"/>
      <c r="S163" s="403"/>
    </row>
    <row r="164" spans="1:19" s="404" customFormat="1" ht="38.25" x14ac:dyDescent="0.2">
      <c r="A164" s="406" t="s">
        <v>1121</v>
      </c>
      <c r="B164" s="556" t="s">
        <v>4532</v>
      </c>
      <c r="C164" s="556" t="s">
        <v>3479</v>
      </c>
      <c r="D164" s="548" t="str">
        <f>IF(A164="SERVIÇO",VLOOKUP(C164,SERVIÇOS!$A$6:$D$7697,2,0),IF(A164="INSUMO",VLOOKUP(C164,INSUMOS!$A$6:$D$4845,2,0),IF(A164="COTAÇÃO",VLOOKUP(C164,'014-22-cotação'!$A$9:$I$138,2,0),IF(A164="CCU",VLOOKUP(C164,'014-22-CCU''s'!$B$10:$H$450,2,0)))))</f>
        <v>INSTALAÇÃO DE EQUIPAMENTO BICICLETA DE MÃO - PCR - CONFORME ESPECIFICAÇÕES DE PROJETO.</v>
      </c>
      <c r="E164" s="549" t="str">
        <f>IF(A164="SERVIÇO",VLOOKUP(C164,SERVIÇOS!$A$6:$D$7697,3,0),IF(A164="INSUMO",VLOOKUP(C164,INSUMOS!$A$6:$D$4845,3,0),IF(A164="COTAÇÃO",VLOOKUP(C164,'014-22-cotação'!$A$9:$I$138,4,0),IF(A164="CCU",VLOOKUP(C164,'014-22-CCU''s'!$B$10:$H$450,4,0)))))</f>
        <v xml:space="preserve">UN    </v>
      </c>
      <c r="F164" s="557">
        <v>1</v>
      </c>
      <c r="G164" s="551">
        <f>IF(A164="SERVIÇO",VLOOKUP(C164,SERVIÇOS!$A$6:$D$7697,4,0),IF(A164="INSUMO",VLOOKUP(C164,INSUMOS!$A$6:$D$4845,4,0),IF(A164="COTAÇÃO",VLOOKUP(C164,'014-22-cotação'!$A$9:$I$138,3,0),IF(A164="CCU",VLOOKUP(C164,'014-22-CCU''s'!$B$10:$H$450,7,0)))))</f>
        <v>1864.52</v>
      </c>
      <c r="H164" s="552">
        <f t="shared" si="65"/>
        <v>0.18559999999999999</v>
      </c>
      <c r="I164" s="551">
        <f t="shared" si="66"/>
        <v>2210.574912</v>
      </c>
      <c r="J164" s="553">
        <f t="shared" si="67"/>
        <v>2210.574912</v>
      </c>
      <c r="K164" s="403"/>
      <c r="L164" s="309">
        <f t="shared" si="70"/>
        <v>2210.574912</v>
      </c>
      <c r="M164" s="309">
        <f t="shared" si="71"/>
        <v>0</v>
      </c>
      <c r="N164" s="403"/>
      <c r="O164" s="403"/>
      <c r="P164" s="403"/>
      <c r="Q164" s="403"/>
      <c r="R164" s="403"/>
      <c r="S164" s="403"/>
    </row>
    <row r="165" spans="1:19" s="404" customFormat="1" ht="38.25" x14ac:dyDescent="0.2">
      <c r="A165" s="406" t="s">
        <v>1121</v>
      </c>
      <c r="B165" s="556" t="s">
        <v>4533</v>
      </c>
      <c r="C165" s="556" t="s">
        <v>3480</v>
      </c>
      <c r="D165" s="548" t="str">
        <f>IF(A165="SERVIÇO",VLOOKUP(C165,SERVIÇOS!$A$6:$D$7697,2,0),IF(A165="INSUMO",VLOOKUP(C165,INSUMOS!$A$6:$D$4845,2,0),IF(A165="COTAÇÃO",VLOOKUP(C165,'014-22-cotação'!$A$9:$I$138,2,0),IF(A165="CCU",VLOOKUP(C165,'014-22-CCU''s'!$B$10:$H$450,2,0)))))</f>
        <v>INSTALAÇÃO DE EQUIPAMENTO SIMULADOR DE CAVALGADA TRIPLO- CONFORME ESPECIFICAÇÕES DE PROJETO.</v>
      </c>
      <c r="E165" s="549" t="str">
        <f>IF(A165="SERVIÇO",VLOOKUP(C165,SERVIÇOS!$A$6:$D$7697,3,0),IF(A165="INSUMO",VLOOKUP(C165,INSUMOS!$A$6:$D$4845,3,0),IF(A165="COTAÇÃO",VLOOKUP(C165,'014-22-cotação'!$A$9:$I$138,4,0),IF(A165="CCU",VLOOKUP(C165,'014-22-CCU''s'!$B$10:$H$450,4,0)))))</f>
        <v xml:space="preserve">UN    </v>
      </c>
      <c r="F165" s="557">
        <v>1</v>
      </c>
      <c r="G165" s="551">
        <f>IF(A165="SERVIÇO",VLOOKUP(C165,SERVIÇOS!$A$6:$D$7697,4,0),IF(A165="INSUMO",VLOOKUP(C165,INSUMOS!$A$6:$D$4845,4,0),IF(A165="COTAÇÃO",VLOOKUP(C165,'014-22-cotação'!$A$9:$I$138,3,0),IF(A165="CCU",VLOOKUP(C165,'014-22-CCU''s'!$B$10:$H$450,7,0)))))</f>
        <v>5250.88</v>
      </c>
      <c r="H165" s="552">
        <f t="shared" si="65"/>
        <v>0.18559999999999999</v>
      </c>
      <c r="I165" s="551">
        <f t="shared" si="66"/>
        <v>6225.4433280000003</v>
      </c>
      <c r="J165" s="553">
        <f t="shared" si="67"/>
        <v>6225.4433280000003</v>
      </c>
      <c r="K165" s="403"/>
      <c r="L165" s="309">
        <f t="shared" si="70"/>
        <v>6225.4433280000003</v>
      </c>
      <c r="M165" s="309">
        <f t="shared" si="71"/>
        <v>0</v>
      </c>
      <c r="N165" s="403"/>
      <c r="O165" s="403"/>
      <c r="P165" s="403"/>
      <c r="Q165" s="403"/>
      <c r="R165" s="403"/>
      <c r="S165" s="403"/>
    </row>
    <row r="166" spans="1:19" s="404" customFormat="1" ht="38.25" x14ac:dyDescent="0.2">
      <c r="A166" s="406" t="s">
        <v>1121</v>
      </c>
      <c r="B166" s="556" t="s">
        <v>4534</v>
      </c>
      <c r="C166" s="556" t="s">
        <v>3481</v>
      </c>
      <c r="D166" s="548" t="str">
        <f>IF(A166="SERVIÇO",VLOOKUP(C166,SERVIÇOS!$A$6:$D$7697,2,0),IF(A166="INSUMO",VLOOKUP(C166,INSUMOS!$A$6:$D$4845,2,0),IF(A166="COTAÇÃO",VLOOKUP(C166,'014-22-cotação'!$A$9:$I$138,2,0),IF(A166="CCU",VLOOKUP(C166,'014-22-CCU''s'!$B$10:$H$450,2,0)))))</f>
        <v>INSTALAÇÃO DE EQUIPAMENTO LEG PRESS TRIPLO - CONFORME ESPECIFICAÇÕES DE PROJETO.</v>
      </c>
      <c r="E166" s="549" t="str">
        <f>IF(A166="SERVIÇO",VLOOKUP(C166,SERVIÇOS!$A$6:$D$7697,3,0),IF(A166="INSUMO",VLOOKUP(C166,INSUMOS!$A$6:$D$4845,3,0),IF(A166="COTAÇÃO",VLOOKUP(C166,'014-22-cotação'!$A$9:$I$138,4,0),IF(A166="CCU",VLOOKUP(C166,'014-22-CCU''s'!$B$10:$H$450,4,0)))))</f>
        <v xml:space="preserve">UN    </v>
      </c>
      <c r="F166" s="557">
        <v>1</v>
      </c>
      <c r="G166" s="551">
        <f>IF(A166="SERVIÇO",VLOOKUP(C166,SERVIÇOS!$A$6:$D$7697,4,0),IF(A166="INSUMO",VLOOKUP(C166,INSUMOS!$A$6:$D$4845,4,0),IF(A166="COTAÇÃO",VLOOKUP(C166,'014-22-cotação'!$A$9:$I$138,3,0),IF(A166="CCU",VLOOKUP(C166,'014-22-CCU''s'!$B$10:$H$450,7,0)))))</f>
        <v>4010.66</v>
      </c>
      <c r="H166" s="552">
        <f t="shared" si="65"/>
        <v>0.18559999999999999</v>
      </c>
      <c r="I166" s="551">
        <f t="shared" si="66"/>
        <v>4755.0384960000001</v>
      </c>
      <c r="J166" s="553">
        <f t="shared" si="67"/>
        <v>4755.0384960000001</v>
      </c>
      <c r="K166" s="403"/>
      <c r="L166" s="309">
        <f t="shared" ref="L166:L173" si="72">I166*F166</f>
        <v>4755.0384960000001</v>
      </c>
      <c r="M166" s="309">
        <f t="shared" ref="M166:M173" si="73">L166-J166</f>
        <v>0</v>
      </c>
      <c r="N166" s="403"/>
      <c r="O166" s="403"/>
      <c r="P166" s="403"/>
      <c r="Q166" s="403"/>
      <c r="R166" s="403"/>
      <c r="S166" s="403"/>
    </row>
    <row r="167" spans="1:19" s="404" customFormat="1" ht="25.5" x14ac:dyDescent="0.2">
      <c r="A167" s="406" t="s">
        <v>1121</v>
      </c>
      <c r="B167" s="556" t="s">
        <v>4535</v>
      </c>
      <c r="C167" s="556" t="s">
        <v>3482</v>
      </c>
      <c r="D167" s="548" t="str">
        <f>IF(A167="SERVIÇO",VLOOKUP(C167,SERVIÇOS!$A$6:$D$7697,2,0),IF(A167="INSUMO",VLOOKUP(C167,INSUMOS!$A$6:$D$4845,2,0),IF(A167="COTAÇÃO",VLOOKUP(C167,'014-22-cotação'!$A$9:$I$138,2,0),IF(A167="CCU",VLOOKUP(C167,'014-22-CCU''s'!$B$10:$H$450,2,0)))))</f>
        <v>INSTALAÇÃO DE EQUIPAMENTO ESQUI TRIPLO - CONFORME ESPECIFICAÇÕES DE PROJETO.</v>
      </c>
      <c r="E167" s="549" t="str">
        <f>IF(A167="SERVIÇO",VLOOKUP(C167,SERVIÇOS!$A$6:$D$7697,3,0),IF(A167="INSUMO",VLOOKUP(C167,INSUMOS!$A$6:$D$4845,3,0),IF(A167="COTAÇÃO",VLOOKUP(C167,'014-22-cotação'!$A$9:$I$138,4,0),IF(A167="CCU",VLOOKUP(C167,'014-22-CCU''s'!$B$10:$H$450,4,0)))))</f>
        <v xml:space="preserve">UN    </v>
      </c>
      <c r="F167" s="557">
        <v>1</v>
      </c>
      <c r="G167" s="551">
        <f>IF(A167="SERVIÇO",VLOOKUP(C167,SERVIÇOS!$A$6:$D$7697,4,0),IF(A167="INSUMO",VLOOKUP(C167,INSUMOS!$A$6:$D$4845,4,0),IF(A167="COTAÇÃO",VLOOKUP(C167,'014-22-cotação'!$A$9:$I$138,3,0),IF(A167="CCU",VLOOKUP(C167,'014-22-CCU''s'!$B$10:$H$450,7,0)))))</f>
        <v>6168.59</v>
      </c>
      <c r="H167" s="552">
        <f t="shared" si="65"/>
        <v>0.18559999999999999</v>
      </c>
      <c r="I167" s="551">
        <f t="shared" si="66"/>
        <v>7313.4803039999997</v>
      </c>
      <c r="J167" s="553">
        <f t="shared" si="67"/>
        <v>7313.4803039999997</v>
      </c>
      <c r="K167" s="403"/>
      <c r="L167" s="309">
        <f t="shared" si="72"/>
        <v>7313.4803039999997</v>
      </c>
      <c r="M167" s="309">
        <f t="shared" si="73"/>
        <v>0</v>
      </c>
      <c r="N167" s="403"/>
      <c r="O167" s="403"/>
      <c r="P167" s="403"/>
      <c r="Q167" s="403"/>
      <c r="R167" s="403"/>
      <c r="S167" s="403"/>
    </row>
    <row r="168" spans="1:19" s="404" customFormat="1" ht="38.25" x14ac:dyDescent="0.2">
      <c r="A168" s="406" t="s">
        <v>1121</v>
      </c>
      <c r="B168" s="556" t="s">
        <v>4536</v>
      </c>
      <c r="C168" s="556" t="s">
        <v>3483</v>
      </c>
      <c r="D168" s="548" t="str">
        <f>IF(A168="SERVIÇO",VLOOKUP(C168,SERVIÇOS!$A$6:$D$7697,2,0),IF(A168="INSUMO",VLOOKUP(C168,INSUMOS!$A$6:$D$4845,2,0),IF(A168="COTAÇÃO",VLOOKUP(C168,'014-22-cotação'!$A$9:$I$138,2,0),IF(A168="CCU",VLOOKUP(C168,'014-22-CCU''s'!$B$10:$H$450,2,0)))))</f>
        <v>INSTALAÇÃO DE EQUIPAMENTO SIMULADOR DE REMO - CONFORME ESPECIFICAÇÕES DE PROJETO.</v>
      </c>
      <c r="E168" s="549" t="str">
        <f>IF(A168="SERVIÇO",VLOOKUP(C168,SERVIÇOS!$A$6:$D$7697,3,0),IF(A168="INSUMO",VLOOKUP(C168,INSUMOS!$A$6:$D$4845,3,0),IF(A168="COTAÇÃO",VLOOKUP(C168,'014-22-cotação'!$A$9:$I$138,4,0),IF(A168="CCU",VLOOKUP(C168,'014-22-CCU''s'!$B$10:$H$450,4,0)))))</f>
        <v xml:space="preserve">UN    </v>
      </c>
      <c r="F168" s="557">
        <v>1</v>
      </c>
      <c r="G168" s="551">
        <f>IF(A168="SERVIÇO",VLOOKUP(C168,SERVIÇOS!$A$6:$D$7697,4,0),IF(A168="INSUMO",VLOOKUP(C168,INSUMOS!$A$6:$D$4845,4,0),IF(A168="COTAÇÃO",VLOOKUP(C168,'014-22-cotação'!$A$9:$I$138,3,0),IF(A168="CCU",VLOOKUP(C168,'014-22-CCU''s'!$B$10:$H$450,7,0)))))</f>
        <v>2633.59</v>
      </c>
      <c r="H168" s="552">
        <f t="shared" si="65"/>
        <v>0.18559999999999999</v>
      </c>
      <c r="I168" s="551">
        <f t="shared" si="66"/>
        <v>3122.3843040000002</v>
      </c>
      <c r="J168" s="553">
        <f t="shared" si="67"/>
        <v>3122.3843040000002</v>
      </c>
      <c r="K168" s="403"/>
      <c r="L168" s="309">
        <f t="shared" si="72"/>
        <v>3122.3843040000002</v>
      </c>
      <c r="M168" s="309">
        <f t="shared" si="73"/>
        <v>0</v>
      </c>
      <c r="N168" s="403"/>
      <c r="O168" s="403"/>
      <c r="P168" s="403"/>
      <c r="Q168" s="403"/>
      <c r="R168" s="403"/>
      <c r="S168" s="403"/>
    </row>
    <row r="169" spans="1:19" s="404" customFormat="1" ht="38.25" x14ac:dyDescent="0.2">
      <c r="A169" s="406" t="s">
        <v>1121</v>
      </c>
      <c r="B169" s="556" t="s">
        <v>4537</v>
      </c>
      <c r="C169" s="556" t="s">
        <v>3484</v>
      </c>
      <c r="D169" s="548" t="str">
        <f>IF(A169="SERVIÇO",VLOOKUP(C169,SERVIÇOS!$A$6:$D$7697,2,0),IF(A169="INSUMO",VLOOKUP(C169,INSUMOS!$A$6:$D$4845,2,0),IF(A169="COTAÇÃO",VLOOKUP(C169,'014-22-cotação'!$A$9:$I$138,2,0),IF(A169="CCU",VLOOKUP(C169,'014-22-CCU''s'!$B$10:$H$450,2,0)))))</f>
        <v>INSTALAÇÃO DE EQUIPAMENTO BARRA ALTA GIRATÓRIA COM TRÊS ALTURAS - CONFORME ESPECIFICAÇÕES DE PROJETO.</v>
      </c>
      <c r="E169" s="549" t="str">
        <f>IF(A169="SERVIÇO",VLOOKUP(C169,SERVIÇOS!$A$6:$D$7697,3,0),IF(A169="INSUMO",VLOOKUP(C169,INSUMOS!$A$6:$D$4845,3,0),IF(A169="COTAÇÃO",VLOOKUP(C169,'014-22-cotação'!$A$9:$I$138,4,0),IF(A169="CCU",VLOOKUP(C169,'014-22-CCU''s'!$B$10:$H$450,4,0)))))</f>
        <v xml:space="preserve">UN    </v>
      </c>
      <c r="F169" s="557">
        <v>1</v>
      </c>
      <c r="G169" s="551">
        <f>IF(A169="SERVIÇO",VLOOKUP(C169,SERVIÇOS!$A$6:$D$7697,4,0),IF(A169="INSUMO",VLOOKUP(C169,INSUMOS!$A$6:$D$4845,4,0),IF(A169="COTAÇÃO",VLOOKUP(C169,'014-22-cotação'!$A$9:$I$138,3,0),IF(A169="CCU",VLOOKUP(C169,'014-22-CCU''s'!$B$10:$H$450,7,0)))))</f>
        <v>2323.81</v>
      </c>
      <c r="H169" s="552">
        <f t="shared" si="65"/>
        <v>0.18559999999999999</v>
      </c>
      <c r="I169" s="551">
        <f t="shared" si="66"/>
        <v>2755.109136</v>
      </c>
      <c r="J169" s="553">
        <f t="shared" si="67"/>
        <v>2755.109136</v>
      </c>
      <c r="K169" s="403"/>
      <c r="L169" s="309">
        <f t="shared" si="72"/>
        <v>2755.109136</v>
      </c>
      <c r="M169" s="309">
        <f t="shared" si="73"/>
        <v>0</v>
      </c>
      <c r="N169" s="403"/>
      <c r="O169" s="403"/>
      <c r="P169" s="403"/>
      <c r="Q169" s="403"/>
      <c r="R169" s="403"/>
      <c r="S169" s="403"/>
    </row>
    <row r="170" spans="1:19" s="404" customFormat="1" ht="38.25" x14ac:dyDescent="0.2">
      <c r="A170" s="406" t="s">
        <v>1121</v>
      </c>
      <c r="B170" s="556" t="s">
        <v>4538</v>
      </c>
      <c r="C170" s="556" t="s">
        <v>3485</v>
      </c>
      <c r="D170" s="548" t="str">
        <f>IF(A170="SERVIÇO",VLOOKUP(C170,SERVIÇOS!$A$6:$D$7697,2,0),IF(A170="INSUMO",VLOOKUP(C170,INSUMOS!$A$6:$D$4845,2,0),IF(A170="COTAÇÃO",VLOOKUP(C170,'014-22-cotação'!$A$9:$I$138,2,0),IF(A170="CCU",VLOOKUP(C170,'014-22-CCU''s'!$B$10:$H$450,2,0)))))</f>
        <v>INSTALAÇÃO DE EQUIPAMENTO SIMULADOR DE CAMINHADA TRIPLO - CONFORME ESPECIFICAÇÕES DE PROJETO.</v>
      </c>
      <c r="E170" s="549" t="str">
        <f>IF(A170="SERVIÇO",VLOOKUP(C170,SERVIÇOS!$A$6:$D$7697,3,0),IF(A170="INSUMO",VLOOKUP(C170,INSUMOS!$A$6:$D$4845,3,0),IF(A170="COTAÇÃO",VLOOKUP(C170,'014-22-cotação'!$A$9:$I$138,4,0),IF(A170="CCU",VLOOKUP(C170,'014-22-CCU''s'!$B$10:$H$450,4,0)))))</f>
        <v xml:space="preserve">UN    </v>
      </c>
      <c r="F170" s="557">
        <v>1</v>
      </c>
      <c r="G170" s="551">
        <f>IF(A170="SERVIÇO",VLOOKUP(C170,SERVIÇOS!$A$6:$D$7697,4,0),IF(A170="INSUMO",VLOOKUP(C170,INSUMOS!$A$6:$D$4845,4,0),IF(A170="COTAÇÃO",VLOOKUP(C170,'014-22-cotação'!$A$9:$I$138,3,0),IF(A170="CCU",VLOOKUP(C170,'014-22-CCU''s'!$B$10:$H$450,7,0)))))</f>
        <v>4887.33</v>
      </c>
      <c r="H170" s="552">
        <f t="shared" si="65"/>
        <v>0.18559999999999999</v>
      </c>
      <c r="I170" s="551">
        <f t="shared" si="66"/>
        <v>5794.4184479999994</v>
      </c>
      <c r="J170" s="553">
        <f t="shared" si="67"/>
        <v>5794.4184479999994</v>
      </c>
      <c r="K170" s="403"/>
      <c r="L170" s="309">
        <f t="shared" si="72"/>
        <v>5794.4184479999994</v>
      </c>
      <c r="M170" s="309">
        <f t="shared" si="73"/>
        <v>0</v>
      </c>
      <c r="N170" s="403"/>
      <c r="O170" s="403"/>
      <c r="P170" s="403"/>
      <c r="Q170" s="403"/>
      <c r="R170" s="403"/>
      <c r="S170" s="403"/>
    </row>
    <row r="171" spans="1:19" s="404" customFormat="1" ht="38.25" x14ac:dyDescent="0.2">
      <c r="A171" s="406" t="s">
        <v>1121</v>
      </c>
      <c r="B171" s="556" t="s">
        <v>4539</v>
      </c>
      <c r="C171" s="556" t="s">
        <v>3486</v>
      </c>
      <c r="D171" s="548" t="str">
        <f>IF(A171="SERVIÇO",VLOOKUP(C171,SERVIÇOS!$A$6:$D$7697,2,0),IF(A171="INSUMO",VLOOKUP(C171,INSUMOS!$A$6:$D$4845,2,0),IF(A171="COTAÇÃO",VLOOKUP(C171,'014-22-cotação'!$A$9:$I$138,2,0),IF(A171="CCU",VLOOKUP(C171,'014-22-CCU''s'!$B$10:$H$450,2,0)))))</f>
        <v>INSTALAÇÃO DE EQUIPAMENTO ROTAÇÃO DIAGONAL - RODA DE OMBRO TRIPLA - CONFORME ESPECIFICAÇÕES DE PROJETO.</v>
      </c>
      <c r="E171" s="549" t="str">
        <f>IF(A171="SERVIÇO",VLOOKUP(C171,SERVIÇOS!$A$6:$D$7697,3,0),IF(A171="INSUMO",VLOOKUP(C171,INSUMOS!$A$6:$D$4845,3,0),IF(A171="COTAÇÃO",VLOOKUP(C171,'014-22-cotação'!$A$9:$I$138,4,0),IF(A171="CCU",VLOOKUP(C171,'014-22-CCU''s'!$B$10:$H$450,4,0)))))</f>
        <v xml:space="preserve">UN    </v>
      </c>
      <c r="F171" s="557">
        <v>1</v>
      </c>
      <c r="G171" s="551">
        <f>IF(A171="SERVIÇO",VLOOKUP(C171,SERVIÇOS!$A$6:$D$7697,4,0),IF(A171="INSUMO",VLOOKUP(C171,INSUMOS!$A$6:$D$4845,4,0),IF(A171="COTAÇÃO",VLOOKUP(C171,'014-22-cotação'!$A$9:$I$138,3,0),IF(A171="CCU",VLOOKUP(C171,'014-22-CCU''s'!$B$10:$H$450,7,0)))))</f>
        <v>2477.4499999999998</v>
      </c>
      <c r="H171" s="552">
        <f t="shared" si="65"/>
        <v>0.18559999999999999</v>
      </c>
      <c r="I171" s="551">
        <f t="shared" si="66"/>
        <v>2937.2647199999997</v>
      </c>
      <c r="J171" s="553">
        <f t="shared" si="67"/>
        <v>2937.2647199999997</v>
      </c>
      <c r="K171" s="403"/>
      <c r="L171" s="309">
        <f t="shared" si="72"/>
        <v>2937.2647199999997</v>
      </c>
      <c r="M171" s="309">
        <f t="shared" si="73"/>
        <v>0</v>
      </c>
      <c r="N171" s="403"/>
      <c r="O171" s="403"/>
      <c r="P171" s="403"/>
      <c r="Q171" s="403"/>
      <c r="R171" s="403"/>
      <c r="S171" s="403"/>
    </row>
    <row r="172" spans="1:19" s="404" customFormat="1" ht="38.25" x14ac:dyDescent="0.2">
      <c r="A172" s="406" t="s">
        <v>1121</v>
      </c>
      <c r="B172" s="556" t="s">
        <v>4540</v>
      </c>
      <c r="C172" s="556" t="s">
        <v>3487</v>
      </c>
      <c r="D172" s="548" t="str">
        <f>IF(A172="SERVIÇO",VLOOKUP(C172,SERVIÇOS!$A$6:$D$7697,2,0),IF(A172="INSUMO",VLOOKUP(C172,INSUMOS!$A$6:$D$4845,2,0),IF(A172="COTAÇÃO",VLOOKUP(C172,'014-22-cotação'!$A$9:$I$138,2,0),IF(A172="CCU",VLOOKUP(C172,'014-22-CCU''s'!$B$10:$H$450,2,0)))))</f>
        <v>INSTALAÇÃO DE EQUIPAMENTO ROTAÇÃO VERTICAL - RODA TRIPLA - CONFORME ESPECIFICAÇÕES DE PROJETO.</v>
      </c>
      <c r="E172" s="549" t="str">
        <f>IF(A172="SERVIÇO",VLOOKUP(C172,SERVIÇOS!$A$6:$D$7697,3,0),IF(A172="INSUMO",VLOOKUP(C172,INSUMOS!$A$6:$D$4845,3,0),IF(A172="COTAÇÃO",VLOOKUP(C172,'014-22-cotação'!$A$9:$I$138,4,0),IF(A172="CCU",VLOOKUP(C172,'014-22-CCU''s'!$B$10:$H$450,4,0)))))</f>
        <v xml:space="preserve">UN    </v>
      </c>
      <c r="F172" s="557">
        <v>1</v>
      </c>
      <c r="G172" s="551">
        <f>IF(A172="SERVIÇO",VLOOKUP(C172,SERVIÇOS!$A$6:$D$7697,4,0),IF(A172="INSUMO",VLOOKUP(C172,INSUMOS!$A$6:$D$4845,4,0),IF(A172="COTAÇÃO",VLOOKUP(C172,'014-22-cotação'!$A$9:$I$138,3,0),IF(A172="CCU",VLOOKUP(C172,'014-22-CCU''s'!$B$10:$H$450,7,0)))))</f>
        <v>2318.46</v>
      </c>
      <c r="H172" s="552">
        <f t="shared" si="65"/>
        <v>0.18559999999999999</v>
      </c>
      <c r="I172" s="551">
        <f t="shared" si="66"/>
        <v>2748.7661760000001</v>
      </c>
      <c r="J172" s="553">
        <f t="shared" si="67"/>
        <v>2748.7661760000001</v>
      </c>
      <c r="K172" s="403"/>
      <c r="L172" s="309">
        <f t="shared" si="72"/>
        <v>2748.7661760000001</v>
      </c>
      <c r="M172" s="309">
        <f t="shared" si="73"/>
        <v>0</v>
      </c>
      <c r="N172" s="403"/>
      <c r="O172" s="403"/>
      <c r="P172" s="403"/>
      <c r="Q172" s="403"/>
      <c r="R172" s="403"/>
      <c r="S172" s="403"/>
    </row>
    <row r="173" spans="1:19" s="404" customFormat="1" ht="38.25" x14ac:dyDescent="0.2">
      <c r="A173" s="406" t="s">
        <v>1121</v>
      </c>
      <c r="B173" s="556" t="s">
        <v>4541</v>
      </c>
      <c r="C173" s="556" t="s">
        <v>3488</v>
      </c>
      <c r="D173" s="548" t="str">
        <f>IF(A173="SERVIÇO",VLOOKUP(C173,SERVIÇOS!$A$6:$D$7697,2,0),IF(A173="INSUMO",VLOOKUP(C173,INSUMOS!$A$6:$D$4845,2,0),IF(A173="COTAÇÃO",VLOOKUP(C173,'014-22-cotação'!$A$9:$I$138,2,0),IF(A173="CCU",VLOOKUP(C173,'014-22-CCU''s'!$B$10:$H$450,2,0)))))</f>
        <v>INSTALAÇÃO DE EQUIPAMENTO TWIST LATERAL DUPLO - CONFORME ESPECIFICAÇÕES DE PROJETO.</v>
      </c>
      <c r="E173" s="549" t="str">
        <f>IF(A173="SERVIÇO",VLOOKUP(C173,SERVIÇOS!$A$6:$D$7697,3,0),IF(A173="INSUMO",VLOOKUP(C173,INSUMOS!$A$6:$D$4845,3,0),IF(A173="COTAÇÃO",VLOOKUP(C173,'014-22-cotação'!$A$9:$I$138,4,0),IF(A173="CCU",VLOOKUP(C173,'014-22-CCU''s'!$B$10:$H$450,4,0)))))</f>
        <v xml:space="preserve">UN    </v>
      </c>
      <c r="F173" s="557">
        <v>1</v>
      </c>
      <c r="G173" s="551">
        <f>IF(A173="SERVIÇO",VLOOKUP(C173,SERVIÇOS!$A$6:$D$7697,4,0),IF(A173="INSUMO",VLOOKUP(C173,INSUMOS!$A$6:$D$4845,4,0),IF(A173="COTAÇÃO",VLOOKUP(C173,'014-22-cotação'!$A$9:$I$138,3,0),IF(A173="CCU",VLOOKUP(C173,'014-22-CCU''s'!$B$10:$H$450,7,0)))))</f>
        <v>2754.15</v>
      </c>
      <c r="H173" s="552">
        <f t="shared" si="65"/>
        <v>0.18559999999999999</v>
      </c>
      <c r="I173" s="551">
        <f t="shared" si="66"/>
        <v>3265.32024</v>
      </c>
      <c r="J173" s="553">
        <f t="shared" si="67"/>
        <v>3265.32024</v>
      </c>
      <c r="K173" s="403"/>
      <c r="L173" s="309">
        <f t="shared" si="72"/>
        <v>3265.32024</v>
      </c>
      <c r="M173" s="309">
        <f t="shared" si="73"/>
        <v>0</v>
      </c>
      <c r="N173" s="403"/>
      <c r="O173" s="403"/>
      <c r="P173" s="403"/>
      <c r="Q173" s="403"/>
      <c r="R173" s="403"/>
      <c r="S173" s="403"/>
    </row>
    <row r="174" spans="1:19" s="404" customFormat="1" ht="63.75" x14ac:dyDescent="0.2">
      <c r="A174" s="406" t="s">
        <v>1120</v>
      </c>
      <c r="B174" s="556" t="s">
        <v>4542</v>
      </c>
      <c r="C174" s="556">
        <v>103195</v>
      </c>
      <c r="D174" s="548" t="str">
        <f>IF(A174="SERVIÇO",VLOOKUP(C174,SERVIÇOS!$A$6:$D$7697,2,0),IF(A174="INSUMO",VLOOKUP(C174,INSUMOS!$A$6:$D$4845,2,0),IF(A174="COTAÇÃO",VLOOKUP(C174,'014-22-cotação'!$A$9:$I$138,2,0),IF(A174="CCU",VLOOKUP(C174,'014-22-CCU''s'!$B$10:$H$450,2,0)))))</f>
        <v>INSTALAÇÃO DE PLACA ORIENTATIVA SOBRE EXERCÍCIOS, 2,00M X 1,00M, EM TUBO DE AÇO CARBONO - PARA ACADEMIA AO AR LIVRE / ACADEMIA DA TERCEIRA IDADE - ATI, INSTALADO SOBRE SOLO. AF_10/2021</v>
      </c>
      <c r="E174" s="549" t="str">
        <f>IF(A174="SERVIÇO",VLOOKUP(C174,SERVIÇOS!$A$6:$D$7697,3,0),IF(A174="INSUMO",VLOOKUP(C174,INSUMOS!$A$6:$D$4845,3,0),IF(A174="COTAÇÃO",VLOOKUP(C174,'014-22-cotação'!$A$9:$I$138,4,0),IF(A174="CCU",VLOOKUP(C174,'014-22-CCU''s'!$B$10:$H$450,4,0)))))</f>
        <v>UN</v>
      </c>
      <c r="F174" s="557">
        <v>1</v>
      </c>
      <c r="G174" s="551">
        <f>IF(A174="SERVIÇO",VLOOKUP(C174,SERVIÇOS!$A$6:$D$7697,4,0),IF(A174="INSUMO",VLOOKUP(C174,INSUMOS!$A$6:$D$4845,4,0),IF(A174="COTAÇÃO",VLOOKUP(C174,'014-22-cotação'!$A$9:$I$138,3,0),IF(A174="CCU",VLOOKUP(C174,'014-22-CCU''s'!$B$10:$H$450,7,0)))))</f>
        <v>2214.87</v>
      </c>
      <c r="H174" s="552">
        <f t="shared" si="65"/>
        <v>0.18559999999999999</v>
      </c>
      <c r="I174" s="551">
        <f t="shared" si="66"/>
        <v>2625.9498719999997</v>
      </c>
      <c r="J174" s="553">
        <f t="shared" si="67"/>
        <v>2625.9498719999997</v>
      </c>
      <c r="K174" s="403"/>
      <c r="L174" s="309">
        <f t="shared" ref="L174:L175" si="74">I174*F174</f>
        <v>2625.9498719999997</v>
      </c>
      <c r="M174" s="309">
        <f t="shared" ref="M174:M175" si="75">L174-J174</f>
        <v>0</v>
      </c>
      <c r="N174" s="403"/>
      <c r="O174" s="403"/>
      <c r="P174" s="403"/>
      <c r="Q174" s="403"/>
      <c r="R174" s="403"/>
      <c r="S174" s="403"/>
    </row>
    <row r="175" spans="1:19" s="404" customFormat="1" ht="25.5" x14ac:dyDescent="0.2">
      <c r="A175" s="406" t="s">
        <v>1121</v>
      </c>
      <c r="B175" s="556" t="s">
        <v>4543</v>
      </c>
      <c r="C175" s="556" t="s">
        <v>3489</v>
      </c>
      <c r="D175" s="548" t="str">
        <f>IF(A175="SERVIÇO",VLOOKUP(C175,SERVIÇOS!$A$6:$D$7697,2,0),IF(A175="INSUMO",VLOOKUP(C175,INSUMOS!$A$6:$D$4845,2,0),IF(A175="COTAÇÃO",VLOOKUP(C175,'014-22-cotação'!$A$9:$I$138,2,0),IF(A175="CCU",VLOOKUP(C175,'014-22-CCU''s'!$B$10:$H$450,2,0)))))</f>
        <v xml:space="preserve">FORNECIMENTO DE PARABOLT DE 2.1/2" PARA FIXAÇÃO DE EQUIPAMENTOS </v>
      </c>
      <c r="E175" s="549" t="str">
        <f>IF(A175="SERVIÇO",VLOOKUP(C175,SERVIÇOS!$A$6:$D$7697,3,0),IF(A175="INSUMO",VLOOKUP(C175,INSUMOS!$A$6:$D$4845,3,0),IF(A175="COTAÇÃO",VLOOKUP(C175,'014-22-cotação'!$A$9:$I$138,4,0),IF(A175="CCU",VLOOKUP(C175,'014-22-CCU''s'!$B$10:$H$450,4,0)))))</f>
        <v xml:space="preserve">UN </v>
      </c>
      <c r="F175" s="557">
        <v>76</v>
      </c>
      <c r="G175" s="551">
        <f>IF(A175="SERVIÇO",VLOOKUP(C175,SERVIÇOS!$A$6:$D$7697,4,0),IF(A175="INSUMO",VLOOKUP(C175,INSUMOS!$A$6:$D$4845,4,0),IF(A175="COTAÇÃO",VLOOKUP(C175,'014-22-cotação'!$A$9:$I$138,3,0),IF(A175="CCU",VLOOKUP(C175,'014-22-CCU''s'!$B$10:$H$450,7,0)))))</f>
        <v>10.45</v>
      </c>
      <c r="H175" s="552">
        <f t="shared" si="65"/>
        <v>0.18559999999999999</v>
      </c>
      <c r="I175" s="551">
        <f t="shared" si="66"/>
        <v>12.389519999999999</v>
      </c>
      <c r="J175" s="553">
        <f t="shared" si="67"/>
        <v>941.60351999999989</v>
      </c>
      <c r="K175" s="403"/>
      <c r="L175" s="309">
        <f t="shared" si="74"/>
        <v>941.60351999999989</v>
      </c>
      <c r="M175" s="309">
        <f t="shared" si="75"/>
        <v>0</v>
      </c>
      <c r="N175" s="403"/>
      <c r="O175" s="403"/>
      <c r="P175" s="403"/>
      <c r="Q175" s="403"/>
      <c r="R175" s="403"/>
      <c r="S175" s="403"/>
    </row>
    <row r="176" spans="1:19" s="62" customFormat="1" ht="12.75" customHeight="1" x14ac:dyDescent="0.2">
      <c r="A176" s="199"/>
      <c r="B176" s="273"/>
      <c r="C176" s="273"/>
      <c r="D176" s="280"/>
      <c r="E176" s="273"/>
      <c r="F176" s="290"/>
      <c r="G176" s="290"/>
      <c r="H176" s="290"/>
      <c r="I176" s="290"/>
      <c r="J176" s="291"/>
      <c r="K176" s="213"/>
      <c r="L176" s="307">
        <f t="shared" ref="L176:L177" si="76">I176*F176</f>
        <v>0</v>
      </c>
      <c r="M176" s="307">
        <f t="shared" ref="M176:M177" si="77">L176-J176</f>
        <v>0</v>
      </c>
      <c r="N176" s="213"/>
      <c r="O176" s="213"/>
      <c r="P176" s="213"/>
      <c r="Q176" s="213"/>
      <c r="R176" s="213"/>
      <c r="S176" s="213"/>
    </row>
    <row r="177" spans="1:19" s="62" customFormat="1" ht="12.75" customHeight="1" x14ac:dyDescent="0.2">
      <c r="A177" s="199"/>
      <c r="B177" s="206" t="s">
        <v>3526</v>
      </c>
      <c r="C177" s="206"/>
      <c r="D177" s="279" t="s">
        <v>3510</v>
      </c>
      <c r="E177" s="288"/>
      <c r="F177" s="288"/>
      <c r="G177" s="317"/>
      <c r="H177" s="288"/>
      <c r="I177" s="317"/>
      <c r="J177" s="289"/>
      <c r="K177" s="213"/>
      <c r="L177" s="307">
        <f t="shared" si="76"/>
        <v>0</v>
      </c>
      <c r="M177" s="307">
        <f t="shared" si="77"/>
        <v>0</v>
      </c>
      <c r="N177" s="213"/>
      <c r="O177" s="213"/>
      <c r="P177" s="213"/>
      <c r="Q177" s="213"/>
      <c r="R177" s="213"/>
      <c r="S177" s="213"/>
    </row>
    <row r="178" spans="1:19" s="404" customFormat="1" ht="38.25" x14ac:dyDescent="0.2">
      <c r="A178" s="406" t="s">
        <v>1121</v>
      </c>
      <c r="B178" s="556" t="s">
        <v>3527</v>
      </c>
      <c r="C178" s="556" t="s">
        <v>3490</v>
      </c>
      <c r="D178" s="548" t="str">
        <f>IF(A178="SERVIÇO",VLOOKUP(C178,SERVIÇOS!$A$6:$D$7697,2,0),IF(A178="INSUMO",VLOOKUP(C178,INSUMOS!$A$6:$D$4845,2,0),IF(A178="COTAÇÃO",VLOOKUP(C178,'014-22-cotação'!$A$9:$I$138,2,0),IF(A178="CCU",VLOOKUP(C178,'014-22-CCU''s'!$B$10:$H$450,2,0)))))</f>
        <v>ABERTURA E ADUBAÇÃO DE COVA COM 0,80M DE DIÂMETRO E 0,8M DE PROFUNDIDADE, PARA PLANTIO DE ÁRVORES</v>
      </c>
      <c r="E178" s="549" t="str">
        <f>IF(A178="SERVIÇO",VLOOKUP(C178,SERVIÇOS!$A$6:$D$7697,3,0),IF(A178="INSUMO",VLOOKUP(C178,INSUMOS!$A$6:$D$4845,3,0),IF(A178="COTAÇÃO",VLOOKUP(C178,'014-22-cotação'!$A$9:$I$138,4,0),IF(A178="CCU",VLOOKUP(C178,'014-22-CCU''s'!$B$10:$H$450,4,0)))))</f>
        <v xml:space="preserve">UN </v>
      </c>
      <c r="F178" s="557">
        <v>41</v>
      </c>
      <c r="G178" s="551">
        <f>IF(A178="SERVIÇO",VLOOKUP(C178,SERVIÇOS!$A$6:$D$7697,4,0),IF(A178="INSUMO",VLOOKUP(C178,INSUMOS!$A$6:$D$4845,4,0),IF(A178="COTAÇÃO",VLOOKUP(C178,'014-22-cotação'!$A$9:$I$138,3,0),IF(A178="CCU",VLOOKUP(C178,'014-22-CCU''s'!$B$10:$H$450,7,0)))))</f>
        <v>111.68</v>
      </c>
      <c r="H178" s="552">
        <f t="shared" ref="H178:H186" si="78">$F$9</f>
        <v>0.18559999999999999</v>
      </c>
      <c r="I178" s="551">
        <f t="shared" ref="I178:I186" si="79">(G178*(1+H178))</f>
        <v>132.40780800000002</v>
      </c>
      <c r="J178" s="553">
        <f t="shared" ref="J178:J186" si="80">I178*F178</f>
        <v>5428.7201280000008</v>
      </c>
      <c r="K178" s="403"/>
      <c r="L178" s="309">
        <f t="shared" ref="L178" si="81">I178*F178</f>
        <v>5428.7201280000008</v>
      </c>
      <c r="M178" s="309">
        <f t="shared" ref="M178" si="82">L178-J178</f>
        <v>0</v>
      </c>
      <c r="N178" s="403"/>
      <c r="O178" s="403"/>
      <c r="P178" s="403"/>
      <c r="Q178" s="403"/>
      <c r="R178" s="403"/>
      <c r="S178" s="403"/>
    </row>
    <row r="179" spans="1:19" s="404" customFormat="1" ht="38.25" x14ac:dyDescent="0.2">
      <c r="A179" s="406" t="s">
        <v>1121</v>
      </c>
      <c r="B179" s="556" t="s">
        <v>3528</v>
      </c>
      <c r="C179" s="556" t="s">
        <v>3491</v>
      </c>
      <c r="D179" s="548" t="str">
        <f>IF(A179="SERVIÇO",VLOOKUP(C179,SERVIÇOS!$A$6:$D$7697,2,0),IF(A179="INSUMO",VLOOKUP(C179,INSUMOS!$A$6:$D$4845,2,0),IF(A179="COTAÇÃO",VLOOKUP(C179,'014-22-cotação'!$A$9:$I$138,2,0),IF(A179="CCU",VLOOKUP(C179,'014-22-CCU''s'!$B$10:$H$450,2,0)))))</f>
        <v>ABERTURA E ADUBAÇÃO DE COVA COM 0,40M DE DIÂMETRO E 0,4M DE PROFUNDIDADE, PARA PLANTIO DE ARBUSTOS</v>
      </c>
      <c r="E179" s="549" t="str">
        <f>IF(A179="SERVIÇO",VLOOKUP(C179,SERVIÇOS!$A$6:$D$7697,3,0),IF(A179="INSUMO",VLOOKUP(C179,INSUMOS!$A$6:$D$4845,3,0),IF(A179="COTAÇÃO",VLOOKUP(C179,'014-22-cotação'!$A$9:$I$138,4,0),IF(A179="CCU",VLOOKUP(C179,'014-22-CCU''s'!$B$10:$H$450,4,0)))))</f>
        <v xml:space="preserve">UN </v>
      </c>
      <c r="F179" s="557">
        <v>123</v>
      </c>
      <c r="G179" s="551">
        <f>IF(A179="SERVIÇO",VLOOKUP(C179,SERVIÇOS!$A$6:$D$7697,4,0),IF(A179="INSUMO",VLOOKUP(C179,INSUMOS!$A$6:$D$4845,4,0),IF(A179="COTAÇÃO",VLOOKUP(C179,'014-22-cotação'!$A$9:$I$138,3,0),IF(A179="CCU",VLOOKUP(C179,'014-22-CCU''s'!$B$10:$H$450,7,0)))))</f>
        <v>13.95</v>
      </c>
      <c r="H179" s="552">
        <f t="shared" si="78"/>
        <v>0.18559999999999999</v>
      </c>
      <c r="I179" s="551">
        <f t="shared" si="79"/>
        <v>16.53912</v>
      </c>
      <c r="J179" s="553">
        <f t="shared" si="80"/>
        <v>2034.31176</v>
      </c>
      <c r="K179" s="403"/>
      <c r="L179" s="309">
        <f t="shared" ref="L179" si="83">I179*F179</f>
        <v>2034.31176</v>
      </c>
      <c r="M179" s="309">
        <f t="shared" ref="M179" si="84">L179-J179</f>
        <v>0</v>
      </c>
      <c r="N179" s="403"/>
      <c r="O179" s="403"/>
      <c r="P179" s="403"/>
      <c r="Q179" s="403"/>
      <c r="R179" s="403"/>
      <c r="S179" s="403"/>
    </row>
    <row r="180" spans="1:19" s="404" customFormat="1" ht="25.5" x14ac:dyDescent="0.2">
      <c r="A180" s="406" t="s">
        <v>1120</v>
      </c>
      <c r="B180" s="556" t="s">
        <v>3897</v>
      </c>
      <c r="C180" s="556">
        <v>98516</v>
      </c>
      <c r="D180" s="548" t="str">
        <f>IF(A180="SERVIÇO",VLOOKUP(C180,SERVIÇOS!$A$6:$D$7697,2,0),IF(A180="INSUMO",VLOOKUP(C180,INSUMOS!$A$6:$D$4845,2,0),IF(A180="COTAÇÃO",VLOOKUP(C180,'014-22-cotação'!$A$9:$I$138,2,0),IF(A180="CCU",VLOOKUP(C180,'014-22-CCU''s'!$B$10:$H$450,2,0)))))</f>
        <v>PLANTIO DE PALMEIRA COM ALTURA DE MUDA MENOR OU IGUAL A 2,00 M. AF_05/2018</v>
      </c>
      <c r="E180" s="549" t="str">
        <f>IF(A180="SERVIÇO",VLOOKUP(C180,SERVIÇOS!$A$6:$D$7697,3,0),IF(A180="INSUMO",VLOOKUP(C180,INSUMOS!$A$6:$D$4845,3,0),IF(A180="COTAÇÃO",VLOOKUP(C180,'014-22-cotação'!$A$9:$I$138,4,0),IF(A180="CCU",VLOOKUP(C180,'014-22-CCU''s'!$B$10:$H$450,4,0)))))</f>
        <v>UN</v>
      </c>
      <c r="F180" s="557">
        <v>37</v>
      </c>
      <c r="G180" s="551">
        <f>IF(A180="SERVIÇO",VLOOKUP(C180,SERVIÇOS!$A$6:$D$7697,4,0),IF(A180="INSUMO",VLOOKUP(C180,INSUMOS!$A$6:$D$4845,4,0),IF(A180="COTAÇÃO",VLOOKUP(C180,'014-22-cotação'!$A$9:$I$138,3,0),IF(A180="CCU",VLOOKUP(C180,'014-22-CCU''s'!$B$10:$H$450,7,0)))))</f>
        <v>396.49</v>
      </c>
      <c r="H180" s="552">
        <f t="shared" si="78"/>
        <v>0.18559999999999999</v>
      </c>
      <c r="I180" s="551">
        <f t="shared" si="79"/>
        <v>470.07854400000002</v>
      </c>
      <c r="J180" s="553">
        <f t="shared" si="80"/>
        <v>17392.906128000002</v>
      </c>
      <c r="K180" s="403"/>
      <c r="L180" s="309">
        <f>I180*F180</f>
        <v>17392.906128000002</v>
      </c>
      <c r="M180" s="309">
        <f>L180-J180</f>
        <v>0</v>
      </c>
      <c r="N180" s="403"/>
      <c r="O180" s="403"/>
      <c r="P180" s="403"/>
      <c r="Q180" s="403"/>
      <c r="R180" s="403"/>
      <c r="S180" s="403"/>
    </row>
    <row r="181" spans="1:19" s="404" customFormat="1" ht="38.25" x14ac:dyDescent="0.2">
      <c r="A181" s="406" t="s">
        <v>1120</v>
      </c>
      <c r="B181" s="556" t="s">
        <v>3898</v>
      </c>
      <c r="C181" s="556">
        <v>98510</v>
      </c>
      <c r="D181" s="548" t="str">
        <f>IF(A181="SERVIÇO",VLOOKUP(C181,SERVIÇOS!$A$6:$D$7697,2,0),IF(A181="INSUMO",VLOOKUP(C181,INSUMOS!$A$6:$D$4845,2,0),IF(A181="COTAÇÃO",VLOOKUP(C181,'014-22-cotação'!$A$9:$I$138,2,0),IF(A181="CCU",VLOOKUP(C181,'014-22-CCU''s'!$B$10:$H$450,2,0)))))</f>
        <v>PLANTIO DE ÁRVORE ORNAMENTAL COM ALTURA DE MUDA MENOR OU IGUAL A 2,00 M. AF_05/2018</v>
      </c>
      <c r="E181" s="549" t="str">
        <f>IF(A181="SERVIÇO",VLOOKUP(C181,SERVIÇOS!$A$6:$D$7697,3,0),IF(A181="INSUMO",VLOOKUP(C181,INSUMOS!$A$6:$D$4845,3,0),IF(A181="COTAÇÃO",VLOOKUP(C181,'014-22-cotação'!$A$9:$I$138,4,0),IF(A181="CCU",VLOOKUP(C181,'014-22-CCU''s'!$B$10:$H$450,4,0)))))</f>
        <v>UN</v>
      </c>
      <c r="F181" s="557">
        <v>4</v>
      </c>
      <c r="G181" s="551">
        <f>IF(A181="SERVIÇO",VLOOKUP(C181,SERVIÇOS!$A$6:$D$7697,4,0),IF(A181="INSUMO",VLOOKUP(C181,INSUMOS!$A$6:$D$4845,4,0),IF(A181="COTAÇÃO",VLOOKUP(C181,'014-22-cotação'!$A$9:$I$138,3,0),IF(A181="CCU",VLOOKUP(C181,'014-22-CCU''s'!$B$10:$H$450,7,0)))))</f>
        <v>80.5</v>
      </c>
      <c r="H181" s="552">
        <f t="shared" si="78"/>
        <v>0.18559999999999999</v>
      </c>
      <c r="I181" s="551">
        <f t="shared" si="79"/>
        <v>95.440799999999996</v>
      </c>
      <c r="J181" s="553">
        <f t="shared" si="80"/>
        <v>381.76319999999998</v>
      </c>
      <c r="K181" s="403"/>
      <c r="L181" s="309">
        <f>I181*F181</f>
        <v>381.76319999999998</v>
      </c>
      <c r="M181" s="309">
        <f>L181-J181</f>
        <v>0</v>
      </c>
      <c r="N181" s="403"/>
      <c r="O181" s="403"/>
      <c r="P181" s="403"/>
      <c r="Q181" s="403"/>
      <c r="R181" s="403"/>
      <c r="S181" s="403"/>
    </row>
    <row r="182" spans="1:19" s="404" customFormat="1" ht="25.5" x14ac:dyDescent="0.2">
      <c r="A182" s="406" t="s">
        <v>1120</v>
      </c>
      <c r="B182" s="556" t="s">
        <v>4580</v>
      </c>
      <c r="C182" s="556">
        <v>98509</v>
      </c>
      <c r="D182" s="548" t="str">
        <f>IF(A182="SERVIÇO",VLOOKUP(C182,SERVIÇOS!$A$6:$D$7697,2,0),IF(A182="INSUMO",VLOOKUP(C182,INSUMOS!$A$6:$D$4845,2,0),IF(A182="COTAÇÃO",VLOOKUP(C182,'014-22-cotação'!$A$9:$I$138,2,0),IF(A182="CCU",VLOOKUP(C182,'014-22-CCU''s'!$B$10:$H$450,2,0)))))</f>
        <v>PLANTIO DE ARBUSTO OU  CERCA VIVA. AF_05/2018</v>
      </c>
      <c r="E182" s="549" t="str">
        <f>IF(A182="SERVIÇO",VLOOKUP(C182,SERVIÇOS!$A$6:$D$7697,3,0),IF(A182="INSUMO",VLOOKUP(C182,INSUMOS!$A$6:$D$4845,3,0),IF(A182="COTAÇÃO",VLOOKUP(C182,'014-22-cotação'!$A$9:$I$138,4,0),IF(A182="CCU",VLOOKUP(C182,'014-22-CCU''s'!$B$10:$H$450,4,0)))))</f>
        <v>UN</v>
      </c>
      <c r="F182" s="557">
        <v>120</v>
      </c>
      <c r="G182" s="551">
        <f>IF(A182="SERVIÇO",VLOOKUP(C182,SERVIÇOS!$A$6:$D$7697,4,0),IF(A182="INSUMO",VLOOKUP(C182,INSUMOS!$A$6:$D$4845,4,0),IF(A182="COTAÇÃO",VLOOKUP(C182,'014-22-cotação'!$A$9:$I$138,3,0),IF(A182="CCU",VLOOKUP(C182,'014-22-CCU''s'!$B$10:$H$450,7,0)))))</f>
        <v>52.07</v>
      </c>
      <c r="H182" s="552">
        <f t="shared" si="78"/>
        <v>0.18559999999999999</v>
      </c>
      <c r="I182" s="551">
        <f t="shared" si="79"/>
        <v>61.734192</v>
      </c>
      <c r="J182" s="553">
        <f t="shared" si="80"/>
        <v>7408.10304</v>
      </c>
      <c r="K182" s="403"/>
      <c r="L182" s="309">
        <f>I182*F182</f>
        <v>7408.10304</v>
      </c>
      <c r="M182" s="309">
        <f>L182-J182</f>
        <v>0</v>
      </c>
      <c r="N182" s="403"/>
      <c r="O182" s="403"/>
      <c r="P182" s="403"/>
      <c r="Q182" s="403"/>
      <c r="R182" s="403"/>
      <c r="S182" s="403"/>
    </row>
    <row r="183" spans="1:19" s="404" customFormat="1" ht="38.25" x14ac:dyDescent="0.2">
      <c r="A183" s="406" t="s">
        <v>1121</v>
      </c>
      <c r="B183" s="556" t="s">
        <v>4581</v>
      </c>
      <c r="C183" s="556" t="s">
        <v>3492</v>
      </c>
      <c r="D183" s="548" t="str">
        <f>IF(A183="SERVIÇO",VLOOKUP(C183,SERVIÇOS!$A$6:$D$7697,2,0),IF(A183="INSUMO",VLOOKUP(C183,INSUMOS!$A$6:$D$4845,2,0),IF(A183="COTAÇÃO",VLOOKUP(C183,'014-22-cotação'!$A$9:$I$138,2,0),IF(A183="CCU",VLOOKUP(C183,'014-22-CCU''s'!$B$10:$H$450,2,0)))))</f>
        <v>TRANSPLANTE DE ARBUSTO COM ABERTURA E ADUBAÇÃO DE COVA COM 0,40M DE DIÂMETRO E 0,4M DE PROFUNDIDADE</v>
      </c>
      <c r="E183" s="549" t="str">
        <f>IF(A183="SERVIÇO",VLOOKUP(C183,SERVIÇOS!$A$6:$D$7697,3,0),IF(A183="INSUMO",VLOOKUP(C183,INSUMOS!$A$6:$D$4845,3,0),IF(A183="COTAÇÃO",VLOOKUP(C183,'014-22-cotação'!$A$9:$I$138,4,0),IF(A183="CCU",VLOOKUP(C183,'014-22-CCU''s'!$B$10:$H$450,4,0)))))</f>
        <v xml:space="preserve">UN </v>
      </c>
      <c r="F183" s="557">
        <v>3</v>
      </c>
      <c r="G183" s="551">
        <f>IF(A183="SERVIÇO",VLOOKUP(C183,SERVIÇOS!$A$6:$D$7697,4,0),IF(A183="INSUMO",VLOOKUP(C183,INSUMOS!$A$6:$D$4845,4,0),IF(A183="COTAÇÃO",VLOOKUP(C183,'014-22-cotação'!$A$9:$I$138,3,0),IF(A183="CCU",VLOOKUP(C183,'014-22-CCU''s'!$B$10:$H$450,7,0)))))</f>
        <v>21.68</v>
      </c>
      <c r="H183" s="552">
        <f t="shared" si="78"/>
        <v>0.18559999999999999</v>
      </c>
      <c r="I183" s="551">
        <f t="shared" si="79"/>
        <v>25.703807999999999</v>
      </c>
      <c r="J183" s="553">
        <f t="shared" si="80"/>
        <v>77.111424</v>
      </c>
      <c r="K183" s="403"/>
      <c r="L183" s="309">
        <f t="shared" si="40"/>
        <v>77.111424</v>
      </c>
      <c r="M183" s="309">
        <f t="shared" si="41"/>
        <v>0</v>
      </c>
      <c r="N183" s="403"/>
      <c r="O183" s="403"/>
      <c r="P183" s="403"/>
      <c r="Q183" s="403"/>
      <c r="R183" s="403"/>
      <c r="S183" s="403"/>
    </row>
    <row r="184" spans="1:19" s="404" customFormat="1" x14ac:dyDescent="0.2">
      <c r="A184" s="406" t="s">
        <v>1121</v>
      </c>
      <c r="B184" s="556" t="s">
        <v>4582</v>
      </c>
      <c r="C184" s="556" t="s">
        <v>3493</v>
      </c>
      <c r="D184" s="548" t="str">
        <f>IF(A184="SERVIÇO",VLOOKUP(C184,SERVIÇOS!$A$6:$D$7697,2,0),IF(A184="INSUMO",VLOOKUP(C184,INSUMOS!$A$6:$D$4845,2,0),IF(A184="COTAÇÃO",VLOOKUP(C184,'014-22-cotação'!$A$9:$I$138,2,0),IF(A184="CCU",VLOOKUP(C184,'014-22-CCU''s'!$B$10:$H$450,2,0)))))</f>
        <v>PLANTIO DE ERVAS MENOR OU IGUAL A 40CM</v>
      </c>
      <c r="E184" s="549" t="str">
        <f>IF(A184="SERVIÇO",VLOOKUP(C184,SERVIÇOS!$A$6:$D$7697,3,0),IF(A184="INSUMO",VLOOKUP(C184,INSUMOS!$A$6:$D$4845,3,0),IF(A184="COTAÇÃO",VLOOKUP(C184,'014-22-cotação'!$A$9:$I$138,4,0),IF(A184="CCU",VLOOKUP(C184,'014-22-CCU''s'!$B$10:$H$450,4,0)))))</f>
        <v>M3</v>
      </c>
      <c r="F184" s="557">
        <v>232</v>
      </c>
      <c r="G184" s="551">
        <f>IF(A184="SERVIÇO",VLOOKUP(C184,SERVIÇOS!$A$6:$D$7697,4,0),IF(A184="INSUMO",VLOOKUP(C184,INSUMOS!$A$6:$D$4845,4,0),IF(A184="COTAÇÃO",VLOOKUP(C184,'014-22-cotação'!$A$9:$I$138,3,0),IF(A184="CCU",VLOOKUP(C184,'014-22-CCU''s'!$B$10:$H$450,7,0)))))</f>
        <v>5.83</v>
      </c>
      <c r="H184" s="552">
        <f t="shared" si="78"/>
        <v>0.18559999999999999</v>
      </c>
      <c r="I184" s="551">
        <f t="shared" si="79"/>
        <v>6.9120480000000004</v>
      </c>
      <c r="J184" s="553">
        <f t="shared" si="80"/>
        <v>1603.5951360000001</v>
      </c>
      <c r="K184" s="403"/>
      <c r="L184" s="309">
        <f t="shared" ref="L184" si="85">I184*F184</f>
        <v>1603.5951360000001</v>
      </c>
      <c r="M184" s="309">
        <f t="shared" ref="M184" si="86">L184-J184</f>
        <v>0</v>
      </c>
      <c r="N184" s="403"/>
      <c r="O184" s="403"/>
      <c r="P184" s="403"/>
      <c r="Q184" s="403"/>
      <c r="R184" s="403"/>
      <c r="S184" s="403"/>
    </row>
    <row r="185" spans="1:19" s="404" customFormat="1" ht="25.5" x14ac:dyDescent="0.2">
      <c r="A185" s="406" t="s">
        <v>1121</v>
      </c>
      <c r="B185" s="556" t="s">
        <v>4583</v>
      </c>
      <c r="C185" s="556" t="s">
        <v>3494</v>
      </c>
      <c r="D185" s="548" t="str">
        <f>IF(A185="SERVIÇO",VLOOKUP(C185,SERVIÇOS!$A$6:$D$7697,2,0),IF(A185="INSUMO",VLOOKUP(C185,INSUMOS!$A$6:$D$4845,2,0),IF(A185="COTAÇÃO",VLOOKUP(C185,'014-22-cotação'!$A$9:$I$138,2,0),IF(A185="CCU",VLOOKUP(C185,'014-22-CCU''s'!$B$10:$H$450,2,0)))))</f>
        <v>FORNECIMENTO E ESPALHAMENTO DE TERRA VEGETAL PREPARADA</v>
      </c>
      <c r="E185" s="549" t="str">
        <f>IF(A185="SERVIÇO",VLOOKUP(C185,SERVIÇOS!$A$6:$D$7697,3,0),IF(A185="INSUMO",VLOOKUP(C185,INSUMOS!$A$6:$D$4845,3,0),IF(A185="COTAÇÃO",VLOOKUP(C185,'014-22-cotação'!$A$9:$I$138,4,0),IF(A185="CCU",VLOOKUP(C185,'014-22-CCU''s'!$B$10:$H$450,4,0)))))</f>
        <v>M3</v>
      </c>
      <c r="F185" s="557">
        <f>F186*0.05</f>
        <v>275.70999999999998</v>
      </c>
      <c r="G185" s="551">
        <f>IF(A185="SERVIÇO",VLOOKUP(C185,SERVIÇOS!$A$6:$D$7697,4,0),IF(A185="INSUMO",VLOOKUP(C185,INSUMOS!$A$6:$D$4845,4,0),IF(A185="COTAÇÃO",VLOOKUP(C185,'014-22-cotação'!$A$9:$I$138,3,0),IF(A185="CCU",VLOOKUP(C185,'014-22-CCU''s'!$B$10:$H$450,7,0)))))</f>
        <v>185.18</v>
      </c>
      <c r="H185" s="552">
        <f t="shared" si="78"/>
        <v>0.18559999999999999</v>
      </c>
      <c r="I185" s="551">
        <f t="shared" si="79"/>
        <v>219.549408</v>
      </c>
      <c r="J185" s="553">
        <f t="shared" si="80"/>
        <v>60531.967279679993</v>
      </c>
      <c r="K185" s="403"/>
      <c r="L185" s="309">
        <f t="shared" ref="L185" si="87">I185*F185</f>
        <v>60531.967279679993</v>
      </c>
      <c r="M185" s="309">
        <f t="shared" ref="M185" si="88">L185-J185</f>
        <v>0</v>
      </c>
      <c r="N185" s="403"/>
      <c r="O185" s="403"/>
      <c r="P185" s="403"/>
      <c r="Q185" s="403"/>
      <c r="R185" s="403"/>
      <c r="S185" s="403"/>
    </row>
    <row r="186" spans="1:19" s="404" customFormat="1" ht="25.5" x14ac:dyDescent="0.2">
      <c r="A186" s="406" t="s">
        <v>1120</v>
      </c>
      <c r="B186" s="556" t="s">
        <v>4584</v>
      </c>
      <c r="C186" s="556">
        <v>98504</v>
      </c>
      <c r="D186" s="548" t="str">
        <f>IF(A186="SERVIÇO",VLOOKUP(C186,SERVIÇOS!$A$6:$D$7697,2,0),IF(A186="INSUMO",VLOOKUP(C186,INSUMOS!$A$6:$D$4845,2,0),IF(A186="COTAÇÃO",VLOOKUP(C186,'014-22-cotação'!$A$9:$I$138,2,0),IF(A186="CCU",VLOOKUP(C186,'014-22-CCU''s'!$B$10:$H$450,2,0)))))</f>
        <v>PLANTIO DE GRAMA BATATAIS EM PLACAS. AF_05/2018</v>
      </c>
      <c r="E186" s="549" t="str">
        <f>IF(A186="SERVIÇO",VLOOKUP(C186,SERVIÇOS!$A$6:$D$7697,3,0),IF(A186="INSUMO",VLOOKUP(C186,INSUMOS!$A$6:$D$4845,3,0),IF(A186="COTAÇÃO",VLOOKUP(C186,'014-22-cotação'!$A$9:$I$138,4,0),IF(A186="CCU",VLOOKUP(C186,'014-22-CCU''s'!$B$10:$H$450,4,0)))))</f>
        <v>M2</v>
      </c>
      <c r="F186" s="557">
        <v>5514.2</v>
      </c>
      <c r="G186" s="551">
        <f>IF(A186="SERVIÇO",VLOOKUP(C186,SERVIÇOS!$A$6:$D$7697,4,0),IF(A186="INSUMO",VLOOKUP(C186,INSUMOS!$A$6:$D$4845,4,0),IF(A186="COTAÇÃO",VLOOKUP(C186,'014-22-cotação'!$A$9:$I$138,3,0),IF(A186="CCU",VLOOKUP(C186,'014-22-CCU''s'!$B$10:$H$450,7,0)))))</f>
        <v>17.940000000000001</v>
      </c>
      <c r="H186" s="552">
        <f t="shared" si="78"/>
        <v>0.18559999999999999</v>
      </c>
      <c r="I186" s="551">
        <f t="shared" si="79"/>
        <v>21.269664000000002</v>
      </c>
      <c r="J186" s="553">
        <f t="shared" si="80"/>
        <v>117285.18122880001</v>
      </c>
      <c r="K186" s="403"/>
      <c r="L186" s="309">
        <f t="shared" si="40"/>
        <v>117285.18122880001</v>
      </c>
      <c r="M186" s="309">
        <f t="shared" si="41"/>
        <v>0</v>
      </c>
      <c r="N186" s="403"/>
      <c r="O186" s="403"/>
      <c r="P186" s="403"/>
      <c r="Q186" s="403"/>
      <c r="R186" s="403"/>
      <c r="S186" s="403"/>
    </row>
    <row r="187" spans="1:19" s="62" customFormat="1" ht="12.75" customHeight="1" x14ac:dyDescent="0.2">
      <c r="A187" s="199"/>
      <c r="B187" s="273"/>
      <c r="C187" s="273"/>
      <c r="D187" s="280"/>
      <c r="E187" s="273"/>
      <c r="F187" s="290"/>
      <c r="G187" s="290"/>
      <c r="H187" s="290"/>
      <c r="I187" s="290"/>
      <c r="J187" s="291"/>
      <c r="K187" s="213"/>
      <c r="L187" s="307">
        <f>I187*F187</f>
        <v>0</v>
      </c>
      <c r="M187" s="307">
        <f t="shared" ref="M187:M190" si="89">L187-J187</f>
        <v>0</v>
      </c>
      <c r="N187" s="213"/>
      <c r="O187" s="213"/>
      <c r="P187" s="213"/>
      <c r="Q187" s="213"/>
      <c r="R187" s="213"/>
      <c r="S187" s="213"/>
    </row>
    <row r="188" spans="1:19" s="507" customFormat="1" ht="12.75" customHeight="1" x14ac:dyDescent="0.2">
      <c r="A188" s="503"/>
      <c r="B188" s="277"/>
      <c r="C188" s="277"/>
      <c r="D188" s="282"/>
      <c r="E188" s="277"/>
      <c r="F188" s="277"/>
      <c r="G188" s="315" t="s">
        <v>68</v>
      </c>
      <c r="H188" s="292"/>
      <c r="I188" s="315"/>
      <c r="J188" s="294">
        <f>SUM(J123:J187)</f>
        <v>1196790.6621217278</v>
      </c>
      <c r="K188" s="504"/>
      <c r="L188" s="505">
        <f t="shared" si="40"/>
        <v>0</v>
      </c>
      <c r="M188" s="505"/>
      <c r="N188" s="506"/>
      <c r="O188" s="506"/>
      <c r="P188" s="506"/>
      <c r="Q188" s="506"/>
      <c r="R188" s="506"/>
      <c r="S188" s="506"/>
    </row>
    <row r="189" spans="1:19" s="62" customFormat="1" ht="12.75" customHeight="1" x14ac:dyDescent="0.2">
      <c r="A189" s="199"/>
      <c r="B189" s="273"/>
      <c r="C189" s="273"/>
      <c r="D189" s="280"/>
      <c r="E189" s="273"/>
      <c r="F189" s="290"/>
      <c r="G189" s="290"/>
      <c r="H189" s="290"/>
      <c r="I189" s="290"/>
      <c r="J189" s="291"/>
      <c r="K189" s="213"/>
      <c r="L189" s="307">
        <f t="shared" si="40"/>
        <v>0</v>
      </c>
      <c r="M189" s="307">
        <f t="shared" si="89"/>
        <v>0</v>
      </c>
      <c r="N189" s="213"/>
      <c r="O189" s="213"/>
      <c r="P189" s="213"/>
      <c r="Q189" s="213"/>
      <c r="R189" s="213"/>
      <c r="S189" s="213"/>
    </row>
    <row r="190" spans="1:19" s="62" customFormat="1" ht="12.75" customHeight="1" x14ac:dyDescent="0.2">
      <c r="A190" s="199"/>
      <c r="B190" s="206" t="s">
        <v>143</v>
      </c>
      <c r="C190" s="206"/>
      <c r="D190" s="279" t="s">
        <v>144</v>
      </c>
      <c r="E190" s="288"/>
      <c r="F190" s="288"/>
      <c r="G190" s="317"/>
      <c r="H190" s="288"/>
      <c r="I190" s="317"/>
      <c r="J190" s="289"/>
      <c r="K190" s="213"/>
      <c r="L190" s="307">
        <f t="shared" si="40"/>
        <v>0</v>
      </c>
      <c r="M190" s="307">
        <f t="shared" si="89"/>
        <v>0</v>
      </c>
      <c r="N190" s="213"/>
      <c r="O190" s="213"/>
      <c r="P190" s="213"/>
      <c r="Q190" s="213"/>
      <c r="R190" s="213"/>
      <c r="S190" s="213"/>
    </row>
    <row r="191" spans="1:19" s="62" customFormat="1" ht="12.75" customHeight="1" x14ac:dyDescent="0.2">
      <c r="A191" s="199"/>
      <c r="B191" s="206" t="s">
        <v>1927</v>
      </c>
      <c r="C191" s="206"/>
      <c r="D191" s="279" t="s">
        <v>1928</v>
      </c>
      <c r="E191" s="288"/>
      <c r="F191" s="288"/>
      <c r="G191" s="317"/>
      <c r="H191" s="288"/>
      <c r="I191" s="317"/>
      <c r="J191" s="289"/>
      <c r="K191" s="213"/>
      <c r="L191" s="307">
        <f t="shared" ref="L191:L193" si="90">I191*F191</f>
        <v>0</v>
      </c>
      <c r="M191" s="307">
        <f t="shared" ref="M191:M207" si="91">L191-J191</f>
        <v>0</v>
      </c>
      <c r="N191" s="213"/>
      <c r="O191" s="213"/>
      <c r="P191" s="213"/>
      <c r="Q191" s="213"/>
      <c r="R191" s="213"/>
      <c r="S191" s="213"/>
    </row>
    <row r="192" spans="1:19" s="62" customFormat="1" ht="12.75" customHeight="1" x14ac:dyDescent="0.2">
      <c r="A192" s="199"/>
      <c r="B192" s="206" t="s">
        <v>1930</v>
      </c>
      <c r="C192" s="206"/>
      <c r="D192" s="279" t="s">
        <v>1931</v>
      </c>
      <c r="E192" s="288"/>
      <c r="F192" s="288"/>
      <c r="G192" s="317"/>
      <c r="H192" s="288"/>
      <c r="I192" s="317"/>
      <c r="J192" s="289"/>
      <c r="K192" s="213"/>
      <c r="L192" s="307">
        <f t="shared" si="90"/>
        <v>0</v>
      </c>
      <c r="M192" s="307">
        <f t="shared" si="91"/>
        <v>0</v>
      </c>
      <c r="N192" s="213"/>
      <c r="O192" s="213"/>
      <c r="P192" s="213"/>
      <c r="Q192" s="213"/>
      <c r="R192" s="213"/>
      <c r="S192" s="213"/>
    </row>
    <row r="193" spans="1:19" s="404" customFormat="1" ht="76.5" x14ac:dyDescent="0.2">
      <c r="A193" s="406" t="s">
        <v>1120</v>
      </c>
      <c r="B193" s="556" t="s">
        <v>1929</v>
      </c>
      <c r="C193" s="556">
        <v>95567</v>
      </c>
      <c r="D193" s="548" t="str">
        <f>IF(A193="SERVIÇO",VLOOKUP(C193,SERVIÇOS!$A$6:$D$7697,2,0),IF(A193="INSUMO",VLOOKUP(C193,INSUMOS!$A$6:$D$4845,2,0),IF(A193="COTAÇÃO",VLOOKUP(C193,'014-22-cotação'!$A$9:$I$138,2,0),IF(A193="CCU",VLOOKUP(C193,'014-22-CCU''s'!$B$10:$H$450,2,0)))))</f>
        <v>TUBO DE CONCRETO (SIMPLES) PARA REDES COLETORAS DE ÁGUAS PLUVIAIS, DIÂMETRO DE 300 MM, JUNTA RÍGIDA, INSTALADO EM LOCAL COM BAIXO NÍVEL DE INTERFERÊNCIAS - FORNECIMENTO E ASSENTAMENTO. AF_03/2024</v>
      </c>
      <c r="E193" s="549" t="str">
        <f>IF(A193="SERVIÇO",VLOOKUP(C193,SERVIÇOS!$A$6:$D$7697,3,0),IF(A193="INSUMO",VLOOKUP(C193,INSUMOS!$A$6:$D$4845,3,0),IF(A193="COTAÇÃO",VLOOKUP(C193,'014-22-cotação'!$A$9:$I$138,4,0),IF(A193="CCU",VLOOKUP(C193,'014-22-CCU''s'!$B$10:$H$450,4,0)))))</f>
        <v>M</v>
      </c>
      <c r="F193" s="557">
        <v>168.2</v>
      </c>
      <c r="G193" s="551">
        <f>IF(A193="SERVIÇO",VLOOKUP(C193,SERVIÇOS!$A$6:$D$7697,4,0),IF(A193="INSUMO",VLOOKUP(C193,INSUMOS!$A$6:$D$4845,4,0),IF(A193="COTAÇÃO",VLOOKUP(C193,'014-22-cotação'!$A$9:$I$138,3,0),IF(A193="CCU",VLOOKUP(C193,'014-22-CCU''s'!$B$10:$H$450,7,0)))))</f>
        <v>79.5</v>
      </c>
      <c r="H193" s="552">
        <f t="shared" ref="H193" si="92">$F$9</f>
        <v>0.18559999999999999</v>
      </c>
      <c r="I193" s="551">
        <f t="shared" ref="I193" si="93">(G193*(1+H193))</f>
        <v>94.255200000000002</v>
      </c>
      <c r="J193" s="553">
        <f t="shared" ref="J193" si="94">I193*F193</f>
        <v>15853.724639999999</v>
      </c>
      <c r="K193" s="403"/>
      <c r="L193" s="309">
        <f t="shared" si="90"/>
        <v>15853.724639999999</v>
      </c>
      <c r="M193" s="309">
        <f>L193-J193</f>
        <v>0</v>
      </c>
      <c r="N193" s="403"/>
      <c r="O193" s="403"/>
      <c r="P193" s="403"/>
      <c r="Q193" s="403"/>
      <c r="R193" s="403"/>
      <c r="S193" s="403"/>
    </row>
    <row r="194" spans="1:19" ht="12.75" customHeight="1" x14ac:dyDescent="0.2">
      <c r="B194" s="273"/>
      <c r="C194" s="273"/>
      <c r="D194" s="280"/>
      <c r="E194" s="273"/>
      <c r="F194" s="290"/>
      <c r="G194" s="290"/>
      <c r="H194" s="290"/>
      <c r="I194" s="290"/>
      <c r="J194" s="291"/>
      <c r="L194" s="307">
        <f t="shared" ref="L194:L208" si="95">I194*F194</f>
        <v>0</v>
      </c>
      <c r="M194" s="307">
        <f t="shared" si="91"/>
        <v>0</v>
      </c>
    </row>
    <row r="195" spans="1:19" s="62" customFormat="1" ht="12.75" customHeight="1" x14ac:dyDescent="0.2">
      <c r="A195" s="199"/>
      <c r="B195" s="206" t="s">
        <v>1933</v>
      </c>
      <c r="C195" s="206"/>
      <c r="D195" s="279" t="s">
        <v>2147</v>
      </c>
      <c r="E195" s="288"/>
      <c r="F195" s="288"/>
      <c r="G195" s="317"/>
      <c r="H195" s="288"/>
      <c r="I195" s="317"/>
      <c r="J195" s="289"/>
      <c r="K195" s="213"/>
      <c r="L195" s="307">
        <f t="shared" si="95"/>
        <v>0</v>
      </c>
      <c r="M195" s="307">
        <f t="shared" si="91"/>
        <v>0</v>
      </c>
      <c r="N195" s="213"/>
      <c r="O195" s="213"/>
      <c r="P195" s="213"/>
      <c r="Q195" s="213"/>
      <c r="R195" s="213"/>
      <c r="S195" s="213"/>
    </row>
    <row r="196" spans="1:19" s="126" customFormat="1" ht="38.25" x14ac:dyDescent="0.2">
      <c r="A196" s="398" t="s">
        <v>1120</v>
      </c>
      <c r="B196" s="556" t="s">
        <v>1934</v>
      </c>
      <c r="C196" s="207">
        <v>102992</v>
      </c>
      <c r="D196" s="548" t="str">
        <f>IF(A196="SERVIÇO",VLOOKUP(C196,SERVIÇOS!$A$6:$D$7697,2,0),IF(A196="INSUMO",VLOOKUP(C196,INSUMOS!$A$6:$D$4845,2,0),IF(A196="COTAÇÃO",VLOOKUP(C196,'014-22-cotação'!$A$9:$I$138,2,0),IF(A196="CCU",VLOOKUP(C196,'014-22-CCU''s'!$B$10:$H$450,2,0)))))</f>
        <v>CANALETA MEIA CANA PRÉ-MOLDADA DE CONCRETO (D = 50 CM) - FORNECIMENTO E INSTALAÇÃO. AF_08/2021</v>
      </c>
      <c r="E196" s="549" t="str">
        <f>IF(A196="SERVIÇO",VLOOKUP(C196,SERVIÇOS!$A$6:$D$7697,3,0),IF(A196="INSUMO",VLOOKUP(C196,INSUMOS!$A$6:$D$4845,3,0),IF(A196="COTAÇÃO",VLOOKUP(C196,'014-22-cotação'!$A$9:$I$138,4,0),IF(A196="CCU",VLOOKUP(C196,'014-22-CCU''s'!$B$10:$H$450,4,0)))))</f>
        <v>M</v>
      </c>
      <c r="F196" s="550">
        <v>29</v>
      </c>
      <c r="G196" s="551">
        <f>IF(A196="SERVIÇO",VLOOKUP(C196,SERVIÇOS!$A$6:$D$7697,4,0),IF(A196="INSUMO",VLOOKUP(C196,INSUMOS!$A$6:$D$4845,4,0),IF(A196="COTAÇÃO",VLOOKUP(C196,'014-22-cotação'!$A$9:$I$138,3,0),IF(A196="CCU",VLOOKUP(C196,'014-22-CCU''s'!$B$10:$H$450,7,0)))))</f>
        <v>81.64</v>
      </c>
      <c r="H196" s="552">
        <f>$F$9</f>
        <v>0.18559999999999999</v>
      </c>
      <c r="I196" s="551">
        <f t="shared" ref="I196" si="96">(G196*(1+H196))</f>
        <v>96.792383999999998</v>
      </c>
      <c r="J196" s="553">
        <f t="shared" ref="J196" si="97">I196*F196</f>
        <v>2806.9791359999999</v>
      </c>
      <c r="K196" s="399"/>
      <c r="L196" s="309">
        <f>I196*F196</f>
        <v>2806.9791359999999</v>
      </c>
      <c r="M196" s="309">
        <f t="shared" si="91"/>
        <v>0</v>
      </c>
      <c r="N196" s="399"/>
      <c r="O196" s="399"/>
      <c r="P196" s="399"/>
      <c r="Q196" s="399"/>
      <c r="R196" s="399"/>
      <c r="S196" s="399"/>
    </row>
    <row r="197" spans="1:19" s="404" customFormat="1" ht="38.25" x14ac:dyDescent="0.2">
      <c r="A197" s="406" t="s">
        <v>1121</v>
      </c>
      <c r="B197" s="556" t="s">
        <v>1940</v>
      </c>
      <c r="C197" s="558" t="s">
        <v>1932</v>
      </c>
      <c r="D197" s="548" t="str">
        <f>IF(A197="SERVIÇO",VLOOKUP(C197,SERVIÇOS!$A$6:$D$7697,2,0),IF(A197="INSUMO",VLOOKUP(C197,INSUMOS!$A$6:$D$4845,2,0),IF(A197="COTAÇÃO",VLOOKUP(C197,'014-22-cotação'!$A$9:$I$138,2,0),IF(A197="CCU",VLOOKUP(C197,'014-22-CCU''s'!$B$10:$H$450,2,0)))))</f>
        <v>GRELHA PRÉ-MOLDADA DE CONCRETO 50X40CM PARA CANALETA - FORNECIMENTO E INSTALAÇÃO</v>
      </c>
      <c r="E197" s="549" t="str">
        <f>IF(A197="SERVIÇO",VLOOKUP(C197,SERVIÇOS!$A$6:$D$7697,3,0),IF(A197="INSUMO",VLOOKUP(C197,INSUMOS!$A$6:$D$4845,3,0),IF(A197="COTAÇÃO",VLOOKUP(C197,'014-22-cotação'!$A$9:$I$138,4,0),IF(A197="CCU",VLOOKUP(C197,'014-22-CCU''s'!$B$10:$H$450,4,0)))))</f>
        <v xml:space="preserve">UN </v>
      </c>
      <c r="F197" s="557">
        <f>F196*2</f>
        <v>58</v>
      </c>
      <c r="G197" s="551">
        <f>IF(A197="SERVIÇO",VLOOKUP(C197,SERVIÇOS!$A$6:$D$7697,4,0),IF(A197="INSUMO",VLOOKUP(C197,INSUMOS!$A$6:$D$4845,4,0),IF(A197="COTAÇÃO",VLOOKUP(C197,'014-22-cotação'!$A$9:$I$138,3,0),IF(A197="CCU",VLOOKUP(C197,'014-22-CCU''s'!$B$10:$H$450,7,0)))))</f>
        <v>68.509999999999991</v>
      </c>
      <c r="H197" s="552">
        <f t="shared" ref="H197:H199" si="98">$F$9</f>
        <v>0.18559999999999999</v>
      </c>
      <c r="I197" s="551">
        <f t="shared" ref="I197:I199" si="99">(G197*(1+H197))</f>
        <v>81.225455999999994</v>
      </c>
      <c r="J197" s="553">
        <f t="shared" ref="J197:J199" si="100">I197*F197</f>
        <v>4711.0764479999998</v>
      </c>
      <c r="K197" s="403"/>
      <c r="L197" s="309">
        <f t="shared" si="95"/>
        <v>4711.0764479999998</v>
      </c>
      <c r="M197" s="309">
        <f t="shared" si="91"/>
        <v>0</v>
      </c>
      <c r="N197" s="403"/>
      <c r="O197" s="403"/>
      <c r="P197" s="403"/>
      <c r="Q197" s="403"/>
      <c r="R197" s="403"/>
      <c r="S197" s="403"/>
    </row>
    <row r="198" spans="1:19" s="404" customFormat="1" ht="38.25" x14ac:dyDescent="0.2">
      <c r="A198" s="406" t="s">
        <v>1120</v>
      </c>
      <c r="B198" s="556" t="s">
        <v>3539</v>
      </c>
      <c r="C198" s="556">
        <v>98114</v>
      </c>
      <c r="D198" s="548" t="str">
        <f>IF(A198="SERVIÇO",VLOOKUP(C198,SERVIÇOS!$A$6:$D$7697,2,0),IF(A198="INSUMO",VLOOKUP(C198,INSUMOS!$A$6:$D$4845,2,0),IF(A198="COTAÇÃO",VLOOKUP(C198,'014-22-cotação'!$A$9:$I$138,2,0),IF(A198="CCU",VLOOKUP(C198,'014-22-CCU''s'!$B$10:$H$450,2,0)))))</f>
        <v>TAMPA CIRCULAR PARA ESGOTO E DRENAGEM, EM FERRO FUNDIDO, DIÂMETRO INTERNO = 0,6 M. AF_12/2020</v>
      </c>
      <c r="E198" s="549" t="str">
        <f>IF(A198="SERVIÇO",VLOOKUP(C198,SERVIÇOS!$A$6:$D$7697,3,0),IF(A198="INSUMO",VLOOKUP(C198,INSUMOS!$A$6:$D$4845,3,0),IF(A198="COTAÇÃO",VLOOKUP(C198,'014-22-cotação'!$A$9:$I$138,4,0),IF(A198="CCU",VLOOKUP(C198,'014-22-CCU''s'!$B$10:$H$450,4,0)))))</f>
        <v>UN</v>
      </c>
      <c r="F198" s="557">
        <v>1</v>
      </c>
      <c r="G198" s="551">
        <f>IF(A198="SERVIÇO",VLOOKUP(C198,SERVIÇOS!$A$6:$D$7697,4,0),IF(A198="INSUMO",VLOOKUP(C198,INSUMOS!$A$6:$D$4845,4,0),IF(A198="COTAÇÃO",VLOOKUP(C198,'014-22-cotação'!$A$9:$I$138,3,0),IF(A198="CCU",VLOOKUP(C198,'014-22-CCU''s'!$B$10:$H$450,7,0)))))</f>
        <v>754.74</v>
      </c>
      <c r="H198" s="552">
        <f t="shared" si="98"/>
        <v>0.18559999999999999</v>
      </c>
      <c r="I198" s="551">
        <f t="shared" si="99"/>
        <v>894.81974400000001</v>
      </c>
      <c r="J198" s="553">
        <f t="shared" si="100"/>
        <v>894.81974400000001</v>
      </c>
      <c r="K198" s="403"/>
      <c r="L198" s="309">
        <f t="shared" si="95"/>
        <v>894.81974400000001</v>
      </c>
      <c r="M198" s="309">
        <f t="shared" si="91"/>
        <v>0</v>
      </c>
      <c r="N198" s="403"/>
      <c r="O198" s="403"/>
      <c r="P198" s="403"/>
      <c r="Q198" s="403"/>
      <c r="R198" s="403"/>
      <c r="S198" s="403"/>
    </row>
    <row r="199" spans="1:19" s="404" customFormat="1" ht="63.75" x14ac:dyDescent="0.2">
      <c r="A199" s="406" t="s">
        <v>1120</v>
      </c>
      <c r="B199" s="556" t="s">
        <v>3901</v>
      </c>
      <c r="C199" s="556">
        <v>99292</v>
      </c>
      <c r="D199" s="548" t="str">
        <f>IF(A199="SERVIÇO",VLOOKUP(C199,SERVIÇOS!$A$6:$D$7697,2,0),IF(A199="INSUMO",VLOOKUP(C199,INSUMOS!$A$6:$D$4845,2,0),IF(A199="COTAÇÃO",VLOOKUP(C199,'014-22-cotação'!$A$9:$I$138,2,0),IF(A199="CCU",VLOOKUP(C199,'014-22-CCU''s'!$B$10:$H$450,2,0)))))</f>
        <v>BASE PARA POÇO DE VISITA CIRCULAR PARA DRENAGEM, EM ALVENARIA COM TIJOLOS CERÂMICOS MACIÇOS, DIÂMETRO INTERNO = 1,0 M, PROFUNDIDADE = 1,40 M, EXCLUINDO TAMPÃO. AF_12/2020_PA</v>
      </c>
      <c r="E199" s="549" t="str">
        <f>IF(A199="SERVIÇO",VLOOKUP(C199,SERVIÇOS!$A$6:$D$7697,3,0),IF(A199="INSUMO",VLOOKUP(C199,INSUMOS!$A$6:$D$4845,3,0),IF(A199="COTAÇÃO",VLOOKUP(C199,'014-22-cotação'!$A$9:$I$138,4,0),IF(A199="CCU",VLOOKUP(C199,'014-22-CCU''s'!$B$10:$H$450,4,0)))))</f>
        <v>UN</v>
      </c>
      <c r="F199" s="557">
        <v>1</v>
      </c>
      <c r="G199" s="551">
        <f>IF(A199="SERVIÇO",VLOOKUP(C199,SERVIÇOS!$A$6:$D$7697,4,0),IF(A199="INSUMO",VLOOKUP(C199,INSUMOS!$A$6:$D$4845,4,0),IF(A199="COTAÇÃO",VLOOKUP(C199,'014-22-cotação'!$A$9:$I$138,3,0),IF(A199="CCU",VLOOKUP(C199,'014-22-CCU''s'!$B$10:$H$450,7,0)))))</f>
        <v>2686.59</v>
      </c>
      <c r="H199" s="552">
        <f t="shared" si="98"/>
        <v>0.18559999999999999</v>
      </c>
      <c r="I199" s="551">
        <f t="shared" si="99"/>
        <v>3185.2211040000002</v>
      </c>
      <c r="J199" s="553">
        <f t="shared" si="100"/>
        <v>3185.2211040000002</v>
      </c>
      <c r="K199" s="403"/>
      <c r="L199" s="309">
        <f t="shared" ref="L199" si="101">I199*F199</f>
        <v>3185.2211040000002</v>
      </c>
      <c r="M199" s="309"/>
      <c r="N199" s="403"/>
      <c r="O199" s="403"/>
      <c r="P199" s="403"/>
      <c r="Q199" s="403"/>
      <c r="R199" s="403"/>
      <c r="S199" s="403"/>
    </row>
    <row r="200" spans="1:19" ht="12.75" customHeight="1" x14ac:dyDescent="0.2">
      <c r="B200" s="273"/>
      <c r="C200" s="273"/>
      <c r="D200" s="280"/>
      <c r="E200" s="273"/>
      <c r="F200" s="290"/>
      <c r="G200" s="290"/>
      <c r="H200" s="290"/>
      <c r="I200" s="290"/>
      <c r="J200" s="291"/>
      <c r="L200" s="307">
        <f t="shared" si="95"/>
        <v>0</v>
      </c>
      <c r="M200" s="307">
        <f t="shared" si="91"/>
        <v>0</v>
      </c>
    </row>
    <row r="201" spans="1:19" s="62" customFormat="1" ht="12.75" customHeight="1" x14ac:dyDescent="0.2">
      <c r="A201" s="199"/>
      <c r="B201" s="206" t="s">
        <v>1935</v>
      </c>
      <c r="C201" s="206"/>
      <c r="D201" s="279" t="s">
        <v>108</v>
      </c>
      <c r="E201" s="288"/>
      <c r="F201" s="288"/>
      <c r="G201" s="317"/>
      <c r="H201" s="288"/>
      <c r="I201" s="317"/>
      <c r="J201" s="289"/>
      <c r="K201" s="213"/>
      <c r="L201" s="307">
        <f t="shared" si="95"/>
        <v>0</v>
      </c>
      <c r="M201" s="307">
        <f t="shared" si="91"/>
        <v>0</v>
      </c>
      <c r="N201" s="213"/>
      <c r="O201" s="213"/>
      <c r="P201" s="213"/>
      <c r="Q201" s="213"/>
      <c r="R201" s="213"/>
      <c r="S201" s="213"/>
    </row>
    <row r="202" spans="1:19" s="404" customFormat="1" ht="38.25" x14ac:dyDescent="0.2">
      <c r="A202" s="406" t="s">
        <v>1120</v>
      </c>
      <c r="B202" s="556" t="s">
        <v>1936</v>
      </c>
      <c r="C202" s="556">
        <v>93358</v>
      </c>
      <c r="D202" s="548" t="str">
        <f>IF(A202="SERVIÇO",VLOOKUP(C202,SERVIÇOS!$A$6:$D$7697,2,0),IF(A202="INSUMO",VLOOKUP(C202,INSUMOS!$A$6:$D$4845,2,0),IF(A202="COTAÇÃO",VLOOKUP(C202,'014-22-cotação'!$A$9:$I$138,2,0),IF(A202="CCU",VLOOKUP(C202,'014-22-CCU''s'!$B$10:$H$450,2,0)))))</f>
        <v>ESCAVAÇÃO MANUAL DE VALA COM PROFUNDIDADE MENOR OU IGUAL A 1,30 M. AF_02/2021</v>
      </c>
      <c r="E202" s="549" t="str">
        <f>IF(A202="SERVIÇO",VLOOKUP(C202,SERVIÇOS!$A$6:$D$7697,3,0),IF(A202="INSUMO",VLOOKUP(C202,INSUMOS!$A$6:$D$4845,3,0),IF(A202="COTAÇÃO",VLOOKUP(C202,'014-22-cotação'!$A$9:$I$138,4,0),IF(A202="CCU",VLOOKUP(C202,'014-22-CCU''s'!$B$10:$H$450,4,0)))))</f>
        <v>M3</v>
      </c>
      <c r="F202" s="557">
        <v>66.95</v>
      </c>
      <c r="G202" s="551">
        <f>IF(A202="SERVIÇO",VLOOKUP(C202,SERVIÇOS!$A$6:$D$7697,4,0),IF(A202="INSUMO",VLOOKUP(C202,INSUMOS!$A$6:$D$4845,4,0),IF(A202="COTAÇÃO",VLOOKUP(C202,'014-22-cotação'!$A$9:$I$138,3,0),IF(A202="CCU",VLOOKUP(C202,'014-22-CCU''s'!$B$10:$H$450,7,0)))))</f>
        <v>92.57</v>
      </c>
      <c r="H202" s="552">
        <f t="shared" ref="H202:H206" si="102">$F$9</f>
        <v>0.18559999999999999</v>
      </c>
      <c r="I202" s="551">
        <f t="shared" ref="I202:I206" si="103">(G202*(1+H202))</f>
        <v>109.750992</v>
      </c>
      <c r="J202" s="553">
        <f t="shared" ref="J202:J206" si="104">I202*F202</f>
        <v>7347.8289144</v>
      </c>
      <c r="K202" s="403"/>
      <c r="L202" s="309">
        <f t="shared" si="95"/>
        <v>7347.8289144</v>
      </c>
      <c r="M202" s="309">
        <f t="shared" si="91"/>
        <v>0</v>
      </c>
      <c r="N202" s="403"/>
      <c r="O202" s="403"/>
      <c r="P202" s="403"/>
      <c r="Q202" s="403"/>
      <c r="R202" s="403"/>
      <c r="S202" s="403"/>
    </row>
    <row r="203" spans="1:19" s="404" customFormat="1" ht="38.25" x14ac:dyDescent="0.2">
      <c r="A203" s="406" t="s">
        <v>1120</v>
      </c>
      <c r="B203" s="556" t="s">
        <v>1937</v>
      </c>
      <c r="C203" s="207">
        <v>101616</v>
      </c>
      <c r="D203" s="548" t="str">
        <f>IF(A203="SERVIÇO",VLOOKUP(C203,SERVIÇOS!$A$6:$D$7697,2,0),IF(A203="INSUMO",VLOOKUP(C203,INSUMOS!$A$6:$D$4845,2,0),IF(A203="COTAÇÃO",VLOOKUP(C203,'014-22-cotação'!$A$9:$I$138,2,0),IF(A203="CCU",VLOOKUP(C203,'014-22-CCU''s'!$B$10:$H$450,2,0)))))</f>
        <v>PREPARO DE FUNDO DE VALA COM LARGURA MENOR QUE 1,5 M (ACERTO DO SOLO NATURAL). AF_08/2020</v>
      </c>
      <c r="E203" s="549" t="str">
        <f>IF(A203="SERVIÇO",VLOOKUP(C203,SERVIÇOS!$A$6:$D$7697,3,0),IF(A203="INSUMO",VLOOKUP(C203,INSUMOS!$A$6:$D$4845,3,0),IF(A203="COTAÇÃO",VLOOKUP(C203,'014-22-cotação'!$A$9:$I$138,4,0),IF(A203="CCU",VLOOKUP(C203,'014-22-CCU''s'!$B$10:$H$450,4,0)))))</f>
        <v>M2</v>
      </c>
      <c r="F203" s="557">
        <v>84.1</v>
      </c>
      <c r="G203" s="551">
        <f>IF(A203="SERVIÇO",VLOOKUP(C203,SERVIÇOS!$A$6:$D$7697,4,0),IF(A203="INSUMO",VLOOKUP(C203,INSUMOS!$A$6:$D$4845,4,0),IF(A203="COTAÇÃO",VLOOKUP(C203,'014-22-cotação'!$A$9:$I$138,3,0),IF(A203="CCU",VLOOKUP(C203,'014-22-CCU''s'!$B$10:$H$450,7,0)))))</f>
        <v>6.96</v>
      </c>
      <c r="H203" s="552">
        <f t="shared" si="102"/>
        <v>0.18559999999999999</v>
      </c>
      <c r="I203" s="551">
        <f t="shared" si="103"/>
        <v>8.2517759999999996</v>
      </c>
      <c r="J203" s="553">
        <f t="shared" si="104"/>
        <v>693.97436159999995</v>
      </c>
      <c r="K203" s="403"/>
      <c r="L203" s="309">
        <f t="shared" si="95"/>
        <v>693.97436159999995</v>
      </c>
      <c r="M203" s="309">
        <f t="shared" si="91"/>
        <v>0</v>
      </c>
      <c r="N203" s="403"/>
      <c r="O203" s="403"/>
      <c r="P203" s="403"/>
      <c r="Q203" s="403"/>
      <c r="R203" s="403"/>
      <c r="S203" s="403"/>
    </row>
    <row r="204" spans="1:19" s="404" customFormat="1" ht="51" x14ac:dyDescent="0.2">
      <c r="A204" s="406" t="s">
        <v>1120</v>
      </c>
      <c r="B204" s="556" t="s">
        <v>1938</v>
      </c>
      <c r="C204" s="556">
        <v>90438</v>
      </c>
      <c r="D204" s="548" t="str">
        <f>IF(A204="SERVIÇO",VLOOKUP(C204,SERVIÇOS!$A$6:$D$7697,2,0),IF(A204="INSUMO",VLOOKUP(C204,INSUMOS!$A$6:$D$4845,2,0),IF(A204="COTAÇÃO",VLOOKUP(C204,'014-22-cotação'!$A$9:$I$138,2,0),IF(A204="CCU",VLOOKUP(C204,'014-22-CCU''s'!$B$10:$H$450,2,0)))))</f>
        <v>FURO MANUAL EM ALVENARIA, PARA INSTALAÇÕES HIDRÁULICAS, DIÂMETROS MAIORES QUE 75 MM E MENORES OU IGUAIS A 100 MM. AF_09/2023</v>
      </c>
      <c r="E204" s="549" t="str">
        <f>IF(A204="SERVIÇO",VLOOKUP(C204,SERVIÇOS!$A$6:$D$7697,3,0),IF(A204="INSUMO",VLOOKUP(C204,INSUMOS!$A$6:$D$4845,3,0),IF(A204="COTAÇÃO",VLOOKUP(C204,'014-22-cotação'!$A$9:$I$138,4,0),IF(A204="CCU",VLOOKUP(C204,'014-22-CCU''s'!$B$10:$H$450,4,0)))))</f>
        <v>UN</v>
      </c>
      <c r="F204" s="557">
        <v>22</v>
      </c>
      <c r="G204" s="551">
        <f>IF(A204="SERVIÇO",VLOOKUP(C204,SERVIÇOS!$A$6:$D$7697,4,0),IF(A204="INSUMO",VLOOKUP(C204,INSUMOS!$A$6:$D$4845,4,0),IF(A204="COTAÇÃO",VLOOKUP(C204,'014-22-cotação'!$A$9:$I$138,3,0),IF(A204="CCU",VLOOKUP(C204,'014-22-CCU''s'!$B$10:$H$450,7,0)))))</f>
        <v>62.87</v>
      </c>
      <c r="H204" s="552">
        <f t="shared" si="102"/>
        <v>0.18559999999999999</v>
      </c>
      <c r="I204" s="551">
        <f>(G204*(1+H204))</f>
        <v>74.538671999999991</v>
      </c>
      <c r="J204" s="553">
        <f>I204*F204</f>
        <v>1639.8507839999997</v>
      </c>
      <c r="K204" s="403"/>
      <c r="L204" s="309">
        <f t="shared" si="95"/>
        <v>1639.8507839999997</v>
      </c>
      <c r="M204" s="309">
        <f t="shared" si="91"/>
        <v>0</v>
      </c>
      <c r="N204" s="403"/>
      <c r="O204" s="403"/>
      <c r="P204" s="403"/>
      <c r="Q204" s="403"/>
      <c r="R204" s="403"/>
      <c r="S204" s="403"/>
    </row>
    <row r="205" spans="1:19" s="126" customFormat="1" ht="38.25" x14ac:dyDescent="0.2">
      <c r="A205" s="406" t="s">
        <v>1120</v>
      </c>
      <c r="B205" s="556" t="s">
        <v>1939</v>
      </c>
      <c r="C205" s="556">
        <v>91192</v>
      </c>
      <c r="D205" s="548" t="str">
        <f>IF(A205="SERVIÇO",VLOOKUP(C205,SERVIÇOS!$A$6:$D$7697,2,0),IF(A205="INSUMO",VLOOKUP(C205,INSUMOS!$A$6:$D$4845,2,0),IF(A205="COTAÇÃO",VLOOKUP(C205,'014-22-cotação'!$A$9:$I$138,2,0),IF(A205="CCU",VLOOKUP(C205,'014-22-CCU''s'!$B$10:$H$450,2,0)))))</f>
        <v>CHUMBAMENTO PONTUAL EM PASSAGEM DE TUBO COM DIÂMETRO MAIOR QUE 75 MM E MENORES OU IGUAIS A 150 MM. AF_09/2023</v>
      </c>
      <c r="E205" s="549" t="str">
        <f>IF(A205="SERVIÇO",VLOOKUP(C205,SERVIÇOS!$A$6:$D$7697,3,0),IF(A205="INSUMO",VLOOKUP(C205,INSUMOS!$A$6:$D$4845,3,0),IF(A205="COTAÇÃO",VLOOKUP(C205,'014-22-cotação'!$A$9:$I$138,4,0),IF(A205="CCU",VLOOKUP(C205,'014-22-CCU''s'!$B$10:$H$450,4,0)))))</f>
        <v>UN</v>
      </c>
      <c r="F205" s="557">
        <v>22</v>
      </c>
      <c r="G205" s="551">
        <f>IF(A205="SERVIÇO",VLOOKUP(C205,SERVIÇOS!$A$6:$D$7697,4,0),IF(A205="INSUMO",VLOOKUP(C205,INSUMOS!$A$6:$D$4845,4,0),IF(A205="COTAÇÃO",VLOOKUP(C205,'014-22-cotação'!$A$9:$I$138,3,0),IF(A205="CCU",VLOOKUP(C205,'014-22-CCU''s'!$B$10:$H$450,7,0)))))</f>
        <v>23.75</v>
      </c>
      <c r="H205" s="552">
        <f t="shared" si="102"/>
        <v>0.18559999999999999</v>
      </c>
      <c r="I205" s="551">
        <f>(G205*(1+H205))</f>
        <v>28.158000000000001</v>
      </c>
      <c r="J205" s="553">
        <f>I205*F205</f>
        <v>619.476</v>
      </c>
      <c r="K205" s="403"/>
      <c r="L205" s="309">
        <f t="shared" si="95"/>
        <v>619.476</v>
      </c>
      <c r="M205" s="309">
        <f t="shared" si="91"/>
        <v>0</v>
      </c>
      <c r="N205" s="399"/>
      <c r="O205" s="399"/>
      <c r="P205" s="399"/>
      <c r="Q205" s="399"/>
      <c r="R205" s="399"/>
      <c r="S205" s="399"/>
    </row>
    <row r="206" spans="1:19" s="404" customFormat="1" ht="38.25" x14ac:dyDescent="0.2">
      <c r="A206" s="406" t="s">
        <v>1120</v>
      </c>
      <c r="B206" s="556" t="s">
        <v>3902</v>
      </c>
      <c r="C206" s="207">
        <v>93382</v>
      </c>
      <c r="D206" s="548" t="str">
        <f>IF(A206="SERVIÇO",VLOOKUP(C206,SERVIÇOS!$A$6:$D$7697,2,0),IF(A206="INSUMO",VLOOKUP(C206,INSUMOS!$A$6:$D$4845,2,0),IF(A206="COTAÇÃO",VLOOKUP(C206,'014-22-cotação'!$A$9:$I$138,2,0),IF(A206="CCU",VLOOKUP(C206,'014-22-CCU''s'!$B$10:$H$450,2,0)))))</f>
        <v>REATERRO MANUAL DE VALAS, COM COMPACTADOR DE SOLOS DE PERCUSSÃO. AF_08/2023</v>
      </c>
      <c r="E206" s="549" t="str">
        <f>IF(A206="SERVIÇO",VLOOKUP(C206,SERVIÇOS!$A$6:$D$7697,3,0),IF(A206="INSUMO",VLOOKUP(C206,INSUMOS!$A$6:$D$4845,3,0),IF(A206="COTAÇÃO",VLOOKUP(C206,'014-22-cotação'!$A$9:$I$138,4,0),IF(A206="CCU",VLOOKUP(C206,'014-22-CCU''s'!$B$10:$H$450,4,0)))))</f>
        <v>M3</v>
      </c>
      <c r="F206" s="557">
        <f>21.42+16.82</f>
        <v>38.24</v>
      </c>
      <c r="G206" s="551">
        <f>IF(A206="SERVIÇO",VLOOKUP(C206,SERVIÇOS!$A$6:$D$7697,4,0),IF(A206="INSUMO",VLOOKUP(C206,INSUMOS!$A$6:$D$4845,4,0),IF(A206="COTAÇÃO",VLOOKUP(C206,'014-22-cotação'!$A$9:$I$138,3,0),IF(A206="CCU",VLOOKUP(C206,'014-22-CCU''s'!$B$10:$H$450,7,0)))))</f>
        <v>26.75</v>
      </c>
      <c r="H206" s="552">
        <f t="shared" si="102"/>
        <v>0.18559999999999999</v>
      </c>
      <c r="I206" s="551">
        <f t="shared" si="103"/>
        <v>31.7148</v>
      </c>
      <c r="J206" s="553">
        <f t="shared" si="104"/>
        <v>1212.773952</v>
      </c>
      <c r="K206" s="403"/>
      <c r="L206" s="309">
        <f t="shared" si="95"/>
        <v>1212.773952</v>
      </c>
      <c r="M206" s="309">
        <f t="shared" si="91"/>
        <v>0</v>
      </c>
      <c r="N206" s="403"/>
      <c r="O206" s="403"/>
      <c r="P206" s="403"/>
      <c r="Q206" s="403"/>
      <c r="R206" s="403"/>
      <c r="S206" s="403"/>
    </row>
    <row r="207" spans="1:19" s="62" customFormat="1" ht="12.75" customHeight="1" x14ac:dyDescent="0.2">
      <c r="A207" s="199"/>
      <c r="B207" s="273"/>
      <c r="C207" s="273"/>
      <c r="D207" s="280"/>
      <c r="E207" s="273"/>
      <c r="F207" s="290"/>
      <c r="G207" s="290"/>
      <c r="H207" s="290"/>
      <c r="I207" s="290"/>
      <c r="J207" s="291"/>
      <c r="K207" s="213"/>
      <c r="L207" s="307">
        <f t="shared" si="95"/>
        <v>0</v>
      </c>
      <c r="M207" s="307">
        <f t="shared" si="91"/>
        <v>0</v>
      </c>
      <c r="N207" s="213"/>
      <c r="O207" s="213"/>
      <c r="P207" s="213"/>
      <c r="Q207" s="213"/>
      <c r="R207" s="213"/>
      <c r="S207" s="213"/>
    </row>
    <row r="208" spans="1:19" ht="12.75" customHeight="1" x14ac:dyDescent="0.2">
      <c r="B208" s="277"/>
      <c r="C208" s="277"/>
      <c r="D208" s="282"/>
      <c r="E208" s="277"/>
      <c r="F208" s="277"/>
      <c r="G208" s="315" t="s">
        <v>68</v>
      </c>
      <c r="H208" s="292"/>
      <c r="I208" s="315"/>
      <c r="J208" s="294">
        <f>SUM(J191:J207)</f>
        <v>38965.725084000005</v>
      </c>
      <c r="K208" s="308"/>
      <c r="L208" s="307">
        <f t="shared" si="95"/>
        <v>0</v>
      </c>
      <c r="M208" s="307"/>
    </row>
    <row r="209" spans="1:19" s="62" customFormat="1" ht="12.75" customHeight="1" x14ac:dyDescent="0.2">
      <c r="A209" s="199"/>
      <c r="B209" s="273"/>
      <c r="C209" s="273"/>
      <c r="D209" s="280"/>
      <c r="E209" s="273"/>
      <c r="F209" s="290"/>
      <c r="G209" s="290"/>
      <c r="H209" s="290"/>
      <c r="I209" s="290"/>
      <c r="J209" s="291"/>
      <c r="K209" s="213"/>
      <c r="L209" s="307">
        <f>I209*F209</f>
        <v>0</v>
      </c>
      <c r="M209" s="309"/>
      <c r="N209" s="213"/>
      <c r="O209" s="213"/>
      <c r="P209" s="213"/>
      <c r="Q209" s="213"/>
      <c r="R209" s="213"/>
      <c r="S209" s="213"/>
    </row>
    <row r="210" spans="1:19" s="62" customFormat="1" ht="12.75" customHeight="1" x14ac:dyDescent="0.2">
      <c r="A210" s="199"/>
      <c r="B210" s="272" t="s">
        <v>78</v>
      </c>
      <c r="C210" s="272"/>
      <c r="D210" s="278" t="s">
        <v>79</v>
      </c>
      <c r="E210" s="286"/>
      <c r="F210" s="286"/>
      <c r="G210" s="316"/>
      <c r="H210" s="286"/>
      <c r="I210" s="316"/>
      <c r="J210" s="287"/>
      <c r="K210" s="213"/>
      <c r="L210" s="307">
        <f t="shared" ref="L210:L232" si="105">I210*F210</f>
        <v>0</v>
      </c>
      <c r="M210" s="307"/>
      <c r="N210" s="213"/>
      <c r="O210" s="213"/>
      <c r="P210" s="213"/>
      <c r="Q210" s="213"/>
      <c r="R210" s="213"/>
      <c r="S210" s="213"/>
    </row>
    <row r="211" spans="1:19" s="62" customFormat="1" ht="12.75" customHeight="1" x14ac:dyDescent="0.2">
      <c r="A211" s="199"/>
      <c r="B211" s="206" t="s">
        <v>1149</v>
      </c>
      <c r="C211" s="206"/>
      <c r="D211" s="279" t="s">
        <v>1150</v>
      </c>
      <c r="E211" s="288"/>
      <c r="F211" s="288"/>
      <c r="G211" s="317"/>
      <c r="H211" s="288"/>
      <c r="I211" s="317"/>
      <c r="J211" s="289"/>
      <c r="K211" s="213"/>
      <c r="L211" s="307">
        <f t="shared" si="105"/>
        <v>0</v>
      </c>
      <c r="M211" s="307"/>
      <c r="N211" s="213"/>
      <c r="O211" s="213"/>
      <c r="P211" s="213"/>
      <c r="Q211" s="213"/>
      <c r="R211" s="213"/>
      <c r="S211" s="213"/>
    </row>
    <row r="212" spans="1:19" s="62" customFormat="1" ht="12.75" customHeight="1" x14ac:dyDescent="0.2">
      <c r="A212" s="199"/>
      <c r="B212" s="206" t="s">
        <v>80</v>
      </c>
      <c r="C212" s="206"/>
      <c r="D212" s="278" t="s">
        <v>81</v>
      </c>
      <c r="E212" s="286"/>
      <c r="F212" s="286"/>
      <c r="G212" s="316"/>
      <c r="H212" s="286"/>
      <c r="I212" s="316"/>
      <c r="J212" s="287"/>
      <c r="K212" s="213"/>
      <c r="L212" s="307">
        <f t="shared" si="105"/>
        <v>0</v>
      </c>
      <c r="M212" s="307"/>
      <c r="N212" s="213"/>
      <c r="O212" s="213"/>
      <c r="P212" s="213"/>
      <c r="Q212" s="213"/>
      <c r="R212" s="213"/>
      <c r="S212" s="213"/>
    </row>
    <row r="213" spans="1:19" s="62" customFormat="1" ht="12.75" customHeight="1" x14ac:dyDescent="0.2">
      <c r="A213" s="199"/>
      <c r="B213" s="206" t="s">
        <v>82</v>
      </c>
      <c r="C213" s="206"/>
      <c r="D213" s="279" t="s">
        <v>119</v>
      </c>
      <c r="E213" s="288"/>
      <c r="F213" s="288"/>
      <c r="G213" s="317"/>
      <c r="H213" s="288"/>
      <c r="I213" s="317"/>
      <c r="J213" s="289"/>
      <c r="K213" s="213"/>
      <c r="L213" s="307">
        <f t="shared" si="105"/>
        <v>0</v>
      </c>
      <c r="M213" s="307"/>
      <c r="N213" s="213"/>
      <c r="O213" s="213"/>
      <c r="P213" s="213"/>
      <c r="Q213" s="213"/>
      <c r="R213" s="213"/>
      <c r="S213" s="213"/>
    </row>
    <row r="214" spans="1:19" s="126" customFormat="1" x14ac:dyDescent="0.2">
      <c r="A214" s="406" t="s">
        <v>1121</v>
      </c>
      <c r="B214" s="207" t="s">
        <v>95</v>
      </c>
      <c r="C214" s="556" t="s">
        <v>1504</v>
      </c>
      <c r="D214" s="548" t="str">
        <f>IF(A214="SERVIÇO",VLOOKUP(C214,SERVIÇOS!$A$6:$D$7697,2,0),IF(A214="INSUMO",VLOOKUP(C214,INSUMOS!$A$6:$D$4845,2,0),IF(A214="COTAÇÃO",VLOOKUP(C214,'014-22-cotação'!$A$9:$I$138,2,0),IF(A214="CCU",VLOOKUP(C214,'014-22-CCU''s'!$B$10:$H$450,2,0)))))</f>
        <v>LIMPEZA FINAL DA OBRA</v>
      </c>
      <c r="E214" s="549" t="str">
        <f>IF(A214="SERVIÇO",VLOOKUP(C214,SERVIÇOS!$A$6:$D$7697,3,0),IF(A214="INSUMO",VLOOKUP(C214,INSUMOS!$A$6:$D$4845,3,0),IF(A214="COTAÇÃO",VLOOKUP(C214,'014-22-cotação'!$A$9:$I$138,4,0),IF(A214="CCU",VLOOKUP(C214,'014-22-CCU''s'!$B$10:$H$450,4,0)))))</f>
        <v>M2</v>
      </c>
      <c r="F214" s="550">
        <v>5069.4799999999996</v>
      </c>
      <c r="G214" s="551">
        <f>IF(A214="SERVIÇO",VLOOKUP(C214,SERVIÇOS!$A$6:$D$7697,4,0),IF(A214="INSUMO",VLOOKUP(C214,INSUMOS!$A$6:$D$4845,4,0),IF(A214="COTAÇÃO",VLOOKUP(C214,'014-22-cotação'!$A$9:$I$138,3,0),IF(A214="CCU",VLOOKUP(C214,'014-22-CCU''s'!$B$10:$H$450,7,0)))))</f>
        <v>2.36</v>
      </c>
      <c r="H214" s="552">
        <f t="shared" ref="H214:H216" si="106">$F$9</f>
        <v>0.18559999999999999</v>
      </c>
      <c r="I214" s="551">
        <f>(G214*(1+H214))</f>
        <v>2.7980159999999996</v>
      </c>
      <c r="J214" s="553">
        <f>I214*F214</f>
        <v>14184.486151679997</v>
      </c>
      <c r="K214" s="399"/>
      <c r="L214" s="309">
        <f t="shared" si="105"/>
        <v>14184.486151679997</v>
      </c>
      <c r="M214" s="309"/>
      <c r="N214" s="399" t="s">
        <v>4640</v>
      </c>
      <c r="O214" s="399"/>
      <c r="P214" s="399"/>
      <c r="Q214" s="399"/>
      <c r="R214" s="399"/>
      <c r="S214" s="399"/>
    </row>
    <row r="215" spans="1:19" s="126" customFormat="1" x14ac:dyDescent="0.2">
      <c r="A215" s="406" t="s">
        <v>1121</v>
      </c>
      <c r="B215" s="207" t="s">
        <v>96</v>
      </c>
      <c r="C215" s="556" t="s">
        <v>1505</v>
      </c>
      <c r="D215" s="548" t="str">
        <f>IF(A215="SERVIÇO",VLOOKUP(C215,SERVIÇOS!$A$6:$D$7697,2,0),IF(A215="INSUMO",VLOOKUP(C215,INSUMOS!$A$6:$D$4845,2,0),IF(A215="COTAÇÃO",VLOOKUP(C215,'014-22-cotação'!$A$9:$I$138,2,0),IF(A215="CCU",VLOOKUP(C215,'014-22-CCU''s'!$B$10:$H$450,2,0)))))</f>
        <v>LIMPEZA PERMANENTE DA OBRA</v>
      </c>
      <c r="E215" s="549" t="str">
        <f>IF(A215="SERVIÇO",VLOOKUP(C215,SERVIÇOS!$A$6:$D$7697,3,0),IF(A215="INSUMO",VLOOKUP(C215,INSUMOS!$A$6:$D$4845,3,0),IF(A215="COTAÇÃO",VLOOKUP(C215,'014-22-cotação'!$A$9:$I$138,4,0),IF(A215="CCU",VLOOKUP(C215,'014-22-CCU''s'!$B$10:$H$450,4,0)))))</f>
        <v xml:space="preserve">MÊS </v>
      </c>
      <c r="F215" s="550">
        <v>4</v>
      </c>
      <c r="G215" s="551">
        <f>IF(A215="SERVIÇO",VLOOKUP(C215,SERVIÇOS!$A$6:$D$7697,4,0),IF(A215="INSUMO",VLOOKUP(C215,INSUMOS!$A$6:$D$4845,4,0),IF(A215="COTAÇÃO",VLOOKUP(C215,'014-22-cotação'!$A$9:$I$138,3,0),IF(A215="CCU",VLOOKUP(C215,'014-22-CCU''s'!$B$10:$H$450,7,0)))))</f>
        <v>514.79999999999995</v>
      </c>
      <c r="H215" s="552">
        <f t="shared" si="106"/>
        <v>0.18559999999999999</v>
      </c>
      <c r="I215" s="551">
        <f>(G215*(1+H215))</f>
        <v>610.34687999999994</v>
      </c>
      <c r="J215" s="553">
        <f>I215*F215</f>
        <v>2441.3875199999998</v>
      </c>
      <c r="K215" s="399"/>
      <c r="L215" s="309">
        <f t="shared" si="105"/>
        <v>2441.3875199999998</v>
      </c>
      <c r="M215" s="309"/>
      <c r="N215" s="399"/>
      <c r="O215" s="399"/>
      <c r="P215" s="399"/>
      <c r="Q215" s="399"/>
      <c r="R215" s="399"/>
      <c r="S215" s="399"/>
    </row>
    <row r="216" spans="1:19" s="126" customFormat="1" ht="25.5" x14ac:dyDescent="0.2">
      <c r="A216" s="398" t="s">
        <v>12</v>
      </c>
      <c r="B216" s="207" t="s">
        <v>97</v>
      </c>
      <c r="C216" s="556" t="s">
        <v>1946</v>
      </c>
      <c r="D216" s="548" t="str">
        <f>IF(A216="SERVIÇO",VLOOKUP(C216,SERVIÇOS!$A$6:$D$7697,2,0),IF(A216="INSUMO",VLOOKUP(C216,INSUMOS!$A$6:$D$4845,2,0),IF(A216="COTAÇÃO",VLOOKUP(C216,'014-22-cotação'!$A$9:$I$138,2,0),IF(A216="CCU",VLOOKUP(C216,'014-22-CCU''s'!$B$10:$H$450,2,0)))))</f>
        <v>CONTAINER PARA ENTULHO INCLUINDO TAXA DE DEPOSIÇÃO FINAL</v>
      </c>
      <c r="E216" s="549" t="str">
        <f>IF(A216="SERVIÇO",VLOOKUP(C216,SERVIÇOS!$A$6:$D$7697,3,0),IF(A216="INSUMO",VLOOKUP(C216,INSUMOS!$A$6:$D$4845,3,0),IF(A216="COTAÇÃO",VLOOKUP(C216,'014-22-cotação'!$A$9:$I$138,4,0),IF(A216="CCU",VLOOKUP(C216,'014-22-CCU''s'!$B$10:$H$450,4,0)))))</f>
        <v>UN</v>
      </c>
      <c r="F216" s="550">
        <f>4*4</f>
        <v>16</v>
      </c>
      <c r="G216" s="551">
        <f>IF(A216="SERVIÇO",VLOOKUP(C216,SERVIÇOS!$A$6:$D$7697,4,0),IF(A216="INSUMO",VLOOKUP(C216,INSUMOS!$A$6:$D$4845,4,0),IF(A216="COTAÇÃO",VLOOKUP(C216,'014-22-cotação'!$A$9:$I$138,3,0),IF(A216="CCU",VLOOKUP(C216,'014-22-CCU''s'!$B$10:$H$450,7,0)))))</f>
        <v>330</v>
      </c>
      <c r="H216" s="552">
        <f t="shared" si="106"/>
        <v>0.18559999999999999</v>
      </c>
      <c r="I216" s="551">
        <f>(G216*(1+H216))</f>
        <v>391.24799999999999</v>
      </c>
      <c r="J216" s="553">
        <f>I216*F216</f>
        <v>6259.9679999999998</v>
      </c>
      <c r="K216" s="399"/>
      <c r="L216" s="309">
        <f t="shared" si="105"/>
        <v>6259.9679999999998</v>
      </c>
      <c r="M216" s="309"/>
      <c r="N216" s="399" t="s">
        <v>3916</v>
      </c>
      <c r="O216" s="399"/>
      <c r="P216" s="399"/>
      <c r="Q216" s="399"/>
      <c r="R216" s="399"/>
      <c r="S216" s="399"/>
    </row>
    <row r="217" spans="1:19" s="62" customFormat="1" ht="12.75" customHeight="1" x14ac:dyDescent="0.2">
      <c r="A217" s="199"/>
      <c r="B217" s="273"/>
      <c r="C217" s="273"/>
      <c r="D217" s="280"/>
      <c r="E217" s="273"/>
      <c r="F217" s="290"/>
      <c r="G217" s="290"/>
      <c r="H217" s="290"/>
      <c r="I217" s="290"/>
      <c r="J217" s="291"/>
      <c r="K217" s="213"/>
      <c r="L217" s="307">
        <f t="shared" si="105"/>
        <v>0</v>
      </c>
      <c r="M217" s="307"/>
      <c r="N217" s="213"/>
      <c r="O217" s="213"/>
      <c r="P217" s="213"/>
      <c r="Q217" s="213"/>
      <c r="R217" s="213"/>
      <c r="S217" s="213"/>
    </row>
    <row r="218" spans="1:19" s="62" customFormat="1" ht="12.75" customHeight="1" x14ac:dyDescent="0.2">
      <c r="A218" s="199"/>
      <c r="B218" s="206" t="s">
        <v>84</v>
      </c>
      <c r="C218" s="206"/>
      <c r="D218" s="278" t="s">
        <v>121</v>
      </c>
      <c r="E218" s="286"/>
      <c r="F218" s="286"/>
      <c r="G218" s="316"/>
      <c r="H218" s="286"/>
      <c r="I218" s="316"/>
      <c r="J218" s="287"/>
      <c r="K218" s="213"/>
      <c r="L218" s="307">
        <f t="shared" si="105"/>
        <v>0</v>
      </c>
      <c r="M218" s="307"/>
      <c r="N218" s="213"/>
      <c r="O218" s="213"/>
      <c r="P218" s="213"/>
      <c r="Q218" s="213"/>
      <c r="R218" s="213"/>
      <c r="S218" s="213"/>
    </row>
    <row r="219" spans="1:19" s="62" customFormat="1" ht="12.75" customHeight="1" x14ac:dyDescent="0.2">
      <c r="A219" s="199"/>
      <c r="B219" s="206" t="s">
        <v>85</v>
      </c>
      <c r="C219" s="206"/>
      <c r="D219" s="279" t="s">
        <v>86</v>
      </c>
      <c r="E219" s="288"/>
      <c r="F219" s="288"/>
      <c r="G219" s="317"/>
      <c r="H219" s="288"/>
      <c r="I219" s="317"/>
      <c r="J219" s="289"/>
      <c r="K219" s="213"/>
      <c r="L219" s="307">
        <f t="shared" si="105"/>
        <v>0</v>
      </c>
      <c r="M219" s="307"/>
      <c r="N219" s="213"/>
      <c r="O219" s="213"/>
      <c r="P219" s="213"/>
      <c r="Q219" s="213"/>
      <c r="R219" s="213"/>
      <c r="S219" s="213"/>
    </row>
    <row r="220" spans="1:19" s="126" customFormat="1" x14ac:dyDescent="0.2">
      <c r="A220" s="398" t="s">
        <v>12</v>
      </c>
      <c r="B220" s="207" t="s">
        <v>95</v>
      </c>
      <c r="C220" s="207" t="s">
        <v>1947</v>
      </c>
      <c r="D220" s="548" t="str">
        <f>IF(A220="SERVIÇO",VLOOKUP(C220,SERVIÇOS!$A$6:$D$7697,2,0),IF(A220="INSUMO",VLOOKUP(C220,INSUMOS!$A$6:$D$4845,2,0),IF(A220="COTAÇÃO",VLOOKUP(C220,'014-22-cotação'!$A$9:$I$138,2,0),IF(A220="CCU",VLOOKUP(C220,'014-22-CCU''s'!$B$10:$H$450,2,0)))))</f>
        <v>CÓPIA DE PROJETOS</v>
      </c>
      <c r="E220" s="549" t="str">
        <f>IF(A220="SERVIÇO",VLOOKUP(C220,SERVIÇOS!$A$6:$D$7697,3,0),IF(A220="INSUMO",VLOOKUP(C220,INSUMOS!$A$6:$D$4845,3,0),IF(A220="COTAÇÃO",VLOOKUP(C220,'014-22-cotação'!$A$9:$I$138,4,0),IF(A220="CCU",VLOOKUP(C220,'014-22-CCU''s'!$B$10:$H$450,4,0)))))</f>
        <v>UN</v>
      </c>
      <c r="F220" s="550">
        <f>15*2</f>
        <v>30</v>
      </c>
      <c r="G220" s="551">
        <f>IF(A220="SERVIÇO",VLOOKUP(C220,SERVIÇOS!$A$6:$D$7697,4,0),IF(A220="INSUMO",VLOOKUP(C220,INSUMOS!$A$6:$D$4845,4,0),IF(A220="COTAÇÃO",VLOOKUP(C220,'014-22-cotação'!$A$9:$I$138,3,0),IF(A220="CCU",VLOOKUP(C220,'014-22-CCU''s'!$B$10:$H$450,7,0)))))</f>
        <v>8.75</v>
      </c>
      <c r="H220" s="552">
        <f t="shared" ref="H220" si="107">$F$9</f>
        <v>0.18559999999999999</v>
      </c>
      <c r="I220" s="551">
        <f>(G220*(1+H220))</f>
        <v>10.374000000000001</v>
      </c>
      <c r="J220" s="553">
        <f>I220*F220</f>
        <v>311.22000000000003</v>
      </c>
      <c r="K220" s="399"/>
      <c r="L220" s="309">
        <f t="shared" si="105"/>
        <v>311.22000000000003</v>
      </c>
      <c r="M220" s="309"/>
      <c r="N220" s="399"/>
      <c r="O220" s="399"/>
      <c r="P220" s="399"/>
      <c r="Q220" s="399"/>
      <c r="R220" s="399"/>
      <c r="S220" s="399"/>
    </row>
    <row r="221" spans="1:19" s="62" customFormat="1" ht="12.75" customHeight="1" x14ac:dyDescent="0.2">
      <c r="A221" s="199"/>
      <c r="B221" s="273"/>
      <c r="C221" s="273"/>
      <c r="D221" s="280"/>
      <c r="E221" s="273"/>
      <c r="F221" s="290"/>
      <c r="G221" s="290"/>
      <c r="H221" s="290"/>
      <c r="I221" s="290"/>
      <c r="J221" s="291"/>
      <c r="K221" s="213"/>
      <c r="L221" s="307">
        <f t="shared" si="105"/>
        <v>0</v>
      </c>
      <c r="M221" s="307"/>
      <c r="N221" s="213"/>
      <c r="O221" s="213"/>
      <c r="P221" s="213"/>
      <c r="Q221" s="213"/>
      <c r="R221" s="213"/>
      <c r="S221" s="213"/>
    </row>
    <row r="222" spans="1:19" s="62" customFormat="1" ht="12.75" customHeight="1" x14ac:dyDescent="0.2">
      <c r="A222" s="199"/>
      <c r="B222" s="274"/>
      <c r="C222" s="275"/>
      <c r="D222" s="281"/>
      <c r="E222" s="275"/>
      <c r="F222" s="275"/>
      <c r="G222" s="315" t="s">
        <v>68</v>
      </c>
      <c r="H222" s="559"/>
      <c r="I222" s="315"/>
      <c r="J222" s="293">
        <f>SUM(J211:J220)</f>
        <v>23197.06167168</v>
      </c>
      <c r="K222" s="307"/>
      <c r="L222" s="307">
        <f t="shared" si="105"/>
        <v>0</v>
      </c>
      <c r="M222" s="307"/>
      <c r="N222" s="213"/>
      <c r="O222" s="213"/>
      <c r="P222" s="213"/>
      <c r="Q222" s="213"/>
      <c r="R222" s="213"/>
      <c r="S222" s="213"/>
    </row>
    <row r="223" spans="1:19" s="62" customFormat="1" ht="12.75" customHeight="1" x14ac:dyDescent="0.2">
      <c r="A223" s="199"/>
      <c r="B223" s="273"/>
      <c r="C223" s="273"/>
      <c r="D223" s="280"/>
      <c r="E223" s="273"/>
      <c r="F223" s="290"/>
      <c r="G223" s="290"/>
      <c r="H223" s="290"/>
      <c r="I223" s="290"/>
      <c r="J223" s="291"/>
      <c r="K223" s="213"/>
      <c r="L223" s="307">
        <f t="shared" si="105"/>
        <v>0</v>
      </c>
      <c r="M223" s="307"/>
      <c r="N223" s="213"/>
      <c r="O223" s="213"/>
      <c r="P223" s="213"/>
      <c r="Q223" s="213"/>
      <c r="R223" s="213"/>
      <c r="S223" s="213"/>
    </row>
    <row r="224" spans="1:19" s="62" customFormat="1" ht="12.75" customHeight="1" x14ac:dyDescent="0.2">
      <c r="A224" s="199"/>
      <c r="B224" s="206" t="s">
        <v>87</v>
      </c>
      <c r="C224" s="206"/>
      <c r="D224" s="278" t="s">
        <v>88</v>
      </c>
      <c r="E224" s="286"/>
      <c r="F224" s="286"/>
      <c r="G224" s="316"/>
      <c r="H224" s="286"/>
      <c r="I224" s="316"/>
      <c r="J224" s="287"/>
      <c r="K224" s="213"/>
      <c r="L224" s="307">
        <f t="shared" si="105"/>
        <v>0</v>
      </c>
      <c r="M224" s="307"/>
      <c r="N224" s="213"/>
      <c r="O224" s="213"/>
      <c r="P224" s="213"/>
      <c r="Q224" s="213"/>
      <c r="R224" s="213"/>
      <c r="S224" s="213"/>
    </row>
    <row r="225" spans="1:19" s="62" customFormat="1" ht="12.75" customHeight="1" x14ac:dyDescent="0.2">
      <c r="A225" s="199"/>
      <c r="B225" s="206" t="s">
        <v>122</v>
      </c>
      <c r="C225" s="206"/>
      <c r="D225" s="279" t="s">
        <v>123</v>
      </c>
      <c r="E225" s="288"/>
      <c r="F225" s="288"/>
      <c r="G225" s="317"/>
      <c r="H225" s="288"/>
      <c r="I225" s="317"/>
      <c r="J225" s="289"/>
      <c r="K225" s="213"/>
      <c r="L225" s="307">
        <f t="shared" si="105"/>
        <v>0</v>
      </c>
      <c r="M225" s="307"/>
      <c r="N225" s="213"/>
      <c r="O225" s="213"/>
      <c r="P225" s="213"/>
      <c r="Q225" s="213"/>
      <c r="R225" s="213"/>
      <c r="S225" s="213"/>
    </row>
    <row r="226" spans="1:19" s="62" customFormat="1" ht="12.75" customHeight="1" x14ac:dyDescent="0.2">
      <c r="A226" s="199"/>
      <c r="B226" s="206" t="s">
        <v>124</v>
      </c>
      <c r="C226" s="206"/>
      <c r="D226" s="279" t="s">
        <v>3535</v>
      </c>
      <c r="E226" s="288"/>
      <c r="F226" s="288"/>
      <c r="G226" s="317"/>
      <c r="H226" s="288"/>
      <c r="I226" s="317"/>
      <c r="J226" s="289"/>
      <c r="K226" s="213"/>
      <c r="L226" s="307">
        <f t="shared" si="105"/>
        <v>0</v>
      </c>
      <c r="M226" s="307"/>
      <c r="N226" s="213"/>
      <c r="O226" s="213"/>
      <c r="P226" s="213"/>
      <c r="Q226" s="213"/>
      <c r="R226" s="213"/>
      <c r="S226" s="213"/>
    </row>
    <row r="227" spans="1:19" s="468" customFormat="1" ht="76.5" x14ac:dyDescent="0.2">
      <c r="A227" s="515" t="s">
        <v>1121</v>
      </c>
      <c r="B227" s="207" t="s">
        <v>130</v>
      </c>
      <c r="C227" s="207" t="s">
        <v>1507</v>
      </c>
      <c r="D227" s="548" t="str">
        <f>IF(A227="SERVIÇO",VLOOKUP(C227,SERVIÇOS!$A$6:$D$7697,2,0),IF(A227="INSUMO",VLOOKUP(C227,INSUMOS!$A$6:$D$4845,2,0),IF(A227="COTAÇÃO",VLOOKUP(C227,'014-22-cotação'!$A$9:$I$138,2,0),IF(A227="CCU",VLOOKUP(C227,'014-22-CCU''s'!$B$10:$H$450,2,0)))))</f>
        <v>ADMINISTRAÇÃO LOCAL DA OBRA - (1 ALMOXARIFE, 1 ENGENHEIRO CIVIL MEIO PERÍODO, 1 MESTRE DE OBRAS, 1 ENCARREGADO E 1 POSTO DE VIGILANCIA - (PAGAMENTO PROPORCIONAL A EXECUÇÃO DA OBRA)</v>
      </c>
      <c r="E227" s="549" t="str">
        <f>IF(A227="SERVIÇO",VLOOKUP(C227,SERVIÇOS!$A$6:$D$7697,3,0),IF(A227="INSUMO",VLOOKUP(C227,INSUMOS!$A$6:$D$4845,3,0),IF(A227="COTAÇÃO",VLOOKUP(C227,'014-22-cotação'!$A$9:$I$138,4,0),IF(A227="CCU",VLOOKUP(C227,'014-22-CCU''s'!$B$10:$H$450,4,0)))))</f>
        <v xml:space="preserve">UN </v>
      </c>
      <c r="F227" s="550">
        <v>1</v>
      </c>
      <c r="G227" s="551">
        <f>IF(A227="SERVIÇO",VLOOKUP(C227,SERVIÇOS!$A$6:$D$7697,4,0),IF(A227="INSUMO",VLOOKUP(C227,INSUMOS!$A$6:$D$4845,4,0),IF(A227="COTAÇÃO",VLOOKUP(C227,'014-22-cotação'!$A$9:$I$138,3,0),IF(A227="CCU",VLOOKUP(C227,'014-22-CCU''s'!$B$10:$H$450,7,0)))))</f>
        <v>148847.69999999998</v>
      </c>
      <c r="H227" s="552">
        <f t="shared" ref="H227" si="108">$F$9</f>
        <v>0.18559999999999999</v>
      </c>
      <c r="I227" s="551">
        <f>(G227*(1+H227))</f>
        <v>176473.83311999997</v>
      </c>
      <c r="J227" s="553">
        <f>I227*F227</f>
        <v>176473.83311999997</v>
      </c>
      <c r="K227" s="463"/>
      <c r="L227" s="467">
        <f t="shared" si="105"/>
        <v>176473.83311999997</v>
      </c>
      <c r="M227" s="463"/>
      <c r="N227" s="463"/>
      <c r="O227" s="463"/>
      <c r="P227" s="463"/>
      <c r="Q227" s="463"/>
      <c r="R227" s="463"/>
      <c r="S227" s="463"/>
    </row>
    <row r="228" spans="1:19" s="62" customFormat="1" ht="12.75" customHeight="1" x14ac:dyDescent="0.2">
      <c r="A228" s="199"/>
      <c r="B228" s="273"/>
      <c r="C228" s="273"/>
      <c r="D228" s="280"/>
      <c r="E228" s="273"/>
      <c r="F228" s="290"/>
      <c r="G228" s="290"/>
      <c r="H228" s="290"/>
      <c r="I228" s="290"/>
      <c r="J228" s="291"/>
      <c r="K228" s="213"/>
      <c r="L228" s="307">
        <f t="shared" si="105"/>
        <v>0</v>
      </c>
      <c r="M228" s="307"/>
      <c r="N228" s="213"/>
      <c r="O228" s="213"/>
      <c r="P228" s="213"/>
      <c r="Q228" s="213"/>
      <c r="R228" s="213"/>
      <c r="S228" s="213"/>
    </row>
    <row r="229" spans="1:19" s="62" customFormat="1" ht="12.75" customHeight="1" x14ac:dyDescent="0.2">
      <c r="A229" s="199"/>
      <c r="B229" s="206" t="s">
        <v>89</v>
      </c>
      <c r="C229" s="206"/>
      <c r="D229" s="278" t="s">
        <v>90</v>
      </c>
      <c r="E229" s="286"/>
      <c r="F229" s="286"/>
      <c r="G229" s="316"/>
      <c r="H229" s="286"/>
      <c r="I229" s="316"/>
      <c r="J229" s="287"/>
      <c r="K229" s="213"/>
      <c r="L229" s="307">
        <f t="shared" si="105"/>
        <v>0</v>
      </c>
      <c r="M229" s="307"/>
      <c r="N229" s="213"/>
      <c r="O229" s="213"/>
      <c r="P229" s="213"/>
      <c r="Q229" s="213"/>
      <c r="R229" s="213"/>
      <c r="S229" s="213"/>
    </row>
    <row r="230" spans="1:19" s="62" customFormat="1" ht="12.75" customHeight="1" x14ac:dyDescent="0.2">
      <c r="A230" s="199"/>
      <c r="B230" s="206" t="s">
        <v>91</v>
      </c>
      <c r="C230" s="206"/>
      <c r="D230" s="279" t="s">
        <v>92</v>
      </c>
      <c r="E230" s="288"/>
      <c r="F230" s="288"/>
      <c r="G230" s="317"/>
      <c r="H230" s="288"/>
      <c r="I230" s="317"/>
      <c r="J230" s="289"/>
      <c r="K230" s="213"/>
      <c r="L230" s="307">
        <f t="shared" si="105"/>
        <v>0</v>
      </c>
      <c r="M230" s="307"/>
      <c r="N230" s="213"/>
      <c r="O230" s="213"/>
      <c r="P230" s="213"/>
      <c r="Q230" s="213"/>
      <c r="R230" s="213"/>
      <c r="S230" s="213"/>
    </row>
    <row r="231" spans="1:19" s="126" customFormat="1" ht="89.25" x14ac:dyDescent="0.2">
      <c r="A231" s="406" t="s">
        <v>1122</v>
      </c>
      <c r="B231" s="207" t="s">
        <v>1148</v>
      </c>
      <c r="C231" s="207">
        <v>10527</v>
      </c>
      <c r="D231" s="548" t="str">
        <f>IF(A231="SERVIÇO",VLOOKUP(C231,SERVIÇOS!$A$6:$D$7697,2,0),IF(A231="INSUMO",VLOOKUP(C231,INSUMOS!$A$6:$D$4845,2,0),IF(A231="COTAÇÃO",VLOOKUP(C231,'014-22-cotação'!$A$9:$I$138,2,0),IF(A231="CCU",VLOOKUP(C231,'014-22-CCU''s'!$B$10:$H$450,2,0)))))</f>
        <v xml:space="preserve">LOCACAO DE ANDAIME METALICO TUBULAR DE ENCAIXE, TIPO DE TORRE, CADA PAINEL COM LARGURA DE 1 ATE 1,5 M E ALTURA DE *1,00* M, INCLUINDO DIAGONAL, BARRAS DE LIGACAO, SAPATAS OU RODIZIOS E DEMAIS ITENS NECESSARIOS A MONTAGEM (NAO INCLUI INSTALACAO)                                                                                                                                                                                                                                                      </v>
      </c>
      <c r="E231" s="549" t="str">
        <f>IF(A231="SERVIÇO",VLOOKUP(C231,SERVIÇOS!$A$6:$D$7697,3,0),IF(A231="INSUMO",VLOOKUP(C231,INSUMOS!$A$6:$D$4845,3,0),IF(A231="COTAÇÃO",VLOOKUP(C231,'014-22-cotação'!$A$9:$I$138,4,0),IF(A231="CCU",VLOOKUP(C231,'014-22-CCU''s'!$B$10:$H$450,4,0)))))</f>
        <v xml:space="preserve">MXMES </v>
      </c>
      <c r="F231" s="550">
        <f>2*3</f>
        <v>6</v>
      </c>
      <c r="G231" s="551">
        <f>IF(A231="SERVIÇO",VLOOKUP(C231,SERVIÇOS!$A$6:$D$7697,4,0),IF(A231="INSUMO",VLOOKUP(C231,INSUMOS!$A$6:$D$4845,4,0),IF(A231="COTAÇÃO",VLOOKUP(C231,'014-22-cotação'!$A$9:$I$138,3,0),IF(A231="CCU",VLOOKUP(C231,'014-22-CCU''s'!$B$10:$H$450,7,0)))))</f>
        <v>25</v>
      </c>
      <c r="H231" s="552">
        <f t="shared" ref="H231:H232" si="109">$F$9</f>
        <v>0.18559999999999999</v>
      </c>
      <c r="I231" s="551">
        <f>(G231*(1+H231))</f>
        <v>29.64</v>
      </c>
      <c r="J231" s="553">
        <f>I231*F231</f>
        <v>177.84</v>
      </c>
      <c r="K231" s="399"/>
      <c r="L231" s="309">
        <f t="shared" si="105"/>
        <v>177.84</v>
      </c>
      <c r="M231" s="309"/>
      <c r="N231" s="399" t="s">
        <v>4622</v>
      </c>
      <c r="O231" s="399"/>
      <c r="P231" s="399"/>
      <c r="Q231" s="399"/>
      <c r="R231" s="399"/>
      <c r="S231" s="399"/>
    </row>
    <row r="232" spans="1:19" s="126" customFormat="1" ht="38.25" x14ac:dyDescent="0.2">
      <c r="A232" s="406" t="s">
        <v>1120</v>
      </c>
      <c r="B232" s="207" t="s">
        <v>98</v>
      </c>
      <c r="C232" s="207">
        <v>97064</v>
      </c>
      <c r="D232" s="548" t="str">
        <f>IF(A232="SERVIÇO",VLOOKUP(C232,SERVIÇOS!$A$6:$D$7697,2,0),IF(A232="INSUMO",VLOOKUP(C232,INSUMOS!$A$6:$D$4845,2,0),IF(A232="COTAÇÃO",VLOOKUP(C232,'014-22-cotação'!$A$9:$I$138,2,0),IF(A232="CCU",VLOOKUP(C232,'014-22-CCU''s'!$B$10:$H$450,2,0)))))</f>
        <v>MONTAGEM E DESMONTAGEM DE ANDAIME TUBULAR TIPO "TORRE" (EXCLUSIVE ANDAIME E LIMPEZA). AF_03/2024</v>
      </c>
      <c r="E232" s="549" t="str">
        <f>IF(A232="SERVIÇO",VLOOKUP(C232,SERVIÇOS!$A$6:$D$7697,3,0),IF(A232="INSUMO",VLOOKUP(C232,INSUMOS!$A$6:$D$4845,3,0),IF(A232="COTAÇÃO",VLOOKUP(C232,'014-22-cotação'!$A$9:$I$138,4,0),IF(A232="CCU",VLOOKUP(C232,'014-22-CCU''s'!$B$10:$H$450,4,0)))))</f>
        <v>M</v>
      </c>
      <c r="F232" s="550">
        <f>2*3</f>
        <v>6</v>
      </c>
      <c r="G232" s="551">
        <f>IF(A232="SERVIÇO",VLOOKUP(C232,SERVIÇOS!$A$6:$D$7697,4,0),IF(A232="INSUMO",VLOOKUP(C232,INSUMOS!$A$6:$D$4845,4,0),IF(A232="COTAÇÃO",VLOOKUP(C232,'014-22-cotação'!$A$9:$I$138,3,0),IF(A232="CCU",VLOOKUP(C232,'014-22-CCU''s'!$B$10:$H$450,7,0)))))</f>
        <v>26.55</v>
      </c>
      <c r="H232" s="552">
        <f t="shared" si="109"/>
        <v>0.18559999999999999</v>
      </c>
      <c r="I232" s="551">
        <f>(G232*(1+H232))</f>
        <v>31.477679999999999</v>
      </c>
      <c r="J232" s="553">
        <f>I232*F232</f>
        <v>188.86608000000001</v>
      </c>
      <c r="K232" s="399"/>
      <c r="L232" s="309">
        <f t="shared" si="105"/>
        <v>188.86608000000001</v>
      </c>
      <c r="M232" s="309"/>
      <c r="N232" s="399"/>
      <c r="O232" s="399"/>
      <c r="P232" s="399"/>
      <c r="Q232" s="399"/>
      <c r="R232" s="399"/>
      <c r="S232" s="399"/>
    </row>
    <row r="233" spans="1:19" s="62" customFormat="1" ht="12.75" customHeight="1" x14ac:dyDescent="0.2">
      <c r="A233" s="199"/>
      <c r="B233" s="273"/>
      <c r="C233" s="273"/>
      <c r="D233" s="280"/>
      <c r="E233" s="273"/>
      <c r="F233" s="290"/>
      <c r="G233" s="290"/>
      <c r="H233" s="290"/>
      <c r="I233" s="303"/>
      <c r="J233" s="291"/>
      <c r="K233" s="213"/>
      <c r="L233" s="307">
        <f>I233*F233</f>
        <v>0</v>
      </c>
      <c r="M233" s="309"/>
      <c r="N233" s="213"/>
      <c r="O233" s="213"/>
      <c r="P233" s="213"/>
      <c r="Q233" s="213"/>
      <c r="R233" s="213"/>
      <c r="S233" s="213"/>
    </row>
    <row r="234" spans="1:19" s="62" customFormat="1" ht="12.75" customHeight="1" x14ac:dyDescent="0.2">
      <c r="A234" s="199"/>
      <c r="B234" s="275"/>
      <c r="C234" s="275"/>
      <c r="D234" s="281"/>
      <c r="E234" s="275"/>
      <c r="F234" s="275"/>
      <c r="G234" s="295" t="s">
        <v>68</v>
      </c>
      <c r="H234" s="274"/>
      <c r="I234" s="295"/>
      <c r="J234" s="293">
        <f>SUM(J225:J233)</f>
        <v>176840.53919999997</v>
      </c>
      <c r="K234" s="307"/>
      <c r="L234" s="307">
        <f>I234*F234</f>
        <v>0</v>
      </c>
      <c r="M234" s="309"/>
      <c r="N234" s="213"/>
      <c r="O234" s="213"/>
      <c r="P234" s="213"/>
      <c r="Q234" s="213"/>
      <c r="R234" s="213"/>
      <c r="S234" s="213"/>
    </row>
    <row r="235" spans="1:19" s="62" customFormat="1" ht="12.75" customHeight="1" x14ac:dyDescent="0.2">
      <c r="A235" s="199"/>
      <c r="B235" s="273"/>
      <c r="C235" s="273"/>
      <c r="D235" s="280"/>
      <c r="E235" s="273"/>
      <c r="F235" s="290"/>
      <c r="G235" s="290"/>
      <c r="H235" s="290"/>
      <c r="I235" s="303"/>
      <c r="J235" s="291"/>
      <c r="K235" s="213"/>
      <c r="L235" s="307">
        <f>I235*F235</f>
        <v>0</v>
      </c>
      <c r="M235" s="309"/>
      <c r="N235" s="213"/>
      <c r="O235" s="213"/>
      <c r="P235" s="213"/>
      <c r="Q235" s="213"/>
      <c r="R235" s="213"/>
      <c r="S235" s="213"/>
    </row>
    <row r="236" spans="1:19" ht="12.75" customHeight="1" x14ac:dyDescent="0.2">
      <c r="B236" s="277"/>
      <c r="C236" s="277"/>
      <c r="D236" s="282"/>
      <c r="E236" s="277"/>
      <c r="F236" s="277"/>
      <c r="G236" s="296" t="s">
        <v>69</v>
      </c>
      <c r="H236" s="297"/>
      <c r="I236" s="298"/>
      <c r="J236" s="294">
        <f>J234+J222+J208+J188+J120+J88+J17</f>
        <v>1900956.793017834</v>
      </c>
      <c r="K236" s="308"/>
      <c r="L236" s="307">
        <f>I236*F236</f>
        <v>0</v>
      </c>
      <c r="M236" s="309"/>
    </row>
    <row r="237" spans="1:19" ht="12.75" customHeight="1" x14ac:dyDescent="0.2">
      <c r="I237" s="300"/>
      <c r="L237" s="308">
        <f>SUM(L12:L236)</f>
        <v>1900956.7930178337</v>
      </c>
    </row>
    <row r="238" spans="1:19" s="53" customFormat="1" ht="65.25" customHeight="1" x14ac:dyDescent="0.25">
      <c r="A238" s="93"/>
      <c r="B238" s="625" t="str">
        <f>'014-22-CAPA'!D37</f>
        <v>ENG. GILMAR DA MOTA FERNANDES
ART: 0720220018938
CREA: 23785/D-DF
Matrícula: 973.113-X</v>
      </c>
      <c r="C238" s="625"/>
      <c r="D238" s="625"/>
      <c r="E238" s="625"/>
      <c r="F238" s="625"/>
      <c r="G238" s="625"/>
      <c r="H238" s="625"/>
      <c r="I238" s="625"/>
      <c r="J238" s="625"/>
      <c r="K238" s="210"/>
      <c r="L238" s="210"/>
      <c r="M238" s="210"/>
      <c r="N238" s="210"/>
      <c r="O238" s="210"/>
      <c r="P238" s="210"/>
      <c r="Q238" s="210"/>
      <c r="R238" s="210"/>
      <c r="S238" s="210"/>
    </row>
    <row r="239" spans="1:19" s="53" customFormat="1" ht="65.25" customHeight="1" x14ac:dyDescent="0.25">
      <c r="A239" s="93"/>
      <c r="B239" s="625" t="str">
        <f>'014-22-CAPA'!D38</f>
        <v>ENG. HERBERT MESQUITA LOIOLA
ART: 0720240055972
CREA: 25130/D-DF
Matrícula: 973.299-3</v>
      </c>
      <c r="C239" s="625"/>
      <c r="D239" s="625"/>
      <c r="E239" s="625"/>
      <c r="F239" s="625"/>
      <c r="G239" s="625"/>
      <c r="H239" s="625"/>
      <c r="I239" s="625"/>
      <c r="J239" s="625"/>
      <c r="K239" s="210"/>
      <c r="L239" s="210"/>
      <c r="M239" s="210"/>
      <c r="N239" s="210"/>
      <c r="O239" s="210"/>
      <c r="P239" s="210"/>
      <c r="Q239" s="210"/>
      <c r="R239" s="210"/>
      <c r="S239" s="210"/>
    </row>
    <row r="240" spans="1:19" ht="12.75" customHeight="1" x14ac:dyDescent="0.2"/>
    <row r="244" spans="4:10" x14ac:dyDescent="0.2">
      <c r="D244" s="284"/>
      <c r="F244" s="276"/>
      <c r="G244" s="276"/>
      <c r="H244" s="276"/>
      <c r="I244" s="276"/>
      <c r="J244" s="276"/>
    </row>
    <row r="245" spans="4:10" x14ac:dyDescent="0.2">
      <c r="D245" s="284"/>
      <c r="F245" s="276"/>
      <c r="G245" s="276"/>
      <c r="H245" s="276"/>
      <c r="I245" s="276"/>
      <c r="J245" s="276"/>
    </row>
  </sheetData>
  <autoFilter ref="B11:J236" xr:uid="{00000000-0001-0000-0100-000000000000}"/>
  <mergeCells count="13">
    <mergeCell ref="B239:J239"/>
    <mergeCell ref="B6:C6"/>
    <mergeCell ref="D6:E6"/>
    <mergeCell ref="B1:J1"/>
    <mergeCell ref="B2:J2"/>
    <mergeCell ref="B3:J3"/>
    <mergeCell ref="B4:J4"/>
    <mergeCell ref="B5:J5"/>
    <mergeCell ref="B7:C7"/>
    <mergeCell ref="D7:F7"/>
    <mergeCell ref="B8:C8"/>
    <mergeCell ref="B9:C9"/>
    <mergeCell ref="B238:J238"/>
  </mergeCells>
  <printOptions horizontalCentered="1"/>
  <pageMargins left="0.59055118110236227" right="0.62992125984251968" top="0.39370078740157483" bottom="0.39370078740157483" header="0.19685039370078741" footer="0.19685039370078741"/>
  <pageSetup paperSize="9" scale="60" orientation="portrait" r:id="rId1"/>
  <headerFooter>
    <oddHeader>&amp;C&amp;F</oddHeader>
    <oddFoote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pageSetUpPr fitToPage="1"/>
  </sheetPr>
  <dimension ref="A1:BP487"/>
  <sheetViews>
    <sheetView showGridLines="0" view="pageBreakPreview" topLeftCell="A431" zoomScaleNormal="100" zoomScaleSheetLayoutView="100" workbookViewId="0">
      <selection activeCell="H445" sqref="H445"/>
    </sheetView>
  </sheetViews>
  <sheetFormatPr defaultColWidth="9.140625" defaultRowHeight="15" x14ac:dyDescent="0.25"/>
  <cols>
    <col min="1" max="1" width="14.7109375" style="265" customWidth="1"/>
    <col min="2" max="2" width="12.5703125" style="265" customWidth="1"/>
    <col min="3" max="3" width="44.42578125" style="267" customWidth="1"/>
    <col min="4" max="4" width="8.140625" style="265" customWidth="1"/>
    <col min="5" max="5" width="7.5703125" style="265" customWidth="1"/>
    <col min="6" max="6" width="14.42578125" style="265" customWidth="1"/>
    <col min="7" max="7" width="10.7109375" style="265" customWidth="1"/>
    <col min="8" max="8" width="17.5703125" style="265" customWidth="1"/>
    <col min="9" max="9" width="9.140625" style="25" customWidth="1"/>
    <col min="10" max="10" width="19.28515625" style="129" customWidth="1"/>
    <col min="11" max="11" width="17.5703125" style="25" customWidth="1"/>
    <col min="12" max="14" width="14.7109375" style="25" customWidth="1"/>
    <col min="15" max="15" width="13.42578125" style="25" customWidth="1"/>
    <col min="16" max="17" width="14.7109375" style="25" customWidth="1"/>
    <col min="18" max="18" width="9.140625" style="25"/>
    <col min="19" max="19" width="9.140625" style="341"/>
    <col min="20" max="20" width="9.140625" style="267"/>
    <col min="21" max="16384" width="9.140625" style="25"/>
  </cols>
  <sheetData>
    <row r="1" spans="1:24" s="30" customFormat="1" ht="15.75" x14ac:dyDescent="0.25">
      <c r="A1" s="92"/>
      <c r="B1" s="632"/>
      <c r="C1" s="628"/>
      <c r="D1" s="632"/>
      <c r="E1" s="632"/>
      <c r="F1" s="632"/>
      <c r="G1" s="632"/>
      <c r="H1" s="632"/>
      <c r="I1" s="61"/>
      <c r="S1" s="339"/>
      <c r="T1" s="305"/>
    </row>
    <row r="2" spans="1:24" s="56" customFormat="1" ht="18.75" x14ac:dyDescent="0.2">
      <c r="A2" s="262"/>
      <c r="B2" s="633" t="s">
        <v>1151</v>
      </c>
      <c r="C2" s="633"/>
      <c r="D2" s="633"/>
      <c r="E2" s="633"/>
      <c r="F2" s="633"/>
      <c r="G2" s="633"/>
      <c r="H2" s="633"/>
      <c r="I2" s="96"/>
      <c r="J2" s="96"/>
      <c r="K2" s="96"/>
      <c r="L2" s="11"/>
      <c r="M2" s="11"/>
      <c r="N2" s="11"/>
      <c r="O2" s="11"/>
      <c r="P2" s="11"/>
      <c r="Q2" s="11"/>
      <c r="R2" s="11"/>
      <c r="S2" s="340"/>
      <c r="T2" s="83"/>
      <c r="U2" s="11"/>
      <c r="V2" s="11"/>
      <c r="W2" s="11"/>
      <c r="X2" s="11"/>
    </row>
    <row r="3" spans="1:24" s="56" customFormat="1" ht="18.75" x14ac:dyDescent="0.2">
      <c r="A3" s="262"/>
      <c r="B3" s="633" t="s">
        <v>1152</v>
      </c>
      <c r="C3" s="633"/>
      <c r="D3" s="633"/>
      <c r="E3" s="633"/>
      <c r="F3" s="633"/>
      <c r="G3" s="633"/>
      <c r="H3" s="633"/>
      <c r="I3" s="96"/>
      <c r="J3" s="96"/>
      <c r="K3" s="96"/>
      <c r="L3" s="11"/>
      <c r="M3" s="11"/>
      <c r="N3" s="11"/>
      <c r="O3" s="11"/>
      <c r="P3" s="11"/>
      <c r="Q3" s="11"/>
      <c r="R3" s="11"/>
      <c r="S3" s="340"/>
      <c r="T3" s="83"/>
      <c r="U3" s="11"/>
      <c r="V3" s="11"/>
      <c r="W3" s="11"/>
      <c r="X3" s="11"/>
    </row>
    <row r="4" spans="1:24" s="56" customFormat="1" ht="18.75" x14ac:dyDescent="0.2">
      <c r="A4" s="262"/>
      <c r="B4" s="633" t="s">
        <v>1154</v>
      </c>
      <c r="C4" s="633"/>
      <c r="D4" s="633"/>
      <c r="E4" s="633"/>
      <c r="F4" s="633"/>
      <c r="G4" s="633"/>
      <c r="H4" s="633"/>
      <c r="I4" s="96"/>
      <c r="J4" s="96"/>
      <c r="K4" s="96"/>
      <c r="L4" s="57"/>
      <c r="M4" s="57"/>
      <c r="N4" s="57"/>
      <c r="O4" s="55"/>
      <c r="P4" s="11"/>
      <c r="Q4" s="11"/>
      <c r="R4" s="11"/>
      <c r="S4" s="340"/>
      <c r="T4" s="83"/>
      <c r="U4" s="11"/>
      <c r="V4" s="11"/>
      <c r="W4" s="11"/>
      <c r="X4" s="11"/>
    </row>
    <row r="5" spans="1:24" s="56" customFormat="1" ht="18.75" x14ac:dyDescent="0.2">
      <c r="A5" s="262"/>
      <c r="B5" s="633" t="s">
        <v>189</v>
      </c>
      <c r="C5" s="633"/>
      <c r="D5" s="633"/>
      <c r="E5" s="633"/>
      <c r="F5" s="633"/>
      <c r="G5" s="633"/>
      <c r="H5" s="633"/>
      <c r="I5" s="96"/>
      <c r="J5" s="96"/>
      <c r="K5" s="96"/>
      <c r="L5" s="11"/>
      <c r="M5" s="11"/>
      <c r="N5" s="11"/>
      <c r="O5" s="55"/>
      <c r="P5" s="11"/>
      <c r="Q5" s="11"/>
      <c r="R5" s="11"/>
      <c r="S5" s="340"/>
      <c r="T5" s="83"/>
      <c r="U5" s="11"/>
      <c r="V5" s="11"/>
      <c r="W5" s="11"/>
      <c r="X5" s="11"/>
    </row>
    <row r="6" spans="1:24" s="50" customFormat="1" ht="24.75" customHeight="1" x14ac:dyDescent="0.2">
      <c r="A6" s="95"/>
      <c r="B6" s="221" t="s">
        <v>99</v>
      </c>
      <c r="C6" s="209" t="s">
        <v>12768</v>
      </c>
      <c r="D6" s="93"/>
      <c r="E6" s="93"/>
      <c r="F6" s="95"/>
      <c r="G6" s="233" t="s">
        <v>60</v>
      </c>
      <c r="H6" s="234">
        <f>'014-22-CAPA'!E20</f>
        <v>45478</v>
      </c>
      <c r="I6" s="52"/>
      <c r="L6" s="49"/>
      <c r="M6" s="49"/>
      <c r="N6" s="49"/>
      <c r="O6" s="49"/>
      <c r="P6" s="49"/>
      <c r="Q6" s="49"/>
      <c r="R6" s="49"/>
      <c r="S6" s="220"/>
      <c r="T6" s="210"/>
      <c r="U6" s="49"/>
    </row>
    <row r="7" spans="1:24" s="50" customFormat="1" ht="18" customHeight="1" x14ac:dyDescent="0.2">
      <c r="A7" s="95"/>
      <c r="B7" s="221" t="s">
        <v>13</v>
      </c>
      <c r="C7" s="607" t="s">
        <v>4273</v>
      </c>
      <c r="D7" s="638"/>
      <c r="E7" s="638"/>
      <c r="F7" s="95"/>
      <c r="G7" s="221" t="s">
        <v>16</v>
      </c>
      <c r="H7" s="93" t="str">
        <f>'014.01-22-ORÇAMENTO'!J7</f>
        <v>PROJ-DE-034-20</v>
      </c>
      <c r="I7" s="51"/>
      <c r="L7" s="49"/>
      <c r="M7" s="49"/>
      <c r="N7" s="49"/>
      <c r="O7" s="49"/>
      <c r="P7" s="49"/>
      <c r="Q7" s="49"/>
      <c r="R7" s="49"/>
      <c r="S7" s="220"/>
      <c r="T7" s="210"/>
      <c r="U7" s="49"/>
    </row>
    <row r="8" spans="1:24" s="50" customFormat="1" ht="25.5" customHeight="1" x14ac:dyDescent="0.2">
      <c r="A8" s="95"/>
      <c r="B8" s="221" t="s">
        <v>100</v>
      </c>
      <c r="C8" s="266" t="str">
        <f>'014.01-22-ORÇAMENTO'!D9</f>
        <v>horista=110,14% / mensalista=70,04%</v>
      </c>
      <c r="D8" s="244" t="s">
        <v>65</v>
      </c>
      <c r="E8" s="216" t="s">
        <v>66</v>
      </c>
      <c r="F8" s="95"/>
      <c r="G8" s="233" t="s">
        <v>67</v>
      </c>
      <c r="H8" s="93" t="str">
        <f>'014.01-22-ORÇAMENTO'!J9</f>
        <v>SINAPI MAIO 2024</v>
      </c>
      <c r="I8" s="52"/>
      <c r="L8" s="49"/>
      <c r="M8" s="49"/>
      <c r="N8" s="49"/>
      <c r="O8" s="49"/>
      <c r="P8" s="49"/>
      <c r="Q8" s="49"/>
      <c r="R8" s="49"/>
      <c r="S8" s="220"/>
      <c r="T8" s="210"/>
      <c r="U8" s="49"/>
    </row>
    <row r="9" spans="1:24" s="62" customFormat="1" ht="25.5" x14ac:dyDescent="0.2">
      <c r="A9" s="199"/>
      <c r="B9" s="263" t="s">
        <v>0</v>
      </c>
      <c r="C9" s="177" t="s">
        <v>1</v>
      </c>
      <c r="D9" s="178" t="s">
        <v>1978</v>
      </c>
      <c r="E9" s="178" t="s">
        <v>131</v>
      </c>
      <c r="F9" s="179" t="s">
        <v>2157</v>
      </c>
      <c r="G9" s="180" t="s">
        <v>3431</v>
      </c>
      <c r="H9" s="181" t="s">
        <v>3432</v>
      </c>
      <c r="J9" s="11"/>
      <c r="S9" s="331"/>
      <c r="T9" s="213"/>
    </row>
    <row r="10" spans="1:24" s="213" customFormat="1" ht="12.75" x14ac:dyDescent="0.25">
      <c r="B10" s="269"/>
      <c r="C10" s="383"/>
      <c r="D10" s="383"/>
      <c r="E10" s="383"/>
      <c r="F10" s="383"/>
      <c r="G10" s="383"/>
      <c r="H10" s="384"/>
      <c r="J10" s="83"/>
      <c r="S10" s="331"/>
      <c r="T10" s="342"/>
    </row>
    <row r="11" spans="1:24" s="213" customFormat="1" ht="38.25" x14ac:dyDescent="0.25">
      <c r="B11" s="263" t="s">
        <v>1493</v>
      </c>
      <c r="C11" s="177" t="s">
        <v>4624</v>
      </c>
      <c r="D11" s="178" t="s">
        <v>101</v>
      </c>
      <c r="E11" s="178" t="s">
        <v>10</v>
      </c>
      <c r="F11" s="344"/>
      <c r="G11" s="345"/>
      <c r="H11" s="181">
        <f>ROUND(SUM(H12:H12),2)</f>
        <v>1093.75</v>
      </c>
      <c r="J11" s="83"/>
      <c r="S11" s="331"/>
      <c r="T11" s="342"/>
    </row>
    <row r="12" spans="1:24" s="399" customFormat="1" ht="51" x14ac:dyDescent="0.25">
      <c r="A12" s="398" t="s">
        <v>1122</v>
      </c>
      <c r="B12" s="207">
        <v>10776</v>
      </c>
      <c r="C12" s="548" t="str">
        <f>IF(A12="SERVIÇO",VLOOKUP(B12,SERVIÇOS!$A$6:$D$7697,2,0),IF(A12="INSUMO",VLOOKUP(B12,INSUMOS!$A$6:$D$4845,2,0),IF(A12="COTAÇÃO",VLOOKUP(B12,'014-22-cotação'!$A$9:$I$138,2,0),IF(A12="AUX",VLOOKUP('014-22-CCU''s'!B12,'014-22-CCU''s AUX'!$B$1:$H$130,2,0)))))</f>
        <v xml:space="preserve">LOCACAO DE CONTAINER 2,30 X 6,00 M, ALT. 2,50 M, PARA ESCRITORIO, SEM DIVISORIAS INTERNAS E SEM SANITARIO (NAO INCLUI MOBILIZACAO/DESMOBILIZACAO)                                                                                                                                                                                                                                                                                                                                                         </v>
      </c>
      <c r="D12" s="549" t="str">
        <f>IF(A12="SERVIÇO",VLOOKUP(B12,SERVIÇOS!$A$6:$E$7697,5,0),IF(A12="INSUMO",VLOOKUP(B12,INSUMOS!$A$6:$E$4845,5,0),IF(A12="COTAÇÃO",VLOOKUP(B12,'014-22-cotação'!$A$9:$J$138,10,0),IF(A12="AUX",VLOOKUP('014-22-CCU''s'!B12,'014-22-CCU''s AUX'!$B$1:$H$130,3,0)))))</f>
        <v>EQUIP.</v>
      </c>
      <c r="E12" s="549" t="str">
        <f>IF(A12="SERVIÇO",VLOOKUP(B12,SERVIÇOS!$A$6:$D$7697,3,0),IF(A12="INSUMO",VLOOKUP(B12,INSUMOS!$A$6:$D$4845,3,0),IF(A12="COTAÇÃO",VLOOKUP(B12,'014-22-cotação'!$A$9:$I$138,4,0),IF(A12="AUX",VLOOKUP('014-22-CCU''s'!B12,'014-22-CCU''s AUX'!$B$1:$H$130,4,0)))))</f>
        <v xml:space="preserve">MES   </v>
      </c>
      <c r="F12" s="560">
        <v>1</v>
      </c>
      <c r="G12" s="550">
        <f>IF(A12="SERVIÇO",VLOOKUP(B12,SERVIÇOS!$A$6:$D$7697,4,0),IF(A12="INSUMO",VLOOKUP(B12,INSUMOS!$A$6:$D$4845,4,0),IF(A12="COTAÇÃO",VLOOKUP(B12,'014-22-cotação'!$A$9:$I$138,3,0),IF(A12="AUX",VLOOKUP('014-22-CCU''s'!B12,'014-22-CCU''s AUX'!$B$1:$H$130,7,0)))))</f>
        <v>1093.75</v>
      </c>
      <c r="H12" s="561">
        <f>TRUNC((F12*G12),2)</f>
        <v>1093.75</v>
      </c>
      <c r="J12" s="401"/>
      <c r="S12" s="402"/>
      <c r="T12" s="400"/>
    </row>
    <row r="13" spans="1:24" s="213" customFormat="1" ht="12.75" x14ac:dyDescent="0.25">
      <c r="B13" s="207" t="s">
        <v>109</v>
      </c>
      <c r="C13" s="382" t="s">
        <v>4625</v>
      </c>
      <c r="D13" s="383"/>
      <c r="E13" s="383"/>
      <c r="F13" s="383"/>
      <c r="G13" s="383"/>
      <c r="H13" s="384"/>
      <c r="J13" s="330"/>
      <c r="S13" s="331"/>
      <c r="T13" s="342"/>
    </row>
    <row r="14" spans="1:24" s="213" customFormat="1" ht="12.75" x14ac:dyDescent="0.25">
      <c r="A14" s="199"/>
      <c r="B14" s="269"/>
      <c r="C14" s="383"/>
      <c r="D14" s="270"/>
      <c r="E14" s="270"/>
      <c r="F14" s="270"/>
      <c r="G14" s="270"/>
      <c r="H14" s="271"/>
      <c r="J14" s="83"/>
      <c r="S14" s="331"/>
      <c r="T14" s="342"/>
    </row>
    <row r="15" spans="1:24" s="213" customFormat="1" ht="38.25" x14ac:dyDescent="0.25">
      <c r="A15" s="199"/>
      <c r="B15" s="263" t="s">
        <v>1494</v>
      </c>
      <c r="C15" s="177" t="s">
        <v>3908</v>
      </c>
      <c r="D15" s="178" t="s">
        <v>101</v>
      </c>
      <c r="E15" s="178" t="s">
        <v>10</v>
      </c>
      <c r="F15" s="179"/>
      <c r="G15" s="180"/>
      <c r="H15" s="181">
        <f>ROUND(SUM(H16:H20),2)</f>
        <v>369.61</v>
      </c>
      <c r="J15" s="83"/>
      <c r="S15" s="331"/>
      <c r="T15" s="342"/>
    </row>
    <row r="16" spans="1:24" s="399" customFormat="1" ht="25.5" x14ac:dyDescent="0.25">
      <c r="A16" s="398" t="s">
        <v>1122</v>
      </c>
      <c r="B16" s="207">
        <v>4491</v>
      </c>
      <c r="C16" s="548" t="str">
        <f>IF(A16="SERVIÇO",VLOOKUP(B16,SERVIÇOS!$A$6:$D$7697,2,0),IF(A16="INSUMO",VLOOKUP(B16,INSUMOS!$A$6:$D$4845,2,0),IF(A16="COTAÇÃO",VLOOKUP(B16,'014-22-cotação'!$A$9:$I$138,2,0),IF(A16="AUX",VLOOKUP('014-22-CCU''s'!B16,'014-22-CCU''s AUX'!$B$1:$H$130,2,0)))))</f>
        <v xml:space="preserve">PONTALETE *7,5 X 7,5* CM EM PINUS, MISTA OU EQUIVALENTE DA REGIAO - BRUTA                                                                                                                                                                                                                                                                                                                                                                                                                                 </v>
      </c>
      <c r="D16" s="549" t="str">
        <f>IF(A16="SERVIÇO",VLOOKUP(B16,SERVIÇOS!$A$6:$E$7697,5,0),IF(A16="INSUMO",VLOOKUP(B16,INSUMOS!$A$6:$E$4845,5,0),IF(A16="COTAÇÃO",VLOOKUP(B16,'014-22-cotação'!$A$9:$J$138,10,0),IF(A16="AUX",VLOOKUP('014-22-CCU''s'!B16,'014-22-CCU''s AUX'!$B$1:$H$130,3,0)))))</f>
        <v>MAT.</v>
      </c>
      <c r="E16" s="549" t="str">
        <f>IF(A16="SERVIÇO",VLOOKUP(B16,SERVIÇOS!$A$6:$D$7697,3,0),IF(A16="INSUMO",VLOOKUP(B16,INSUMOS!$A$6:$D$4845,3,0),IF(A16="COTAÇÃO",VLOOKUP(B16,'014-22-cotação'!$A$9:$I$138,4,0),IF(A16="AUX",VLOOKUP('014-22-CCU''s'!B16,'014-22-CCU''s AUX'!$B$1:$H$130,4,0)))))</f>
        <v xml:space="preserve">M     </v>
      </c>
      <c r="F16" s="560">
        <v>21.45</v>
      </c>
      <c r="G16" s="550">
        <f>IF(A16="SERVIÇO",VLOOKUP(B16,SERVIÇOS!$A$6:$D$7697,4,0),IF(A16="INSUMO",VLOOKUP(B16,INSUMOS!$A$6:$D$4845,4,0),IF(A16="COTAÇÃO",VLOOKUP(B16,'014-22-cotação'!$A$9:$I$138,3,0),IF(A16="AUX",VLOOKUP('014-22-CCU''s'!B16,'014-22-CCU''s AUX'!$B$1:$H$130,7,0)))))</f>
        <v>7.6</v>
      </c>
      <c r="H16" s="561">
        <f t="shared" ref="H16:H20" si="0">TRUNC((F16*G16),2)</f>
        <v>163.02000000000001</v>
      </c>
      <c r="J16" s="401"/>
      <c r="S16" s="402"/>
      <c r="T16" s="400"/>
    </row>
    <row r="17" spans="1:20" s="399" customFormat="1" ht="25.5" x14ac:dyDescent="0.25">
      <c r="A17" s="398" t="s">
        <v>1120</v>
      </c>
      <c r="B17" s="207">
        <v>88262</v>
      </c>
      <c r="C17" s="548" t="str">
        <f>IF(A17="SERVIÇO",VLOOKUP(B17,SERVIÇOS!$A$6:$D$7697,2,0),IF(A17="INSUMO",VLOOKUP(B17,INSUMOS!$A$6:$D$4845,2,0),IF(A17="COTAÇÃO",VLOOKUP(B17,'014-22-cotação'!$A$9:$I$138,2,0),IF(A17="AUX",VLOOKUP('014-22-CCU''s'!B17,'014-22-CCU''s AUX'!$B$1:$H$130,2,0)))))</f>
        <v>CARPINTEIRO DE FORMAS COM ENCARGOS COMPLEMENTARES</v>
      </c>
      <c r="D17" s="549" t="str">
        <f>IF(A17="SERVIÇO",VLOOKUP(B17,SERVIÇOS!$A$6:$E$7697,5,0),IF(A17="INSUMO",VLOOKUP(B17,INSUMOS!$A$6:$E$4845,5,0),IF(A17="COTAÇÃO",VLOOKUP(B17,'014-22-cotação'!$A$9:$J$138,10,0),IF(A17="AUX",VLOOKUP('014-22-CCU''s'!B17,'014-22-CCU''s AUX'!$B$1:$H$130,3,0)))))</f>
        <v>M.O</v>
      </c>
      <c r="E17" s="549" t="str">
        <f>IF(A17="SERVIÇO",VLOOKUP(B17,SERVIÇOS!$A$6:$D$7697,3,0),IF(A17="INSUMO",VLOOKUP(B17,INSUMOS!$A$6:$D$4845,3,0),IF(A17="COTAÇÃO",VLOOKUP(B17,'014-22-cotação'!$A$9:$I$138,4,0),IF(A17="AUX",VLOOKUP('014-22-CCU''s'!B17,'014-22-CCU''s AUX'!$B$1:$H$130,4,0)))))</f>
        <v>H</v>
      </c>
      <c r="F17" s="560">
        <v>0.6</v>
      </c>
      <c r="G17" s="550">
        <f>IF(A17="SERVIÇO",VLOOKUP(B17,SERVIÇOS!$A$6:$D$7697,4,0),IF(A17="INSUMO",VLOOKUP(B17,INSUMOS!$A$6:$D$4845,4,0),IF(A17="COTAÇÃO",VLOOKUP(B17,'014-22-cotação'!$A$9:$I$138,3,0),IF(A17="AUX",VLOOKUP('014-22-CCU''s'!B17,'014-22-CCU''s AUX'!$B$1:$H$130,7,0)))))</f>
        <v>30.71</v>
      </c>
      <c r="H17" s="561">
        <f t="shared" si="0"/>
        <v>18.420000000000002</v>
      </c>
      <c r="J17" s="401"/>
      <c r="S17" s="402"/>
      <c r="T17" s="400"/>
    </row>
    <row r="18" spans="1:20" s="399" customFormat="1" ht="25.5" x14ac:dyDescent="0.25">
      <c r="A18" s="398" t="s">
        <v>1122</v>
      </c>
      <c r="B18" s="207">
        <v>5067</v>
      </c>
      <c r="C18" s="548" t="str">
        <f>IF(A18="SERVIÇO",VLOOKUP(B18,SERVIÇOS!$A$6:$D$7697,2,0),IF(A18="INSUMO",VLOOKUP(B18,INSUMOS!$A$6:$D$4845,2,0),IF(A18="COTAÇÃO",VLOOKUP(B18,'014-22-cotação'!$A$9:$I$138,2,0),IF(A18="AUX",VLOOKUP('014-22-CCU''s'!B18,'014-22-CCU''s AUX'!$B$1:$H$130,2,0)))))</f>
        <v xml:space="preserve">PREGO DE ACO POLIDO COM CABECA 16 X 24 (2 1/4 X 12)                                                                                                                                                                                                                                                                                                                                                                                                                                                       </v>
      </c>
      <c r="D18" s="549" t="str">
        <f>IF(A18="SERVIÇO",VLOOKUP(B18,SERVIÇOS!$A$6:$E$7697,5,0),IF(A18="INSUMO",VLOOKUP(B18,INSUMOS!$A$6:$E$4845,5,0),IF(A18="COTAÇÃO",VLOOKUP(B18,'014-22-cotação'!$A$9:$J$138,10,0),IF(A18="AUX",VLOOKUP('014-22-CCU''s'!B18,'014-22-CCU''s AUX'!$B$1:$H$130,3,0)))))</f>
        <v>MAT.</v>
      </c>
      <c r="E18" s="549" t="str">
        <f>IF(A18="SERVIÇO",VLOOKUP(B18,SERVIÇOS!$A$6:$D$7697,3,0),IF(A18="INSUMO",VLOOKUP(B18,INSUMOS!$A$6:$D$4845,3,0),IF(A18="COTAÇÃO",VLOOKUP(B18,'014-22-cotação'!$A$9:$I$138,4,0),IF(A18="AUX",VLOOKUP('014-22-CCU''s'!B18,'014-22-CCU''s AUX'!$B$1:$H$130,4,0)))))</f>
        <v xml:space="preserve">KG    </v>
      </c>
      <c r="F18" s="560">
        <v>0.2</v>
      </c>
      <c r="G18" s="550">
        <f>IF(A18="SERVIÇO",VLOOKUP(B18,SERVIÇOS!$A$6:$D$7697,4,0),IF(A18="INSUMO",VLOOKUP(B18,INSUMOS!$A$6:$D$4845,4,0),IF(A18="COTAÇÃO",VLOOKUP(B18,'014-22-cotação'!$A$9:$I$138,3,0),IF(A18="AUX",VLOOKUP('014-22-CCU''s'!B18,'014-22-CCU''s AUX'!$B$1:$H$130,7,0)))))</f>
        <v>20.16</v>
      </c>
      <c r="H18" s="561">
        <f t="shared" si="0"/>
        <v>4.03</v>
      </c>
      <c r="J18" s="401"/>
      <c r="S18" s="402"/>
      <c r="T18" s="400"/>
    </row>
    <row r="19" spans="1:20" s="399" customFormat="1" ht="25.5" x14ac:dyDescent="0.25">
      <c r="A19" s="398" t="s">
        <v>1120</v>
      </c>
      <c r="B19" s="207">
        <v>88316</v>
      </c>
      <c r="C19" s="548" t="str">
        <f>IF(A19="SERVIÇO",VLOOKUP(B19,SERVIÇOS!$A$6:$D$7697,2,0),IF(A19="INSUMO",VLOOKUP(B19,INSUMOS!$A$6:$D$4845,2,0),IF(A19="COTAÇÃO",VLOOKUP(B19,'014-22-cotação'!$A$9:$I$138,2,0),IF(A19="AUX",VLOOKUP('014-22-CCU''s'!B19,'014-22-CCU''s AUX'!$B$1:$H$130,2,0)))))</f>
        <v>SERVENTE COM ENCARGOS COMPLEMENTARES</v>
      </c>
      <c r="D19" s="549" t="str">
        <f>IF(A19="SERVIÇO",VLOOKUP(B19,SERVIÇOS!$A$6:$E$7697,5,0),IF(A19="INSUMO",VLOOKUP(B19,INSUMOS!$A$6:$E$4845,5,0),IF(A19="COTAÇÃO",VLOOKUP(B19,'014-22-cotação'!$A$9:$J$138,10,0),IF(A19="AUX",VLOOKUP('014-22-CCU''s'!B19,'014-22-CCU''s AUX'!$B$1:$H$130,3,0)))))</f>
        <v>M.O</v>
      </c>
      <c r="E19" s="549" t="str">
        <f>IF(A19="SERVIÇO",VLOOKUP(B19,SERVIÇOS!$A$6:$D$7697,3,0),IF(A19="INSUMO",VLOOKUP(B19,INSUMOS!$A$6:$D$4845,3,0),IF(A19="COTAÇÃO",VLOOKUP(B19,'014-22-cotação'!$A$9:$I$138,4,0),IF(A19="AUX",VLOOKUP('014-22-CCU''s'!B19,'014-22-CCU''s AUX'!$B$1:$H$130,4,0)))))</f>
        <v>H</v>
      </c>
      <c r="F19" s="562">
        <v>0.6</v>
      </c>
      <c r="G19" s="550">
        <f>IF(A19="SERVIÇO",VLOOKUP(B19,SERVIÇOS!$A$6:$D$7697,4,0),IF(A19="INSUMO",VLOOKUP(B19,INSUMOS!$A$6:$D$4845,4,0),IF(A19="COTAÇÃO",VLOOKUP(B19,'014-22-cotação'!$A$9:$I$138,3,0),IF(A19="AUX",VLOOKUP('014-22-CCU''s'!B19,'014-22-CCU''s AUX'!$B$1:$H$130,7,0)))))</f>
        <v>23.4</v>
      </c>
      <c r="H19" s="561">
        <f t="shared" si="0"/>
        <v>14.04</v>
      </c>
      <c r="J19" s="401"/>
      <c r="S19" s="402"/>
      <c r="T19" s="400"/>
    </row>
    <row r="20" spans="1:20" s="399" customFormat="1" ht="25.5" x14ac:dyDescent="0.25">
      <c r="A20" s="398" t="s">
        <v>1122</v>
      </c>
      <c r="B20" s="207">
        <v>6212</v>
      </c>
      <c r="C20" s="548" t="str">
        <f>IF(A20="SERVIÇO",VLOOKUP(B20,SERVIÇOS!$A$6:$D$7697,2,0),IF(A20="INSUMO",VLOOKUP(B20,INSUMOS!$A$6:$D$4845,2,0),IF(A20="COTAÇÃO",VLOOKUP(B20,'014-22-cotação'!$A$9:$I$138,2,0),IF(A20="AUX",VLOOKUP('014-22-CCU''s'!B20,'014-22-CCU''s AUX'!$B$1:$H$130,2,0)))))</f>
        <v xml:space="preserve">TABUA *2,5 X 30 CM EM PINUS, MISTA OU EQUIVALENTE DA REGIAO - BRUTA                                                                                                                                                                                                                                                                                                                                                                                                                                       </v>
      </c>
      <c r="D20" s="549" t="str">
        <f>IF(A20="SERVIÇO",VLOOKUP(B20,SERVIÇOS!$A$6:$E$7697,5,0),IF(A20="INSUMO",VLOOKUP(B20,INSUMOS!$A$6:$E$4845,5,0),IF(A20="COTAÇÃO",VLOOKUP(B20,'014-22-cotação'!$A$9:$J$138,10,0),IF(A20="AUX",VLOOKUP('014-22-CCU''s'!B20,'014-22-CCU''s AUX'!$B$1:$H$130,3,0)))))</f>
        <v>MAT.</v>
      </c>
      <c r="E20" s="549" t="str">
        <f>IF(A20="SERVIÇO",VLOOKUP(B20,SERVIÇOS!$A$6:$D$7697,3,0),IF(A20="INSUMO",VLOOKUP(B20,INSUMOS!$A$6:$D$4845,3,0),IF(A20="COTAÇÃO",VLOOKUP(B20,'014-22-cotação'!$A$9:$I$138,4,0),IF(A20="AUX",VLOOKUP('014-22-CCU''s'!B20,'014-22-CCU''s AUX'!$B$1:$H$130,4,0)))))</f>
        <v xml:space="preserve">M     </v>
      </c>
      <c r="F20" s="560">
        <v>13.5</v>
      </c>
      <c r="G20" s="550">
        <f>IF(A20="SERVIÇO",VLOOKUP(B20,SERVIÇOS!$A$6:$D$7697,4,0),IF(A20="INSUMO",VLOOKUP(B20,INSUMOS!$A$6:$D$4845,4,0),IF(A20="COTAÇÃO",VLOOKUP(B20,'014-22-cotação'!$A$9:$I$138,3,0),IF(A20="AUX",VLOOKUP('014-22-CCU''s'!B20,'014-22-CCU''s AUX'!$B$1:$H$130,7,0)))))</f>
        <v>12.6</v>
      </c>
      <c r="H20" s="561">
        <f t="shared" si="0"/>
        <v>170.1</v>
      </c>
      <c r="J20" s="401"/>
      <c r="S20" s="402"/>
      <c r="T20" s="400"/>
    </row>
    <row r="21" spans="1:20" s="213" customFormat="1" ht="12.75" x14ac:dyDescent="0.25">
      <c r="B21" s="207" t="s">
        <v>109</v>
      </c>
      <c r="C21" s="382" t="s">
        <v>3909</v>
      </c>
      <c r="D21" s="383"/>
      <c r="E21" s="383"/>
      <c r="F21" s="383"/>
      <c r="G21" s="383"/>
      <c r="H21" s="384"/>
      <c r="J21" s="330"/>
      <c r="S21" s="331"/>
      <c r="T21" s="342"/>
    </row>
    <row r="22" spans="1:20" s="213" customFormat="1" ht="12.75" x14ac:dyDescent="0.25">
      <c r="A22" s="199"/>
      <c r="B22" s="208"/>
      <c r="C22" s="175"/>
      <c r="D22" s="176"/>
      <c r="E22" s="176"/>
      <c r="F22" s="176"/>
      <c r="G22" s="176"/>
      <c r="H22" s="176"/>
      <c r="J22" s="83"/>
      <c r="S22" s="331"/>
      <c r="T22" s="342"/>
    </row>
    <row r="23" spans="1:20" s="213" customFormat="1" ht="25.5" x14ac:dyDescent="0.25">
      <c r="A23" s="199"/>
      <c r="B23" s="263" t="s">
        <v>3457</v>
      </c>
      <c r="C23" s="177" t="s">
        <v>4628</v>
      </c>
      <c r="D23" s="178" t="s">
        <v>101</v>
      </c>
      <c r="E23" s="178" t="s">
        <v>1155</v>
      </c>
      <c r="F23" s="179"/>
      <c r="G23" s="180"/>
      <c r="H23" s="181">
        <f>ROUND(SUM(H24:H25),2)</f>
        <v>8285.44</v>
      </c>
      <c r="J23" s="83"/>
      <c r="S23" s="331"/>
      <c r="T23" s="342"/>
    </row>
    <row r="24" spans="1:20" s="399" customFormat="1" ht="43.5" customHeight="1" x14ac:dyDescent="0.25">
      <c r="A24" s="398" t="s">
        <v>1120</v>
      </c>
      <c r="B24" s="207">
        <v>93415</v>
      </c>
      <c r="C24" s="548" t="str">
        <f>IF(A24="SERVIÇO",VLOOKUP(B24,SERVIÇOS!$A$6:$D$7697,2,0),IF(A24="INSUMO",VLOOKUP(B24,INSUMOS!$A$6:$D$4845,2,0),IF(A24="COTAÇÃO",VLOOKUP(B24,'014-22-cotação'!$A$9:$I$138,2,0),IF(A24="AUX",VLOOKUP('014-22-CCU''s'!B24,'014-22-CCU''s AUX'!$B$1:$H$130,2,0)))))</f>
        <v>GERADOR PORTÁTIL MONOFÁSICO, POTÊNCIA 5500 VA, MOTOR A GASOLINA, POTÊNCIA DO MOTOR 13 CV - CHP DIURNO. AF_03/2016</v>
      </c>
      <c r="D24" s="549" t="str">
        <f>IF(A24="SERVIÇO",VLOOKUP(B24,SERVIÇOS!$A$6:$E$7697,5,0),IF(A24="INSUMO",VLOOKUP(B24,INSUMOS!$A$6:$E$4845,5,0),IF(A24="COTAÇÃO",VLOOKUP(B24,'014-22-cotação'!$A$9:$J$138,10,0),IF(A24="AUX",VLOOKUP('014-22-CCU''s'!B24,'014-22-CCU''s AUX'!$B$1:$H$130,3,0)))))</f>
        <v>EQUIP.</v>
      </c>
      <c r="E24" s="549" t="str">
        <f>IF(A24="SERVIÇO",VLOOKUP(B24,SERVIÇOS!$A$6:$D$7697,3,0),IF(A24="INSUMO",VLOOKUP(B24,INSUMOS!$A$6:$D$4845,3,0),IF(A24="COTAÇÃO",VLOOKUP(B24,'014-22-cotação'!$A$9:$I$138,4,0),IF(A24="AUX",VLOOKUP('014-22-CCU''s'!B24,'014-22-CCU''s AUX'!$B$1:$H$130,4,0)))))</f>
        <v>CHP</v>
      </c>
      <c r="F24" s="562">
        <f>(22*20)+(8*12)</f>
        <v>536</v>
      </c>
      <c r="G24" s="550">
        <f>IF(A24="SERVIÇO",VLOOKUP(B24,SERVIÇOS!$A$6:$D$7697,4,0),IF(A24="INSUMO",VLOOKUP(B24,INSUMOS!$A$6:$D$4845,4,0),IF(A24="COTAÇÃO",VLOOKUP(B24,'014-22-cotação'!$A$9:$I$138,3,0),IF(A24="AUX",VLOOKUP('014-22-CCU''s'!B24,'014-22-CCU''s AUX'!$B$1:$H$130,7,0)))))</f>
        <v>15.3</v>
      </c>
      <c r="H24" s="561">
        <f t="shared" ref="H24:H25" si="1">TRUNC((F24*G24),2)</f>
        <v>8200.7999999999993</v>
      </c>
      <c r="J24" s="639" t="s">
        <v>4626</v>
      </c>
      <c r="K24" s="639"/>
      <c r="L24" s="639"/>
      <c r="M24" s="639"/>
      <c r="N24" s="639"/>
      <c r="O24" s="639"/>
      <c r="P24" s="639"/>
      <c r="Q24" s="639"/>
      <c r="R24" s="639"/>
      <c r="S24" s="402"/>
      <c r="T24" s="400"/>
    </row>
    <row r="25" spans="1:20" s="399" customFormat="1" ht="38.25" x14ac:dyDescent="0.25">
      <c r="A25" s="398" t="s">
        <v>1120</v>
      </c>
      <c r="B25" s="207">
        <v>93416</v>
      </c>
      <c r="C25" s="548" t="str">
        <f>IF(A25="SERVIÇO",VLOOKUP(B25,SERVIÇOS!$A$6:$D$7697,2,0),IF(A25="INSUMO",VLOOKUP(B25,INSUMOS!$A$6:$D$4845,2,0),IF(A25="COTAÇÃO",VLOOKUP(B25,'014-22-cotação'!$A$9:$I$138,2,0),IF(A25="AUX",VLOOKUP('014-22-CCU''s'!B25,'014-22-CCU''s AUX'!$B$1:$H$130,2,0)))))</f>
        <v>GERADOR PORTÁTIL MONOFÁSICO, POTÊNCIA 5500 VA, MOTOR A GASOLINA, POTÊNCIA DO MOTOR 13 CV - CHI DIURNO. AF_03/2016</v>
      </c>
      <c r="D25" s="549" t="str">
        <f>IF(A25="SERVIÇO",VLOOKUP(B25,SERVIÇOS!$A$6:$E$7697,5,0),IF(A25="INSUMO",VLOOKUP(B25,INSUMOS!$A$6:$E$4845,5,0),IF(A25="COTAÇÃO",VLOOKUP(B25,'014-22-cotação'!$A$9:$J$138,10,0),IF(A25="AUX",VLOOKUP('014-22-CCU''s'!B25,'014-22-CCU''s AUX'!$B$1:$H$130,3,0)))))</f>
        <v>EQUIP.</v>
      </c>
      <c r="E25" s="549" t="str">
        <f>IF(A25="SERVIÇO",VLOOKUP(B25,SERVIÇOS!$A$6:$D$7697,3,0),IF(A25="INSUMO",VLOOKUP(B25,INSUMOS!$A$6:$D$4845,3,0),IF(A25="COTAÇÃO",VLOOKUP(B25,'014-22-cotação'!$A$9:$I$138,4,0),IF(A25="AUX",VLOOKUP('014-22-CCU''s'!B25,'014-22-CCU''s AUX'!$B$1:$H$130,4,0)))))</f>
        <v>CHI</v>
      </c>
      <c r="F25" s="562">
        <f>(22*4)+(8*12)</f>
        <v>184</v>
      </c>
      <c r="G25" s="550">
        <f>IF(A25="SERVIÇO",VLOOKUP(B25,SERVIÇOS!$A$6:$D$7697,4,0),IF(A25="INSUMO",VLOOKUP(B25,INSUMOS!$A$6:$D$4845,4,0),IF(A25="COTAÇÃO",VLOOKUP(B25,'014-22-cotação'!$A$9:$I$138,3,0),IF(A25="AUX",VLOOKUP('014-22-CCU''s'!B25,'014-22-CCU''s AUX'!$B$1:$H$130,7,0)))))</f>
        <v>0.46</v>
      </c>
      <c r="H25" s="561">
        <f t="shared" si="1"/>
        <v>84.64</v>
      </c>
      <c r="J25" s="401"/>
      <c r="S25" s="402"/>
      <c r="T25" s="400"/>
    </row>
    <row r="26" spans="1:20" s="213" customFormat="1" ht="12.75" x14ac:dyDescent="0.25">
      <c r="A26" s="199"/>
      <c r="B26" s="207" t="s">
        <v>109</v>
      </c>
      <c r="C26" s="382" t="s">
        <v>3459</v>
      </c>
      <c r="D26" s="383"/>
      <c r="E26" s="383"/>
      <c r="F26" s="383"/>
      <c r="G26" s="383"/>
      <c r="H26" s="384"/>
      <c r="J26" s="83"/>
      <c r="S26" s="331"/>
      <c r="T26" s="343"/>
    </row>
    <row r="27" spans="1:20" s="213" customFormat="1" ht="12.75" x14ac:dyDescent="0.25">
      <c r="A27" s="199"/>
      <c r="B27" s="269"/>
      <c r="C27" s="383"/>
      <c r="D27" s="270"/>
      <c r="E27" s="270"/>
      <c r="F27" s="270"/>
      <c r="G27" s="270"/>
      <c r="H27" s="271"/>
      <c r="J27" s="83"/>
      <c r="S27" s="331"/>
      <c r="T27" s="342"/>
    </row>
    <row r="28" spans="1:20" s="213" customFormat="1" ht="25.5" x14ac:dyDescent="0.25">
      <c r="A28" s="199"/>
      <c r="B28" s="263" t="s">
        <v>3458</v>
      </c>
      <c r="C28" s="177" t="s">
        <v>4627</v>
      </c>
      <c r="D28" s="178" t="s">
        <v>101</v>
      </c>
      <c r="E28" s="178" t="s">
        <v>163</v>
      </c>
      <c r="F28" s="179"/>
      <c r="G28" s="180"/>
      <c r="H28" s="181">
        <f>ROUND(SUM(H29:H30),2)</f>
        <v>22.9</v>
      </c>
      <c r="J28" s="83"/>
      <c r="S28" s="331"/>
      <c r="T28" s="342"/>
    </row>
    <row r="29" spans="1:20" s="399" customFormat="1" ht="25.5" x14ac:dyDescent="0.25">
      <c r="A29" s="398" t="s">
        <v>1122</v>
      </c>
      <c r="B29" s="207">
        <v>44480</v>
      </c>
      <c r="C29" s="548" t="str">
        <f>IF(A29="SERVIÇO",VLOOKUP(B29,SERVIÇOS!$A$6:$D$7697,2,0),IF(A29="INSUMO",VLOOKUP(B29,INSUMOS!$A$6:$D$4845,2,0),IF(A29="COTAÇÃO",VLOOKUP(B29,'014-22-cotação'!$A$9:$I$138,2,0),IF(A29="AUX",VLOOKUP('014-22-CCU''s'!B29,'014-22-CCU''s AUX'!$B$1:$H$130,2,0)))))</f>
        <v xml:space="preserve">TARIFA "A" ENTRE 0 E 20M3 FORNECIMENTO D'AGUA                                                                                                                                                                                                                                                                                                                                                                                                                                                             </v>
      </c>
      <c r="D29" s="549" t="str">
        <f>IF(A29="SERVIÇO",VLOOKUP(B29,SERVIÇOS!$A$6:$E$7697,5,0),IF(A29="INSUMO",VLOOKUP(B29,INSUMOS!$A$6:$E$4845,5,0),IF(A29="COTAÇÃO",VLOOKUP(B29,'014-22-cotação'!$A$9:$J$138,10,0),IF(A29="AUX",VLOOKUP('014-22-CCU''s'!B29,'014-22-CCU''s AUX'!$B$1:$H$130,3,0)))))</f>
        <v>MAT.</v>
      </c>
      <c r="E29" s="549" t="str">
        <f>IF(A29="SERVIÇO",VLOOKUP(B29,SERVIÇOS!$A$6:$D$7697,3,0),IF(A29="INSUMO",VLOOKUP(B29,INSUMOS!$A$6:$D$4845,3,0),IF(A29="COTAÇÃO",VLOOKUP(B29,'014-22-cotação'!$A$9:$I$138,4,0),IF(A29="AUX",VLOOKUP('014-22-CCU''s'!B29,'014-22-CCU''s AUX'!$B$1:$H$130,4,0)))))</f>
        <v xml:space="preserve">M3    </v>
      </c>
      <c r="F29" s="560">
        <v>1</v>
      </c>
      <c r="G29" s="550">
        <f>IF(A29="SERVIÇO",VLOOKUP(B29,SERVIÇOS!$A$6:$D$7697,4,0),IF(A29="INSUMO",VLOOKUP(B29,INSUMOS!$A$6:$D$4845,4,0),IF(A29="COTAÇÃO",VLOOKUP(B29,'014-22-cotação'!$A$9:$I$138,3,0),IF(A29="AUX",VLOOKUP('014-22-CCU''s'!B29,'014-22-CCU''s AUX'!$B$1:$H$130,7,0)))))</f>
        <v>14.38</v>
      </c>
      <c r="H29" s="561">
        <f t="shared" ref="H29:H30" si="2">TRUNC((F29*G29),2)</f>
        <v>14.38</v>
      </c>
      <c r="J29" s="401"/>
      <c r="S29" s="402"/>
      <c r="T29" s="400"/>
    </row>
    <row r="30" spans="1:20" s="399" customFormat="1" ht="38.25" x14ac:dyDescent="0.25">
      <c r="A30" s="398" t="s">
        <v>1120</v>
      </c>
      <c r="B30" s="207">
        <v>100962</v>
      </c>
      <c r="C30" s="548" t="str">
        <f>IF(A30="SERVIÇO",VLOOKUP(B30,SERVIÇOS!$A$6:$D$7697,2,0),IF(A30="INSUMO",VLOOKUP(B30,INSUMOS!$A$6:$D$4845,2,0),IF(A30="COTAÇÃO",VLOOKUP(B30,'014-22-cotação'!$A$9:$I$138,2,0),IF(A30="AUX",VLOOKUP('014-22-CCU''s'!B30,'014-22-CCU''s AUX'!$B$1:$H$130,2,0)))))</f>
        <v>TRANSPORTE COM CAMINHÃO PIPA DE 10 M³, EM VIA URBANA PAVIMENTADA, DMT ATÉ 30KM (UNIDADE: M3XKM). AF_07/2020</v>
      </c>
      <c r="D30" s="549" t="str">
        <f>IF(A30="SERVIÇO",VLOOKUP(B30,SERVIÇOS!$A$6:$E$7697,5,0),IF(A30="INSUMO",VLOOKUP(B30,INSUMOS!$A$6:$E$4845,5,0),IF(A30="COTAÇÃO",VLOOKUP(B30,'014-22-cotação'!$A$9:$J$138,10,0),IF(A30="AUX",VLOOKUP('014-22-CCU''s'!B30,'014-22-CCU''s AUX'!$B$1:$H$130,3,0)))))</f>
        <v>SER.CG</v>
      </c>
      <c r="E30" s="549" t="str">
        <f>IF(A30="SERVIÇO",VLOOKUP(B30,SERVIÇOS!$A$6:$D$7697,3,0),IF(A30="INSUMO",VLOOKUP(B30,INSUMOS!$A$6:$D$4845,3,0),IF(A30="COTAÇÃO",VLOOKUP(B30,'014-22-cotação'!$A$9:$I$138,4,0),IF(A30="AUX",VLOOKUP('014-22-CCU''s'!B30,'014-22-CCU''s AUX'!$B$1:$H$130,4,0)))))</f>
        <v>M3XKM</v>
      </c>
      <c r="F30" s="560">
        <f>30/10</f>
        <v>3</v>
      </c>
      <c r="G30" s="550">
        <f>IF(A30="SERVIÇO",VLOOKUP(B30,SERVIÇOS!$A$6:$D$7697,4,0),IF(A30="INSUMO",VLOOKUP(B30,INSUMOS!$A$6:$D$4845,4,0),IF(A30="COTAÇÃO",VLOOKUP(B30,'014-22-cotação'!$A$9:$I$138,3,0),IF(A30="AUX",VLOOKUP('014-22-CCU''s'!B30,'014-22-CCU''s AUX'!$B$1:$H$130,7,0)))))</f>
        <v>2.84</v>
      </c>
      <c r="H30" s="561">
        <f t="shared" si="2"/>
        <v>8.52</v>
      </c>
      <c r="J30" s="401"/>
      <c r="S30" s="402"/>
      <c r="T30" s="400"/>
    </row>
    <row r="31" spans="1:20" s="213" customFormat="1" ht="12.75" x14ac:dyDescent="0.25">
      <c r="A31" s="199"/>
      <c r="B31" s="269"/>
      <c r="C31" s="383"/>
      <c r="D31" s="270"/>
      <c r="E31" s="270"/>
      <c r="F31" s="270"/>
      <c r="G31" s="270"/>
      <c r="H31" s="271"/>
      <c r="J31" s="83"/>
      <c r="S31" s="331"/>
      <c r="T31" s="342"/>
    </row>
    <row r="32" spans="1:20" s="213" customFormat="1" ht="38.25" x14ac:dyDescent="0.25">
      <c r="A32" s="199"/>
      <c r="B32" s="263" t="s">
        <v>3460</v>
      </c>
      <c r="C32" s="177" t="s">
        <v>3461</v>
      </c>
      <c r="D32" s="178" t="s">
        <v>101</v>
      </c>
      <c r="E32" s="178" t="s">
        <v>150</v>
      </c>
      <c r="F32" s="179"/>
      <c r="G32" s="180"/>
      <c r="H32" s="181">
        <f>ROUND(SUM(H33:H38),2)</f>
        <v>368.59</v>
      </c>
      <c r="J32" s="83"/>
      <c r="S32" s="331"/>
      <c r="T32" s="342"/>
    </row>
    <row r="33" spans="1:20" s="399" customFormat="1" ht="25.5" x14ac:dyDescent="0.25">
      <c r="A33" s="398" t="s">
        <v>1122</v>
      </c>
      <c r="B33" s="207">
        <v>4491</v>
      </c>
      <c r="C33" s="548" t="str">
        <f>IF(A33="SERVIÇO",VLOOKUP(B33,SERVIÇOS!$A$6:$D$7697,2,0),IF(A33="INSUMO",VLOOKUP(B33,INSUMOS!$A$6:$D$4845,2,0),IF(A33="COTAÇÃO",VLOOKUP(B33,'014-22-cotação'!$A$9:$I$138,2,0),IF(A33="AUX",VLOOKUP('014-22-CCU''s'!B33,'014-22-CCU''s AUX'!$B$1:$H$130,2,0)))))</f>
        <v xml:space="preserve">PONTALETE *7,5 X 7,5* CM EM PINUS, MISTA OU EQUIVALENTE DA REGIAO - BRUTA                                                                                                                                                                                                                                                                                                                                                                                                                                 </v>
      </c>
      <c r="D33" s="549" t="str">
        <f>IF(A33="SERVIÇO",VLOOKUP(B33,SERVIÇOS!$A$6:$E$7697,5,0),IF(A33="INSUMO",VLOOKUP(B33,INSUMOS!$A$6:$E$4845,5,0),IF(A33="COTAÇÃO",VLOOKUP(B33,'014-22-cotação'!$A$9:$J$138,10,0),IF(A33="AUX",VLOOKUP('014-22-CCU''s'!B33,'014-22-CCU''s AUX'!$B$1:$H$130,3,0)))))</f>
        <v>MAT.</v>
      </c>
      <c r="E33" s="549" t="str">
        <f>IF(A33="SERVIÇO",VLOOKUP(B33,SERVIÇOS!$A$6:$D$7697,3,0),IF(A33="INSUMO",VLOOKUP(B33,INSUMOS!$A$6:$D$4845,3,0),IF(A33="COTAÇÃO",VLOOKUP(B33,'014-22-cotação'!$A$9:$I$138,4,0),IF(A33="AUX",VLOOKUP('014-22-CCU''s'!B33,'014-22-CCU''s AUX'!$B$1:$H$130,4,0)))))</f>
        <v xml:space="preserve">M     </v>
      </c>
      <c r="F33" s="560">
        <v>4</v>
      </c>
      <c r="G33" s="550">
        <f>IF(A33="SERVIÇO",VLOOKUP(B33,SERVIÇOS!$A$6:$D$7697,4,0),IF(A33="INSUMO",VLOOKUP(B33,INSUMOS!$A$6:$D$4845,4,0),IF(A33="COTAÇÃO",VLOOKUP(B33,'014-22-cotação'!$A$9:$I$138,3,0),IF(A33="AUX",VLOOKUP('014-22-CCU''s'!B33,'014-22-CCU''s AUX'!$B$1:$H$130,7,0)))))</f>
        <v>7.6</v>
      </c>
      <c r="H33" s="561">
        <f t="shared" ref="H33:H38" si="3">TRUNC((F33*G33),2)</f>
        <v>30.4</v>
      </c>
      <c r="J33" s="401"/>
      <c r="S33" s="402"/>
      <c r="T33" s="400"/>
    </row>
    <row r="34" spans="1:20" s="399" customFormat="1" ht="38.25" x14ac:dyDescent="0.25">
      <c r="A34" s="398" t="s">
        <v>1122</v>
      </c>
      <c r="B34" s="207">
        <v>4813</v>
      </c>
      <c r="C34" s="548" t="str">
        <f>IF(A34="SERVIÇO",VLOOKUP(B34,SERVIÇOS!$A$6:$D$7697,2,0),IF(A34="INSUMO",VLOOKUP(B34,INSUMOS!$A$6:$D$4845,2,0),IF(A34="COTAÇÃO",VLOOKUP(B34,'014-22-cotação'!$A$9:$I$138,2,0),IF(A34="AUX",VLOOKUP('014-22-CCU''s'!B34,'014-22-CCU''s AUX'!$B$1:$H$130,2,0)))))</f>
        <v xml:space="preserve">PLACA DE OBRA (PARA CONSTRUCAO CIVIL) EM CHAPA GALVANIZADA *N. 22*, ADESIVADA, DE *2,4 X 1,2* M (SEM POSTES PARA FIXACAO)                                                                                                                                                                                                                                                                                                                                                                                 </v>
      </c>
      <c r="D34" s="549" t="str">
        <f>IF(A34="SERVIÇO",VLOOKUP(B34,SERVIÇOS!$A$6:$E$7697,5,0),IF(A34="INSUMO",VLOOKUP(B34,INSUMOS!$A$6:$E$4845,5,0),IF(A34="COTAÇÃO",VLOOKUP(B34,'014-22-cotação'!$A$9:$J$138,10,0),IF(A34="AUX",VLOOKUP('014-22-CCU''s'!B34,'014-22-CCU''s AUX'!$B$1:$H$130,3,0)))))</f>
        <v>MAT.</v>
      </c>
      <c r="E34" s="549" t="str">
        <f>IF(A34="SERVIÇO",VLOOKUP(B34,SERVIÇOS!$A$6:$D$7697,3,0),IF(A34="INSUMO",VLOOKUP(B34,INSUMOS!$A$6:$D$4845,3,0),IF(A34="COTAÇÃO",VLOOKUP(B34,'014-22-cotação'!$A$9:$I$138,4,0),IF(A34="AUX",VLOOKUP('014-22-CCU''s'!B34,'014-22-CCU''s AUX'!$B$1:$H$130,4,0)))))</f>
        <v xml:space="preserve">M2    </v>
      </c>
      <c r="F34" s="560">
        <v>1</v>
      </c>
      <c r="G34" s="550">
        <f>IF(A34="SERVIÇO",VLOOKUP(B34,SERVIÇOS!$A$6:$D$7697,4,0),IF(A34="INSUMO",VLOOKUP(B34,INSUMOS!$A$6:$D$4845,4,0),IF(A34="COTAÇÃO",VLOOKUP(B34,'014-22-cotação'!$A$9:$I$138,3,0),IF(A34="AUX",VLOOKUP('014-22-CCU''s'!B34,'014-22-CCU''s AUX'!$B$1:$H$130,7,0)))))</f>
        <v>250</v>
      </c>
      <c r="H34" s="561">
        <f t="shared" si="3"/>
        <v>250</v>
      </c>
      <c r="J34" s="401"/>
      <c r="S34" s="402"/>
      <c r="T34" s="400"/>
    </row>
    <row r="35" spans="1:20" s="399" customFormat="1" ht="51" x14ac:dyDescent="0.25">
      <c r="A35" s="398" t="s">
        <v>1122</v>
      </c>
      <c r="B35" s="207">
        <v>4417</v>
      </c>
      <c r="C35" s="548" t="str">
        <f>IF(A35="SERVIÇO",VLOOKUP(B35,SERVIÇOS!$A$6:$D$7697,2,0),IF(A35="INSUMO",VLOOKUP(B35,INSUMOS!$A$6:$D$4845,2,0),IF(A35="COTAÇÃO",VLOOKUP(B35,'014-22-cotação'!$A$9:$I$138,2,0),IF(A35="AUX",VLOOKUP('014-22-CCU''s'!B35,'014-22-CCU''s AUX'!$B$1:$H$130,2,0)))))</f>
        <v xml:space="preserve">SARRAFO NAO APARELHADO *2,5 X 7* CM, EM MACARANDUBA/MASSARANDUBA, ANGELIM, PEROBA-ROSA OU EQUIVALENTE DA REGIAO - BRUTA                                                                                                                                                                                                                                                                                                                                                                                   </v>
      </c>
      <c r="D35" s="549" t="str">
        <f>IF(A35="SERVIÇO",VLOOKUP(B35,SERVIÇOS!$A$6:$E$7697,5,0),IF(A35="INSUMO",VLOOKUP(B35,INSUMOS!$A$6:$E$4845,5,0),IF(A35="COTAÇÃO",VLOOKUP(B35,'014-22-cotação'!$A$9:$J$138,10,0),IF(A35="AUX",VLOOKUP('014-22-CCU''s'!B35,'014-22-CCU''s AUX'!$B$1:$H$130,3,0)))))</f>
        <v>MAT.</v>
      </c>
      <c r="E35" s="549" t="str">
        <f>IF(A35="SERVIÇO",VLOOKUP(B35,SERVIÇOS!$A$6:$D$7697,3,0),IF(A35="INSUMO",VLOOKUP(B35,INSUMOS!$A$6:$D$4845,3,0),IF(A35="COTAÇÃO",VLOOKUP(B35,'014-22-cotação'!$A$9:$I$138,4,0),IF(A35="AUX",VLOOKUP('014-22-CCU''s'!B35,'014-22-CCU''s AUX'!$B$1:$H$130,4,0)))))</f>
        <v xml:space="preserve">M     </v>
      </c>
      <c r="F35" s="560">
        <v>1</v>
      </c>
      <c r="G35" s="550">
        <f>IF(A35="SERVIÇO",VLOOKUP(B35,SERVIÇOS!$A$6:$D$7697,4,0),IF(A35="INSUMO",VLOOKUP(B35,INSUMOS!$A$6:$D$4845,4,0),IF(A35="COTAÇÃO",VLOOKUP(B35,'014-22-cotação'!$A$9:$I$138,3,0),IF(A35="AUX",VLOOKUP('014-22-CCU''s'!B35,'014-22-CCU''s AUX'!$B$1:$H$130,7,0)))))</f>
        <v>7.85</v>
      </c>
      <c r="H35" s="561">
        <f>TRUNC((F35*G35),2)</f>
        <v>7.85</v>
      </c>
      <c r="J35" s="401"/>
      <c r="S35" s="402"/>
      <c r="T35" s="400"/>
    </row>
    <row r="36" spans="1:20" s="399" customFormat="1" ht="25.5" x14ac:dyDescent="0.25">
      <c r="A36" s="398" t="s">
        <v>1120</v>
      </c>
      <c r="B36" s="207">
        <v>88262</v>
      </c>
      <c r="C36" s="548" t="str">
        <f>IF(A36="SERVIÇO",VLOOKUP(B36,SERVIÇOS!$A$6:$D$7697,2,0),IF(A36="INSUMO",VLOOKUP(B36,INSUMOS!$A$6:$D$4845,2,0),IF(A36="COTAÇÃO",VLOOKUP(B36,'014-22-cotação'!$A$9:$I$138,2,0),IF(A36="AUX",VLOOKUP('014-22-CCU''s'!B36,'014-22-CCU''s AUX'!$B$1:$H$130,2,0)))))</f>
        <v>CARPINTEIRO DE FORMAS COM ENCARGOS COMPLEMENTARES</v>
      </c>
      <c r="D36" s="549" t="str">
        <f>IF(A36="SERVIÇO",VLOOKUP(B36,SERVIÇOS!$A$6:$E$7697,5,0),IF(A36="INSUMO",VLOOKUP(B36,INSUMOS!$A$6:$E$4845,5,0),IF(A36="COTAÇÃO",VLOOKUP(B36,'014-22-cotação'!$A$9:$J$138,10,0),IF(A36="AUX",VLOOKUP('014-22-CCU''s'!B36,'014-22-CCU''s AUX'!$B$1:$H$130,3,0)))))</f>
        <v>M.O</v>
      </c>
      <c r="E36" s="549" t="str">
        <f>IF(A36="SERVIÇO",VLOOKUP(B36,SERVIÇOS!$A$6:$D$7697,3,0),IF(A36="INSUMO",VLOOKUP(B36,INSUMOS!$A$6:$D$4845,3,0),IF(A36="COTAÇÃO",VLOOKUP(B36,'014-22-cotação'!$A$9:$I$138,4,0),IF(A36="AUX",VLOOKUP('014-22-CCU''s'!B36,'014-22-CCU''s AUX'!$B$1:$H$130,4,0)))))</f>
        <v>H</v>
      </c>
      <c r="F36" s="560">
        <v>1</v>
      </c>
      <c r="G36" s="550">
        <f>IF(A36="SERVIÇO",VLOOKUP(B36,SERVIÇOS!$A$6:$D$7697,4,0),IF(A36="INSUMO",VLOOKUP(B36,INSUMOS!$A$6:$D$4845,4,0),IF(A36="COTAÇÃO",VLOOKUP(B36,'014-22-cotação'!$A$9:$I$138,3,0),IF(A36="AUX",VLOOKUP('014-22-CCU''s'!B36,'014-22-CCU''s AUX'!$B$1:$H$130,7,0)))))</f>
        <v>30.71</v>
      </c>
      <c r="H36" s="561">
        <f>TRUNC((F36*G36),2)</f>
        <v>30.71</v>
      </c>
      <c r="J36" s="401"/>
      <c r="S36" s="402"/>
      <c r="T36" s="400"/>
    </row>
    <row r="37" spans="1:20" s="399" customFormat="1" ht="25.5" x14ac:dyDescent="0.25">
      <c r="A37" s="398" t="s">
        <v>1122</v>
      </c>
      <c r="B37" s="207">
        <v>5075</v>
      </c>
      <c r="C37" s="548" t="str">
        <f>IF(A37="SERVIÇO",VLOOKUP(B37,SERVIÇOS!$A$6:$D$7697,2,0),IF(A37="INSUMO",VLOOKUP(B37,INSUMOS!$A$6:$D$4845,2,0),IF(A37="COTAÇÃO",VLOOKUP(B37,'014-22-cotação'!$A$9:$I$138,2,0),IF(A37="AUX",VLOOKUP('014-22-CCU''s'!B37,'014-22-CCU''s AUX'!$B$1:$H$130,2,0)))))</f>
        <v xml:space="preserve">PREGO DE ACO POLIDO COM CABECA 18 X 30 (2 3/4 X 10)                                                                                                                                                                                                                                                                                                                                                                                                                                                       </v>
      </c>
      <c r="D37" s="549" t="str">
        <f>IF(A37="SERVIÇO",VLOOKUP(B37,SERVIÇOS!$A$6:$E$7697,5,0),IF(A37="INSUMO",VLOOKUP(B37,INSUMOS!$A$6:$E$4845,5,0),IF(A37="COTAÇÃO",VLOOKUP(B37,'014-22-cotação'!$A$9:$J$138,10,0),IF(A37="AUX",VLOOKUP('014-22-CCU''s'!B37,'014-22-CCU''s AUX'!$B$1:$H$130,3,0)))))</f>
        <v>MAT.</v>
      </c>
      <c r="E37" s="549" t="str">
        <f>IF(A37="SERVIÇO",VLOOKUP(B37,SERVIÇOS!$A$6:$D$7697,3,0),IF(A37="INSUMO",VLOOKUP(B37,INSUMOS!$A$6:$D$4845,3,0),IF(A37="COTAÇÃO",VLOOKUP(B37,'014-22-cotação'!$A$9:$I$138,4,0),IF(A37="AUX",VLOOKUP('014-22-CCU''s'!B37,'014-22-CCU''s AUX'!$B$1:$H$130,4,0)))))</f>
        <v xml:space="preserve">KG    </v>
      </c>
      <c r="F37" s="560">
        <v>0.15</v>
      </c>
      <c r="G37" s="550">
        <f>IF(A37="SERVIÇO",VLOOKUP(B37,SERVIÇOS!$A$6:$D$7697,4,0),IF(A37="INSUMO",VLOOKUP(B37,INSUMOS!$A$6:$D$4845,4,0),IF(A37="COTAÇÃO",VLOOKUP(B37,'014-22-cotação'!$A$9:$I$138,3,0),IF(A37="AUX",VLOOKUP('014-22-CCU''s'!B37,'014-22-CCU''s AUX'!$B$1:$H$130,7,0)))))</f>
        <v>18.920000000000002</v>
      </c>
      <c r="H37" s="561">
        <f t="shared" si="3"/>
        <v>2.83</v>
      </c>
      <c r="J37" s="401"/>
      <c r="S37" s="402"/>
      <c r="T37" s="400"/>
    </row>
    <row r="38" spans="1:20" s="399" customFormat="1" ht="25.5" x14ac:dyDescent="0.25">
      <c r="A38" s="398" t="s">
        <v>1120</v>
      </c>
      <c r="B38" s="207">
        <v>88316</v>
      </c>
      <c r="C38" s="548" t="str">
        <f>IF(A38="SERVIÇO",VLOOKUP(B38,SERVIÇOS!$A$6:$D$7697,2,0),IF(A38="INSUMO",VLOOKUP(B38,INSUMOS!$A$6:$D$4845,2,0),IF(A38="COTAÇÃO",VLOOKUP(B38,'014-22-cotação'!$A$9:$I$138,2,0),IF(A38="AUX",VLOOKUP('014-22-CCU''s'!B38,'014-22-CCU''s AUX'!$B$1:$H$130,2,0)))))</f>
        <v>SERVENTE COM ENCARGOS COMPLEMENTARES</v>
      </c>
      <c r="D38" s="549" t="str">
        <f>IF(A38="SERVIÇO",VLOOKUP(B38,SERVIÇOS!$A$6:$E$7697,5,0),IF(A38="INSUMO",VLOOKUP(B38,INSUMOS!$A$6:$E$4845,5,0),IF(A38="COTAÇÃO",VLOOKUP(B38,'014-22-cotação'!$A$9:$J$138,10,0),IF(A38="AUX",VLOOKUP('014-22-CCU''s'!B38,'014-22-CCU''s AUX'!$B$1:$H$130,3,0)))))</f>
        <v>M.O</v>
      </c>
      <c r="E38" s="549" t="str">
        <f>IF(A38="SERVIÇO",VLOOKUP(B38,SERVIÇOS!$A$6:$D$7697,3,0),IF(A38="INSUMO",VLOOKUP(B38,INSUMOS!$A$6:$D$4845,3,0),IF(A38="COTAÇÃO",VLOOKUP(B38,'014-22-cotação'!$A$9:$I$138,4,0),IF(A38="AUX",VLOOKUP('014-22-CCU''s'!B38,'014-22-CCU''s AUX'!$B$1:$H$130,4,0)))))</f>
        <v>H</v>
      </c>
      <c r="F38" s="560">
        <v>2</v>
      </c>
      <c r="G38" s="550">
        <f>IF(A38="SERVIÇO",VLOOKUP(B38,SERVIÇOS!$A$6:$D$7697,4,0),IF(A38="INSUMO",VLOOKUP(B38,INSUMOS!$A$6:$D$4845,4,0),IF(A38="COTAÇÃO",VLOOKUP(B38,'014-22-cotação'!$A$9:$I$138,3,0),IF(A38="AUX",VLOOKUP('014-22-CCU''s'!B38,'014-22-CCU''s AUX'!$B$1:$H$130,7,0)))))</f>
        <v>23.4</v>
      </c>
      <c r="H38" s="561">
        <f t="shared" si="3"/>
        <v>46.8</v>
      </c>
      <c r="J38" s="401"/>
      <c r="S38" s="402"/>
      <c r="T38" s="400"/>
    </row>
    <row r="39" spans="1:20" s="213" customFormat="1" ht="12.75" x14ac:dyDescent="0.25">
      <c r="A39" s="199"/>
      <c r="B39" s="207" t="s">
        <v>109</v>
      </c>
      <c r="C39" s="382" t="s">
        <v>3910</v>
      </c>
      <c r="D39" s="383"/>
      <c r="E39" s="383"/>
      <c r="F39" s="383"/>
      <c r="G39" s="383"/>
      <c r="H39" s="384"/>
      <c r="J39" s="83"/>
      <c r="S39" s="331"/>
      <c r="T39" s="342"/>
    </row>
    <row r="40" spans="1:20" s="62" customFormat="1" ht="12.75" x14ac:dyDescent="0.2">
      <c r="A40" s="199"/>
      <c r="B40" s="208"/>
      <c r="C40" s="175"/>
      <c r="D40" s="176"/>
      <c r="E40" s="176"/>
      <c r="F40" s="176"/>
      <c r="G40" s="176"/>
      <c r="H40" s="176"/>
      <c r="J40" s="128"/>
    </row>
    <row r="41" spans="1:20" s="62" customFormat="1" ht="38.25" x14ac:dyDescent="0.2">
      <c r="A41" s="199"/>
      <c r="B41" s="263" t="s">
        <v>3462</v>
      </c>
      <c r="C41" s="177" t="s">
        <v>4606</v>
      </c>
      <c r="D41" s="178" t="s">
        <v>101</v>
      </c>
      <c r="E41" s="178" t="s">
        <v>163</v>
      </c>
      <c r="F41" s="179"/>
      <c r="G41" s="180"/>
      <c r="H41" s="181">
        <f>ROUND(SUM(H42:H45),2)</f>
        <v>141.74</v>
      </c>
      <c r="J41" s="11"/>
    </row>
    <row r="42" spans="1:20" s="126" customFormat="1" ht="38.25" x14ac:dyDescent="0.2">
      <c r="A42" s="398" t="s">
        <v>1120</v>
      </c>
      <c r="B42" s="207">
        <v>5795</v>
      </c>
      <c r="C42" s="548" t="str">
        <f>IF(A42="SERVIÇO",VLOOKUP(B42,SERVIÇOS!$A$6:$D$7697,2,0),IF(A42="INSUMO",VLOOKUP(B42,INSUMOS!$A$6:$D$4845,2,0),IF(A42="COTAÇÃO",VLOOKUP(B42,'014-22-cotação'!$A$9:$I$138,2,0),IF(A42="AUX",VLOOKUP('014-22-CCU''s'!B42,'014-22-CCU''s AUX'!$B$1:$H$130,2,0)))))</f>
        <v>MARTELETE OU ROMPEDOR PNEUMÁTICO MANUAL, 28 KG, COM SILENCIADOR - CHP DIURNO. AF_07/2016</v>
      </c>
      <c r="D42" s="549" t="str">
        <f>IF(A42="SERVIÇO",VLOOKUP(B42,SERVIÇOS!$A$6:$E$7697,5,0),IF(A42="INSUMO",VLOOKUP(B42,INSUMOS!$A$6:$E$4845,5,0),IF(A42="COTAÇÃO",VLOOKUP(B42,'014-22-cotação'!$A$9:$J$138,10,0),IF(A42="AUX",VLOOKUP('014-22-CCU''s'!B42,'014-22-CCU''s AUX'!$B$1:$H$130,3,0)))))</f>
        <v>EQUIP.</v>
      </c>
      <c r="E42" s="549" t="str">
        <f>IF(A42="SERVIÇO",VLOOKUP(B42,SERVIÇOS!$A$6:$D$7697,3,0),IF(A42="INSUMO",VLOOKUP(B42,INSUMOS!$A$6:$D$4845,3,0),IF(A42="COTAÇÃO",VLOOKUP(B42,'014-22-cotação'!$A$9:$I$138,4,0),IF(A42="AUX",VLOOKUP('014-22-CCU''s'!B42,'014-22-CCU''s AUX'!$B$1:$H$130,4,0)))))</f>
        <v>CHP</v>
      </c>
      <c r="F42" s="560">
        <v>1.5562</v>
      </c>
      <c r="G42" s="550">
        <f>IF(A42="SERVIÇO",VLOOKUP(B42,SERVIÇOS!$A$6:$D$7697,4,0),IF(A42="INSUMO",VLOOKUP(B42,INSUMOS!$A$6:$D$4845,4,0),IF(A42="COTAÇÃO",VLOOKUP(B42,'014-22-cotação'!$A$9:$I$138,3,0),IF(A42="AUX",VLOOKUP('014-22-CCU''s'!B42,'014-22-CCU''s AUX'!$B$1:$H$130,7,0)))))</f>
        <v>29.73</v>
      </c>
      <c r="H42" s="561">
        <f t="shared" ref="H42:H45" si="4">TRUNC((F42*G42),2)</f>
        <v>46.26</v>
      </c>
      <c r="J42" s="413"/>
    </row>
    <row r="43" spans="1:20" s="126" customFormat="1" ht="38.25" x14ac:dyDescent="0.2">
      <c r="A43" s="398" t="s">
        <v>1120</v>
      </c>
      <c r="B43" s="207">
        <v>5952</v>
      </c>
      <c r="C43" s="548" t="str">
        <f>IF(A43="SERVIÇO",VLOOKUP(B43,SERVIÇOS!$A$6:$D$7697,2,0),IF(A43="INSUMO",VLOOKUP(B43,INSUMOS!$A$6:$D$4845,2,0),IF(A43="COTAÇÃO",VLOOKUP(B43,'014-22-cotação'!$A$9:$I$138,2,0),IF(A43="AUX",VLOOKUP('014-22-CCU''s'!B43,'014-22-CCU''s AUX'!$B$1:$H$130,2,0)))))</f>
        <v>MARTELETE OU ROMPEDOR PNEUMÁTICO MANUAL, 28 KG, COM SILENCIADOR - CHI DIURNO. AF_07/2016</v>
      </c>
      <c r="D43" s="549" t="str">
        <f>IF(A43="SERVIÇO",VLOOKUP(B43,SERVIÇOS!$A$6:$E$7697,5,0),IF(A43="INSUMO",VLOOKUP(B43,INSUMOS!$A$6:$E$4845,5,0),IF(A43="COTAÇÃO",VLOOKUP(B43,'014-22-cotação'!$A$9:$J$138,10,0),IF(A43="AUX",VLOOKUP('014-22-CCU''s'!B43,'014-22-CCU''s AUX'!$B$1:$H$130,3,0)))))</f>
        <v>EQUIP.</v>
      </c>
      <c r="E43" s="549" t="str">
        <f>IF(A43="SERVIÇO",VLOOKUP(B43,SERVIÇOS!$A$6:$D$7697,3,0),IF(A43="INSUMO",VLOOKUP(B43,INSUMOS!$A$6:$D$4845,3,0),IF(A43="COTAÇÃO",VLOOKUP(B43,'014-22-cotação'!$A$9:$I$138,4,0),IF(A43="AUX",VLOOKUP('014-22-CCU''s'!B43,'014-22-CCU''s AUX'!$B$1:$H$130,4,0)))))</f>
        <v>CHI</v>
      </c>
      <c r="F43" s="560">
        <v>0.44109999999999999</v>
      </c>
      <c r="G43" s="550">
        <f>IF(A43="SERVIÇO",VLOOKUP(B43,SERVIÇOS!$A$6:$D$7697,4,0),IF(A43="INSUMO",VLOOKUP(B43,INSUMOS!$A$6:$D$4845,4,0),IF(A43="COTAÇÃO",VLOOKUP(B43,'014-22-cotação'!$A$9:$I$138,3,0),IF(A43="AUX",VLOOKUP('014-22-CCU''s'!B43,'014-22-CCU''s AUX'!$B$1:$H$130,7,0)))))</f>
        <v>27.71</v>
      </c>
      <c r="H43" s="561">
        <f t="shared" si="4"/>
        <v>12.22</v>
      </c>
      <c r="J43" s="413"/>
    </row>
    <row r="44" spans="1:20" s="126" customFormat="1" ht="25.5" x14ac:dyDescent="0.2">
      <c r="A44" s="398" t="s">
        <v>1120</v>
      </c>
      <c r="B44" s="207">
        <v>88309</v>
      </c>
      <c r="C44" s="548" t="str">
        <f>IF(A44="SERVIÇO",VLOOKUP(B44,SERVIÇOS!$A$6:$D$7697,2,0),IF(A44="INSUMO",VLOOKUP(B44,INSUMOS!$A$6:$D$4845,2,0),IF(A44="COTAÇÃO",VLOOKUP(B44,'014-22-cotação'!$A$9:$I$138,2,0),IF(A44="AUX",VLOOKUP('014-22-CCU''s'!B44,'014-22-CCU''s AUX'!$B$1:$H$130,2,0)))))</f>
        <v>PEDREIRO COM ENCARGOS COMPLEMENTARES</v>
      </c>
      <c r="D44" s="549" t="str">
        <f>IF(A44="SERVIÇO",VLOOKUP(B44,SERVIÇOS!$A$6:$E$7697,5,0),IF(A44="INSUMO",VLOOKUP(B44,INSUMOS!$A$6:$E$4845,5,0),IF(A44="COTAÇÃO",VLOOKUP(B44,'014-22-cotação'!$A$9:$J$138,10,0),IF(A44="AUX",VLOOKUP('014-22-CCU''s'!B44,'014-22-CCU''s AUX'!$B$1:$H$130,3,0)))))</f>
        <v>M.O</v>
      </c>
      <c r="E44" s="549" t="str">
        <f>IF(A44="SERVIÇO",VLOOKUP(B44,SERVIÇOS!$A$6:$D$7697,3,0),IF(A44="INSUMO",VLOOKUP(B44,INSUMOS!$A$6:$D$4845,3,0),IF(A44="COTAÇÃO",VLOOKUP(B44,'014-22-cotação'!$A$9:$I$138,4,0),IF(A44="AUX",VLOOKUP('014-22-CCU''s'!B44,'014-22-CCU''s AUX'!$B$1:$H$130,4,0)))))</f>
        <v>H</v>
      </c>
      <c r="F44" s="560">
        <v>0.30509999999999998</v>
      </c>
      <c r="G44" s="550">
        <f>IF(A44="SERVIÇO",VLOOKUP(B44,SERVIÇOS!$A$6:$D$7697,4,0),IF(A44="INSUMO",VLOOKUP(B44,INSUMOS!$A$6:$D$4845,4,0),IF(A44="COTAÇÃO",VLOOKUP(B44,'014-22-cotação'!$A$9:$I$138,3,0),IF(A44="AUX",VLOOKUP('014-22-CCU''s'!B44,'014-22-CCU''s AUX'!$B$1:$H$130,7,0)))))</f>
        <v>31.1</v>
      </c>
      <c r="H44" s="561">
        <f t="shared" si="4"/>
        <v>9.48</v>
      </c>
      <c r="J44" s="413"/>
    </row>
    <row r="45" spans="1:20" s="126" customFormat="1" ht="25.5" x14ac:dyDescent="0.2">
      <c r="A45" s="398" t="s">
        <v>1120</v>
      </c>
      <c r="B45" s="207">
        <v>88316</v>
      </c>
      <c r="C45" s="548" t="str">
        <f>IF(A45="SERVIÇO",VLOOKUP(B45,SERVIÇOS!$A$6:$D$7697,2,0),IF(A45="INSUMO",VLOOKUP(B45,INSUMOS!$A$6:$D$4845,2,0),IF(A45="COTAÇÃO",VLOOKUP(B45,'014-22-cotação'!$A$9:$I$138,2,0),IF(A45="AUX",VLOOKUP('014-22-CCU''s'!B45,'014-22-CCU''s AUX'!$B$1:$H$130,2,0)))))</f>
        <v>SERVENTE COM ENCARGOS COMPLEMENTARES</v>
      </c>
      <c r="D45" s="549" t="str">
        <f>IF(A45="SERVIÇO",VLOOKUP(B45,SERVIÇOS!$A$6:$E$7697,5,0),IF(A45="INSUMO",VLOOKUP(B45,INSUMOS!$A$6:$E$4845,5,0),IF(A45="COTAÇÃO",VLOOKUP(B45,'014-22-cotação'!$A$9:$J$138,10,0),IF(A45="AUX",VLOOKUP('014-22-CCU''s'!B45,'014-22-CCU''s AUX'!$B$1:$H$130,3,0)))))</f>
        <v>M.O</v>
      </c>
      <c r="E45" s="549" t="str">
        <f>IF(A45="SERVIÇO",VLOOKUP(B45,SERVIÇOS!$A$6:$D$7697,3,0),IF(A45="INSUMO",VLOOKUP(B45,INSUMOS!$A$6:$D$4845,3,0),IF(A45="COTAÇÃO",VLOOKUP(B45,'014-22-cotação'!$A$9:$I$138,4,0),IF(A45="AUX",VLOOKUP('014-22-CCU''s'!B45,'014-22-CCU''s AUX'!$B$1:$H$130,4,0)))))</f>
        <v>H</v>
      </c>
      <c r="F45" s="560">
        <v>3.153</v>
      </c>
      <c r="G45" s="550">
        <f>IF(A45="SERVIÇO",VLOOKUP(B45,SERVIÇOS!$A$6:$D$7697,4,0),IF(A45="INSUMO",VLOOKUP(B45,INSUMOS!$A$6:$D$4845,4,0),IF(A45="COTAÇÃO",VLOOKUP(B45,'014-22-cotação'!$A$9:$I$138,3,0),IF(A45="AUX",VLOOKUP('014-22-CCU''s'!B45,'014-22-CCU''s AUX'!$B$1:$H$130,7,0)))))</f>
        <v>23.4</v>
      </c>
      <c r="H45" s="561">
        <f t="shared" si="4"/>
        <v>73.78</v>
      </c>
      <c r="J45" s="413"/>
    </row>
    <row r="46" spans="1:20" s="62" customFormat="1" ht="12.75" x14ac:dyDescent="0.2">
      <c r="A46" s="199"/>
      <c r="B46" s="207" t="s">
        <v>109</v>
      </c>
      <c r="C46" s="640" t="s">
        <v>4607</v>
      </c>
      <c r="D46" s="641"/>
      <c r="E46" s="641"/>
      <c r="F46" s="641"/>
      <c r="G46" s="641"/>
      <c r="H46" s="642"/>
      <c r="J46" s="128"/>
    </row>
    <row r="47" spans="1:20" s="62" customFormat="1" ht="12.75" x14ac:dyDescent="0.2">
      <c r="A47" s="199"/>
      <c r="B47" s="208"/>
      <c r="C47" s="175"/>
      <c r="D47" s="176"/>
      <c r="E47" s="176"/>
      <c r="F47" s="176"/>
      <c r="G47" s="176"/>
      <c r="H47" s="176"/>
      <c r="J47" s="128"/>
    </row>
    <row r="48" spans="1:20" s="62" customFormat="1" ht="38.25" x14ac:dyDescent="0.2">
      <c r="A48" s="199"/>
      <c r="B48" s="263" t="s">
        <v>3537</v>
      </c>
      <c r="C48" s="177" t="s">
        <v>4609</v>
      </c>
      <c r="D48" s="178" t="s">
        <v>101</v>
      </c>
      <c r="E48" s="178" t="s">
        <v>163</v>
      </c>
      <c r="F48" s="179"/>
      <c r="G48" s="180"/>
      <c r="H48" s="181">
        <f>ROUND(SUM(H49:H52),2)</f>
        <v>141.74</v>
      </c>
      <c r="J48" s="11"/>
    </row>
    <row r="49" spans="1:20" s="126" customFormat="1" ht="38.25" x14ac:dyDescent="0.2">
      <c r="A49" s="398" t="s">
        <v>1120</v>
      </c>
      <c r="B49" s="207">
        <v>5795</v>
      </c>
      <c r="C49" s="548" t="str">
        <f>IF(A49="SERVIÇO",VLOOKUP(B49,SERVIÇOS!$A$6:$D$7697,2,0),IF(A49="INSUMO",VLOOKUP(B49,INSUMOS!$A$6:$D$4845,2,0),IF(A49="COTAÇÃO",VLOOKUP(B49,'014-22-cotação'!$A$9:$I$138,2,0),IF(A49="AUX",VLOOKUP('014-22-CCU''s'!B49,'014-22-CCU''s AUX'!$B$1:$H$130,2,0)))))</f>
        <v>MARTELETE OU ROMPEDOR PNEUMÁTICO MANUAL, 28 KG, COM SILENCIADOR - CHP DIURNO. AF_07/2016</v>
      </c>
      <c r="D49" s="549" t="str">
        <f>IF(A49="SERVIÇO",VLOOKUP(B49,SERVIÇOS!$A$6:$E$7697,5,0),IF(A49="INSUMO",VLOOKUP(B49,INSUMOS!$A$6:$E$4845,5,0),IF(A49="COTAÇÃO",VLOOKUP(B49,'014-22-cotação'!$A$9:$J$138,10,0),IF(A49="AUX",VLOOKUP('014-22-CCU''s'!B49,'014-22-CCU''s AUX'!$B$1:$H$130,3,0)))))</f>
        <v>EQUIP.</v>
      </c>
      <c r="E49" s="549" t="str">
        <f>IF(A49="SERVIÇO",VLOOKUP(B49,SERVIÇOS!$A$6:$D$7697,3,0),IF(A49="INSUMO",VLOOKUP(B49,INSUMOS!$A$6:$D$4845,3,0),IF(A49="COTAÇÃO",VLOOKUP(B49,'014-22-cotação'!$A$9:$I$138,4,0),IF(A49="AUX",VLOOKUP('014-22-CCU''s'!B49,'014-22-CCU''s AUX'!$B$1:$H$130,4,0)))))</f>
        <v>CHP</v>
      </c>
      <c r="F49" s="560">
        <v>1.5562</v>
      </c>
      <c r="G49" s="550">
        <f>IF(A49="SERVIÇO",VLOOKUP(B49,SERVIÇOS!$A$6:$D$7697,4,0),IF(A49="INSUMO",VLOOKUP(B49,INSUMOS!$A$6:$D$4845,4,0),IF(A49="COTAÇÃO",VLOOKUP(B49,'014-22-cotação'!$A$9:$I$138,3,0),IF(A49="AUX",VLOOKUP('014-22-CCU''s'!B49,'014-22-CCU''s AUX'!$B$1:$H$130,7,0)))))</f>
        <v>29.73</v>
      </c>
      <c r="H49" s="561">
        <f t="shared" ref="H49:H52" si="5">TRUNC((F49*G49),2)</f>
        <v>46.26</v>
      </c>
      <c r="J49" s="413"/>
    </row>
    <row r="50" spans="1:20" s="126" customFormat="1" ht="38.25" x14ac:dyDescent="0.2">
      <c r="A50" s="398" t="s">
        <v>1120</v>
      </c>
      <c r="B50" s="207">
        <v>5952</v>
      </c>
      <c r="C50" s="548" t="str">
        <f>IF(A50="SERVIÇO",VLOOKUP(B50,SERVIÇOS!$A$6:$D$7697,2,0),IF(A50="INSUMO",VLOOKUP(B50,INSUMOS!$A$6:$D$4845,2,0),IF(A50="COTAÇÃO",VLOOKUP(B50,'014-22-cotação'!$A$9:$I$138,2,0),IF(A50="AUX",VLOOKUP('014-22-CCU''s'!B50,'014-22-CCU''s AUX'!$B$1:$H$130,2,0)))))</f>
        <v>MARTELETE OU ROMPEDOR PNEUMÁTICO MANUAL, 28 KG, COM SILENCIADOR - CHI DIURNO. AF_07/2016</v>
      </c>
      <c r="D50" s="549" t="str">
        <f>IF(A50="SERVIÇO",VLOOKUP(B50,SERVIÇOS!$A$6:$E$7697,5,0),IF(A50="INSUMO",VLOOKUP(B50,INSUMOS!$A$6:$E$4845,5,0),IF(A50="COTAÇÃO",VLOOKUP(B50,'014-22-cotação'!$A$9:$J$138,10,0),IF(A50="AUX",VLOOKUP('014-22-CCU''s'!B50,'014-22-CCU''s AUX'!$B$1:$H$130,3,0)))))</f>
        <v>EQUIP.</v>
      </c>
      <c r="E50" s="549" t="str">
        <f>IF(A50="SERVIÇO",VLOOKUP(B50,SERVIÇOS!$A$6:$D$7697,3,0),IF(A50="INSUMO",VLOOKUP(B50,INSUMOS!$A$6:$D$4845,3,0),IF(A50="COTAÇÃO",VLOOKUP(B50,'014-22-cotação'!$A$9:$I$138,4,0),IF(A50="AUX",VLOOKUP('014-22-CCU''s'!B50,'014-22-CCU''s AUX'!$B$1:$H$130,4,0)))))</f>
        <v>CHI</v>
      </c>
      <c r="F50" s="560">
        <v>0.44109999999999999</v>
      </c>
      <c r="G50" s="550">
        <f>IF(A50="SERVIÇO",VLOOKUP(B50,SERVIÇOS!$A$6:$D$7697,4,0),IF(A50="INSUMO",VLOOKUP(B50,INSUMOS!$A$6:$D$4845,4,0),IF(A50="COTAÇÃO",VLOOKUP(B50,'014-22-cotação'!$A$9:$I$138,3,0),IF(A50="AUX",VLOOKUP('014-22-CCU''s'!B50,'014-22-CCU''s AUX'!$B$1:$H$130,7,0)))))</f>
        <v>27.71</v>
      </c>
      <c r="H50" s="561">
        <f t="shared" si="5"/>
        <v>12.22</v>
      </c>
      <c r="J50" s="413"/>
    </row>
    <row r="51" spans="1:20" s="126" customFormat="1" ht="25.5" x14ac:dyDescent="0.2">
      <c r="A51" s="398" t="s">
        <v>1120</v>
      </c>
      <c r="B51" s="207">
        <v>88309</v>
      </c>
      <c r="C51" s="548" t="str">
        <f>IF(A51="SERVIÇO",VLOOKUP(B51,SERVIÇOS!$A$6:$D$7697,2,0),IF(A51="INSUMO",VLOOKUP(B51,INSUMOS!$A$6:$D$4845,2,0),IF(A51="COTAÇÃO",VLOOKUP(B51,'014-22-cotação'!$A$9:$I$138,2,0),IF(A51="AUX",VLOOKUP('014-22-CCU''s'!B51,'014-22-CCU''s AUX'!$B$1:$H$130,2,0)))))</f>
        <v>PEDREIRO COM ENCARGOS COMPLEMENTARES</v>
      </c>
      <c r="D51" s="549" t="str">
        <f>IF(A51="SERVIÇO",VLOOKUP(B51,SERVIÇOS!$A$6:$E$7697,5,0),IF(A51="INSUMO",VLOOKUP(B51,INSUMOS!$A$6:$E$4845,5,0),IF(A51="COTAÇÃO",VLOOKUP(B51,'014-22-cotação'!$A$9:$J$138,10,0),IF(A51="AUX",VLOOKUP('014-22-CCU''s'!B51,'014-22-CCU''s AUX'!$B$1:$H$130,3,0)))))</f>
        <v>M.O</v>
      </c>
      <c r="E51" s="549" t="str">
        <f>IF(A51="SERVIÇO",VLOOKUP(B51,SERVIÇOS!$A$6:$D$7697,3,0),IF(A51="INSUMO",VLOOKUP(B51,INSUMOS!$A$6:$D$4845,3,0),IF(A51="COTAÇÃO",VLOOKUP(B51,'014-22-cotação'!$A$9:$I$138,4,0),IF(A51="AUX",VLOOKUP('014-22-CCU''s'!B51,'014-22-CCU''s AUX'!$B$1:$H$130,4,0)))))</f>
        <v>H</v>
      </c>
      <c r="F51" s="560">
        <v>0.30509999999999998</v>
      </c>
      <c r="G51" s="550">
        <f>IF(A51="SERVIÇO",VLOOKUP(B51,SERVIÇOS!$A$6:$D$7697,4,0),IF(A51="INSUMO",VLOOKUP(B51,INSUMOS!$A$6:$D$4845,4,0),IF(A51="COTAÇÃO",VLOOKUP(B51,'014-22-cotação'!$A$9:$I$138,3,0),IF(A51="AUX",VLOOKUP('014-22-CCU''s'!B51,'014-22-CCU''s AUX'!$B$1:$H$130,7,0)))))</f>
        <v>31.1</v>
      </c>
      <c r="H51" s="561">
        <f t="shared" si="5"/>
        <v>9.48</v>
      </c>
      <c r="J51" s="413"/>
    </row>
    <row r="52" spans="1:20" s="126" customFormat="1" ht="25.5" x14ac:dyDescent="0.2">
      <c r="A52" s="398" t="s">
        <v>1120</v>
      </c>
      <c r="B52" s="207">
        <v>88316</v>
      </c>
      <c r="C52" s="548" t="str">
        <f>IF(A52="SERVIÇO",VLOOKUP(B52,SERVIÇOS!$A$6:$D$7697,2,0),IF(A52="INSUMO",VLOOKUP(B52,INSUMOS!$A$6:$D$4845,2,0),IF(A52="COTAÇÃO",VLOOKUP(B52,'014-22-cotação'!$A$9:$I$138,2,0),IF(A52="AUX",VLOOKUP('014-22-CCU''s'!B52,'014-22-CCU''s AUX'!$B$1:$H$130,2,0)))))</f>
        <v>SERVENTE COM ENCARGOS COMPLEMENTARES</v>
      </c>
      <c r="D52" s="549" t="str">
        <f>IF(A52="SERVIÇO",VLOOKUP(B52,SERVIÇOS!$A$6:$E$7697,5,0),IF(A52="INSUMO",VLOOKUP(B52,INSUMOS!$A$6:$E$4845,5,0),IF(A52="COTAÇÃO",VLOOKUP(B52,'014-22-cotação'!$A$9:$J$138,10,0),IF(A52="AUX",VLOOKUP('014-22-CCU''s'!B52,'014-22-CCU''s AUX'!$B$1:$H$130,3,0)))))</f>
        <v>M.O</v>
      </c>
      <c r="E52" s="549" t="str">
        <f>IF(A52="SERVIÇO",VLOOKUP(B52,SERVIÇOS!$A$6:$D$7697,3,0),IF(A52="INSUMO",VLOOKUP(B52,INSUMOS!$A$6:$D$4845,3,0),IF(A52="COTAÇÃO",VLOOKUP(B52,'014-22-cotação'!$A$9:$I$138,4,0),IF(A52="AUX",VLOOKUP('014-22-CCU''s'!B52,'014-22-CCU''s AUX'!$B$1:$H$130,4,0)))))</f>
        <v>H</v>
      </c>
      <c r="F52" s="560">
        <v>3.153</v>
      </c>
      <c r="G52" s="550">
        <f>IF(A52="SERVIÇO",VLOOKUP(B52,SERVIÇOS!$A$6:$D$7697,4,0),IF(A52="INSUMO",VLOOKUP(B52,INSUMOS!$A$6:$D$4845,4,0),IF(A52="COTAÇÃO",VLOOKUP(B52,'014-22-cotação'!$A$9:$I$138,3,0),IF(A52="AUX",VLOOKUP('014-22-CCU''s'!B52,'014-22-CCU''s AUX'!$B$1:$H$130,7,0)))))</f>
        <v>23.4</v>
      </c>
      <c r="H52" s="561">
        <f t="shared" si="5"/>
        <v>73.78</v>
      </c>
      <c r="J52" s="413"/>
    </row>
    <row r="53" spans="1:20" s="62" customFormat="1" ht="12.75" x14ac:dyDescent="0.2">
      <c r="A53" s="199"/>
      <c r="B53" s="207" t="s">
        <v>109</v>
      </c>
      <c r="C53" s="640" t="s">
        <v>4607</v>
      </c>
      <c r="D53" s="641"/>
      <c r="E53" s="641"/>
      <c r="F53" s="641"/>
      <c r="G53" s="641"/>
      <c r="H53" s="642"/>
      <c r="J53" s="128"/>
    </row>
    <row r="54" spans="1:20" s="62" customFormat="1" ht="12.75" x14ac:dyDescent="0.2">
      <c r="A54" s="199"/>
      <c r="B54" s="208"/>
      <c r="C54" s="175"/>
      <c r="D54" s="176"/>
      <c r="E54" s="176"/>
      <c r="F54" s="176"/>
      <c r="G54" s="176"/>
      <c r="H54" s="176"/>
      <c r="J54" s="128"/>
    </row>
    <row r="55" spans="1:20" s="62" customFormat="1" ht="12.75" x14ac:dyDescent="0.2">
      <c r="A55" s="199"/>
      <c r="B55" s="263" t="s">
        <v>4601</v>
      </c>
      <c r="C55" s="177" t="s">
        <v>4610</v>
      </c>
      <c r="D55" s="178" t="s">
        <v>101</v>
      </c>
      <c r="E55" s="178" t="s">
        <v>1104</v>
      </c>
      <c r="F55" s="179"/>
      <c r="G55" s="180"/>
      <c r="H55" s="181">
        <f>ROUND(SUM(H56:H56),2)</f>
        <v>23.4</v>
      </c>
      <c r="J55" s="11"/>
    </row>
    <row r="56" spans="1:20" s="126" customFormat="1" ht="25.5" x14ac:dyDescent="0.2">
      <c r="A56" s="398" t="s">
        <v>1120</v>
      </c>
      <c r="B56" s="207">
        <v>88316</v>
      </c>
      <c r="C56" s="548" t="str">
        <f>IF(A56="SERVIÇO",VLOOKUP(B56,SERVIÇOS!$A$6:$D$7697,2,0),IF(A56="INSUMO",VLOOKUP(B56,INSUMOS!$A$6:$D$4845,2,0),IF(A56="COTAÇÃO",VLOOKUP(B56,'014-22-cotação'!$A$9:$I$138,2,0),IF(A56="AUX",VLOOKUP('014-22-CCU''s'!B56,'014-22-CCU''s AUX'!$B$1:$H$130,2,0)))))</f>
        <v>SERVENTE COM ENCARGOS COMPLEMENTARES</v>
      </c>
      <c r="D56" s="549" t="str">
        <f>IF(A56="SERVIÇO",VLOOKUP(B56,SERVIÇOS!$A$6:$E$7697,5,0),IF(A56="INSUMO",VLOOKUP(B56,INSUMOS!$A$6:$E$4845,5,0),IF(A56="COTAÇÃO",VLOOKUP(B56,'014-22-cotação'!$A$9:$J$138,10,0),IF(A56="AUX",VLOOKUP('014-22-CCU''s'!B56,'014-22-CCU''s AUX'!$B$1:$H$130,3,0)))))</f>
        <v>M.O</v>
      </c>
      <c r="E56" s="549" t="str">
        <f>IF(A56="SERVIÇO",VLOOKUP(B56,SERVIÇOS!$A$6:$D$7697,3,0),IF(A56="INSUMO",VLOOKUP(B56,INSUMOS!$A$6:$D$4845,3,0),IF(A56="COTAÇÃO",VLOOKUP(B56,'014-22-cotação'!$A$9:$I$138,4,0),IF(A56="AUX",VLOOKUP('014-22-CCU''s'!B56,'014-22-CCU''s AUX'!$B$1:$H$130,4,0)))))</f>
        <v>H</v>
      </c>
      <c r="F56" s="560">
        <v>1</v>
      </c>
      <c r="G56" s="550">
        <f>IF(A56="SERVIÇO",VLOOKUP(B56,SERVIÇOS!$A$6:$D$7697,4,0),IF(A56="INSUMO",VLOOKUP(B56,INSUMOS!$A$6:$D$4845,4,0),IF(A56="COTAÇÃO",VLOOKUP(B56,'014-22-cotação'!$A$9:$I$138,3,0),IF(A56="AUX",VLOOKUP('014-22-CCU''s'!B56,'014-22-CCU''s AUX'!$B$1:$H$130,7,0)))))</f>
        <v>23.4</v>
      </c>
      <c r="H56" s="561">
        <f t="shared" ref="H56" si="6">TRUNC((F56*G56),2)</f>
        <v>23.4</v>
      </c>
      <c r="J56" s="413"/>
    </row>
    <row r="57" spans="1:20" s="62" customFormat="1" ht="12.75" x14ac:dyDescent="0.2">
      <c r="A57" s="199"/>
      <c r="B57" s="207" t="s">
        <v>109</v>
      </c>
      <c r="C57" s="640" t="s">
        <v>4611</v>
      </c>
      <c r="D57" s="641"/>
      <c r="E57" s="641"/>
      <c r="F57" s="641"/>
      <c r="G57" s="641"/>
      <c r="H57" s="642"/>
      <c r="J57" s="128"/>
    </row>
    <row r="58" spans="1:20" s="62" customFormat="1" ht="12.75" x14ac:dyDescent="0.2">
      <c r="A58" s="199"/>
      <c r="B58" s="208"/>
      <c r="C58" s="175"/>
      <c r="D58" s="176"/>
      <c r="E58" s="176"/>
      <c r="F58" s="176"/>
      <c r="G58" s="176"/>
      <c r="H58" s="176"/>
      <c r="J58" s="128"/>
    </row>
    <row r="59" spans="1:20" s="62" customFormat="1" ht="25.5" x14ac:dyDescent="0.2">
      <c r="A59" s="199"/>
      <c r="B59" s="263" t="s">
        <v>4612</v>
      </c>
      <c r="C59" s="177" t="s">
        <v>4614</v>
      </c>
      <c r="D59" s="178" t="s">
        <v>101</v>
      </c>
      <c r="E59" s="178" t="s">
        <v>5</v>
      </c>
      <c r="F59" s="179"/>
      <c r="G59" s="180"/>
      <c r="H59" s="181">
        <f>ROUND(SUM(H60:H60),2)</f>
        <v>8.4700000000000006</v>
      </c>
      <c r="J59" s="11"/>
    </row>
    <row r="60" spans="1:20" s="126" customFormat="1" ht="25.5" x14ac:dyDescent="0.2">
      <c r="A60" s="398" t="s">
        <v>1120</v>
      </c>
      <c r="B60" s="207">
        <v>88251</v>
      </c>
      <c r="C60" s="548" t="str">
        <f>IF(A60="SERVIÇO",VLOOKUP(B60,SERVIÇOS!$A$6:$D$7697,2,0),IF(A60="INSUMO",VLOOKUP(B60,INSUMOS!$A$6:$D$4845,2,0),IF(A60="COTAÇÃO",VLOOKUP(B60,'014-22-cotação'!$A$9:$I$138,2,0),IF(A60="AUX",VLOOKUP('014-22-CCU''s'!B60,'014-22-CCU''s AUX'!$B$1:$H$130,2,0)))))</f>
        <v>AUXILIAR DE SERRALHEIRO COM ENCARGOS COMPLEMENTARES</v>
      </c>
      <c r="D60" s="549" t="str">
        <f>IF(A60="SERVIÇO",VLOOKUP(B60,SERVIÇOS!$A$6:$E$7697,5,0),IF(A60="INSUMO",VLOOKUP(B60,INSUMOS!$A$6:$E$4845,5,0),IF(A60="COTAÇÃO",VLOOKUP(B60,'014-22-cotação'!$A$9:$J$138,10,0),IF(A60="AUX",VLOOKUP('014-22-CCU''s'!B60,'014-22-CCU''s AUX'!$B$1:$H$130,3,0)))))</f>
        <v>M.O</v>
      </c>
      <c r="E60" s="549" t="str">
        <f>IF(A60="SERVIÇO",VLOOKUP(B60,SERVIÇOS!$A$6:$D$7697,3,0),IF(A60="INSUMO",VLOOKUP(B60,INSUMOS!$A$6:$D$4845,3,0),IF(A60="COTAÇÃO",VLOOKUP(B60,'014-22-cotação'!$A$9:$I$138,4,0),IF(A60="AUX",VLOOKUP('014-22-CCU''s'!B60,'014-22-CCU''s AUX'!$B$1:$H$130,4,0)))))</f>
        <v>H</v>
      </c>
      <c r="F60" s="560">
        <v>0.35</v>
      </c>
      <c r="G60" s="550">
        <f>IF(A60="SERVIÇO",VLOOKUP(B60,SERVIÇOS!$A$6:$D$7697,4,0),IF(A60="INSUMO",VLOOKUP(B60,INSUMOS!$A$6:$D$4845,4,0),IF(A60="COTAÇÃO",VLOOKUP(B60,'014-22-cotação'!$A$9:$I$138,3,0),IF(A60="AUX",VLOOKUP('014-22-CCU''s'!B60,'014-22-CCU''s AUX'!$B$1:$H$130,7,0)))))</f>
        <v>24.21</v>
      </c>
      <c r="H60" s="561">
        <f t="shared" ref="H60" si="7">TRUNC((F60*G60),2)</f>
        <v>8.4700000000000006</v>
      </c>
      <c r="J60" s="413"/>
    </row>
    <row r="61" spans="1:20" s="62" customFormat="1" ht="12.75" x14ac:dyDescent="0.2">
      <c r="A61" s="199"/>
      <c r="B61" s="207" t="s">
        <v>109</v>
      </c>
      <c r="C61" s="640" t="s">
        <v>4613</v>
      </c>
      <c r="D61" s="641"/>
      <c r="E61" s="641"/>
      <c r="F61" s="641"/>
      <c r="G61" s="641"/>
      <c r="H61" s="642"/>
      <c r="J61" s="128"/>
    </row>
    <row r="62" spans="1:20" s="213" customFormat="1" ht="12.75" x14ac:dyDescent="0.25">
      <c r="A62" s="199"/>
      <c r="B62" s="208"/>
      <c r="C62" s="175"/>
      <c r="D62" s="176"/>
      <c r="E62" s="176"/>
      <c r="F62" s="176"/>
      <c r="G62" s="176"/>
      <c r="H62" s="176"/>
      <c r="J62" s="83"/>
      <c r="S62" s="331"/>
      <c r="T62" s="342"/>
    </row>
    <row r="63" spans="1:20" s="213" customFormat="1" ht="38.25" x14ac:dyDescent="0.25">
      <c r="A63" s="199"/>
      <c r="B63" s="263" t="s">
        <v>4615</v>
      </c>
      <c r="C63" s="177" t="s">
        <v>3463</v>
      </c>
      <c r="D63" s="178" t="s">
        <v>101</v>
      </c>
      <c r="E63" s="178" t="s">
        <v>150</v>
      </c>
      <c r="F63" s="179"/>
      <c r="G63" s="180"/>
      <c r="H63" s="181">
        <f>ROUND(SUM(H64:H66),2)</f>
        <v>15.54</v>
      </c>
      <c r="J63" s="83"/>
      <c r="S63" s="331"/>
      <c r="T63" s="342"/>
    </row>
    <row r="64" spans="1:20" s="399" customFormat="1" ht="25.5" x14ac:dyDescent="0.25">
      <c r="A64" s="398" t="s">
        <v>1120</v>
      </c>
      <c r="B64" s="207">
        <v>88262</v>
      </c>
      <c r="C64" s="548" t="str">
        <f>IF(A64="SERVIÇO",VLOOKUP(B64,SERVIÇOS!$A$6:$D$7697,2,0),IF(A64="INSUMO",VLOOKUP(B64,INSUMOS!$A$6:$D$4845,2,0),IF(A64="COTAÇÃO",VLOOKUP(B64,'014-22-cotação'!$A$9:$I$138,2,0),IF(A64="AUX",VLOOKUP('014-22-CCU''s'!B64,'014-22-CCU''s AUX'!$B$1:$H$130,2,0)))))</f>
        <v>CARPINTEIRO DE FORMAS COM ENCARGOS COMPLEMENTARES</v>
      </c>
      <c r="D64" s="549" t="str">
        <f>IF(A64="SERVIÇO",VLOOKUP(B64,SERVIÇOS!$A$6:$E$7697,5,0),IF(A64="INSUMO",VLOOKUP(B64,INSUMOS!$A$6:$E$4845,5,0),IF(A64="COTAÇÃO",VLOOKUP(B64,'014-22-cotação'!$A$9:$J$138,10,0),IF(A64="AUX",VLOOKUP('014-22-CCU''s'!B64,'014-22-CCU''s AUX'!$B$1:$H$130,3,0)))))</f>
        <v>M.O</v>
      </c>
      <c r="E64" s="549" t="str">
        <f>IF(A64="SERVIÇO",VLOOKUP(B64,SERVIÇOS!$A$6:$D$7697,3,0),IF(A64="INSUMO",VLOOKUP(B64,INSUMOS!$A$6:$D$4845,3,0),IF(A64="COTAÇÃO",VLOOKUP(B64,'014-22-cotação'!$A$9:$I$138,4,0),IF(A64="AUX",VLOOKUP('014-22-CCU''s'!B64,'014-22-CCU''s AUX'!$B$1:$H$130,4,0)))))</f>
        <v>H</v>
      </c>
      <c r="F64" s="560">
        <f>1/10</f>
        <v>0.1</v>
      </c>
      <c r="G64" s="550">
        <f>IF(A64="SERVIÇO",VLOOKUP(B64,SERVIÇOS!$A$6:$D$7697,4,0),IF(A64="INSUMO",VLOOKUP(B64,INSUMOS!$A$6:$D$4845,4,0),IF(A64="COTAÇÃO",VLOOKUP(B64,'014-22-cotação'!$A$9:$I$138,3,0),IF(A64="AUX",VLOOKUP('014-22-CCU''s'!B64,'014-22-CCU''s AUX'!$B$1:$H$130,7,0)))))</f>
        <v>30.71</v>
      </c>
      <c r="H64" s="561">
        <f>TRUNC((F64*G64),2)</f>
        <v>3.07</v>
      </c>
      <c r="J64" s="401"/>
      <c r="S64" s="402"/>
      <c r="T64" s="400"/>
    </row>
    <row r="65" spans="1:20" s="399" customFormat="1" ht="25.5" x14ac:dyDescent="0.25">
      <c r="A65" s="398" t="s">
        <v>1120</v>
      </c>
      <c r="B65" s="207">
        <v>88309</v>
      </c>
      <c r="C65" s="548" t="str">
        <f>IF(A65="SERVIÇO",VLOOKUP(B65,SERVIÇOS!$A$6:$D$7697,2,0),IF(A65="INSUMO",VLOOKUP(B65,INSUMOS!$A$6:$D$4845,2,0),IF(A65="COTAÇÃO",VLOOKUP(B65,'014-22-cotação'!$A$9:$I$138,2,0),IF(A65="AUX",VLOOKUP('014-22-CCU''s'!B65,'014-22-CCU''s AUX'!$B$1:$H$130,2,0)))))</f>
        <v>PEDREIRO COM ENCARGOS COMPLEMENTARES</v>
      </c>
      <c r="D65" s="549" t="str">
        <f>IF(A65="SERVIÇO",VLOOKUP(B65,SERVIÇOS!$A$6:$E$7697,5,0),IF(A65="INSUMO",VLOOKUP(B65,INSUMOS!$A$6:$E$4845,5,0),IF(A65="COTAÇÃO",VLOOKUP(B65,'014-22-cotação'!$A$9:$J$138,10,0),IF(A65="AUX",VLOOKUP('014-22-CCU''s'!B65,'014-22-CCU''s AUX'!$B$1:$H$130,3,0)))))</f>
        <v>M.O</v>
      </c>
      <c r="E65" s="549" t="str">
        <f>IF(A65="SERVIÇO",VLOOKUP(B65,SERVIÇOS!$A$6:$D$7697,3,0),IF(A65="INSUMO",VLOOKUP(B65,INSUMOS!$A$6:$D$4845,3,0),IF(A65="COTAÇÃO",VLOOKUP(B65,'014-22-cotação'!$A$9:$I$138,4,0),IF(A65="AUX",VLOOKUP('014-22-CCU''s'!B65,'014-22-CCU''s AUX'!$B$1:$H$130,4,0)))))</f>
        <v>H</v>
      </c>
      <c r="F65" s="560">
        <f>1/10</f>
        <v>0.1</v>
      </c>
      <c r="G65" s="550">
        <f>IF(A65="SERVIÇO",VLOOKUP(B65,SERVIÇOS!$A$6:$D$7697,4,0),IF(A65="INSUMO",VLOOKUP(B65,INSUMOS!$A$6:$D$4845,4,0),IF(A65="COTAÇÃO",VLOOKUP(B65,'014-22-cotação'!$A$9:$I$138,3,0),IF(A65="AUX",VLOOKUP('014-22-CCU''s'!B65,'014-22-CCU''s AUX'!$B$1:$H$130,7,0)))))</f>
        <v>31.1</v>
      </c>
      <c r="H65" s="561">
        <f>TRUNC((F65*G65),2)</f>
        <v>3.11</v>
      </c>
      <c r="J65" s="401"/>
      <c r="S65" s="402"/>
      <c r="T65" s="400"/>
    </row>
    <row r="66" spans="1:20" s="399" customFormat="1" ht="25.5" x14ac:dyDescent="0.25">
      <c r="A66" s="398" t="s">
        <v>1120</v>
      </c>
      <c r="B66" s="207">
        <v>88316</v>
      </c>
      <c r="C66" s="548" t="str">
        <f>IF(A66="SERVIÇO",VLOOKUP(B66,SERVIÇOS!$A$6:$D$7697,2,0),IF(A66="INSUMO",VLOOKUP(B66,INSUMOS!$A$6:$D$4845,2,0),IF(A66="COTAÇÃO",VLOOKUP(B66,'014-22-cotação'!$A$9:$I$138,2,0),IF(A66="AUX",VLOOKUP('014-22-CCU''s'!B66,'014-22-CCU''s AUX'!$B$1:$H$130,2,0)))))</f>
        <v>SERVENTE COM ENCARGOS COMPLEMENTARES</v>
      </c>
      <c r="D66" s="549" t="str">
        <f>IF(A66="SERVIÇO",VLOOKUP(B66,SERVIÇOS!$A$6:$E$7697,5,0),IF(A66="INSUMO",VLOOKUP(B66,INSUMOS!$A$6:$E$4845,5,0),IF(A66="COTAÇÃO",VLOOKUP(B66,'014-22-cotação'!$A$9:$J$138,10,0),IF(A66="AUX",VLOOKUP('014-22-CCU''s'!B66,'014-22-CCU''s AUX'!$B$1:$H$130,3,0)))))</f>
        <v>M.O</v>
      </c>
      <c r="E66" s="549" t="str">
        <f>IF(A66="SERVIÇO",VLOOKUP(B66,SERVIÇOS!$A$6:$D$7697,3,0),IF(A66="INSUMO",VLOOKUP(B66,INSUMOS!$A$6:$D$4845,3,0),IF(A66="COTAÇÃO",VLOOKUP(B66,'014-22-cotação'!$A$9:$I$138,4,0),IF(A66="AUX",VLOOKUP('014-22-CCU''s'!B66,'014-22-CCU''s AUX'!$B$1:$H$130,4,0)))))</f>
        <v>H</v>
      </c>
      <c r="F66" s="560">
        <f>4/10</f>
        <v>0.4</v>
      </c>
      <c r="G66" s="550">
        <f>IF(A66="SERVIÇO",VLOOKUP(B66,SERVIÇOS!$A$6:$D$7697,4,0),IF(A66="INSUMO",VLOOKUP(B66,INSUMOS!$A$6:$D$4845,4,0),IF(A66="COTAÇÃO",VLOOKUP(B66,'014-22-cotação'!$A$9:$I$138,3,0),IF(A66="AUX",VLOOKUP('014-22-CCU''s'!B66,'014-22-CCU''s AUX'!$B$1:$H$130,7,0)))))</f>
        <v>23.4</v>
      </c>
      <c r="H66" s="561">
        <f>TRUNC((F66*G66),2)</f>
        <v>9.36</v>
      </c>
      <c r="J66" s="401"/>
      <c r="S66" s="402"/>
      <c r="T66" s="400"/>
    </row>
    <row r="67" spans="1:20" s="213" customFormat="1" ht="12.75" x14ac:dyDescent="0.25">
      <c r="A67" s="199"/>
      <c r="B67" s="207" t="s">
        <v>109</v>
      </c>
      <c r="C67" s="382" t="s">
        <v>3912</v>
      </c>
      <c r="D67" s="383"/>
      <c r="E67" s="383"/>
      <c r="F67" s="383"/>
      <c r="G67" s="383"/>
      <c r="H67" s="384"/>
      <c r="J67" s="83"/>
      <c r="S67" s="331"/>
      <c r="T67" s="342"/>
    </row>
    <row r="68" spans="1:20" s="213" customFormat="1" ht="12.75" x14ac:dyDescent="0.25">
      <c r="A68" s="199"/>
      <c r="B68" s="208"/>
      <c r="C68" s="175"/>
      <c r="D68" s="176"/>
      <c r="E68" s="176"/>
      <c r="F68" s="176"/>
      <c r="G68" s="176"/>
      <c r="H68" s="176"/>
      <c r="S68" s="331"/>
      <c r="T68" s="342"/>
    </row>
    <row r="69" spans="1:20" s="463" customFormat="1" ht="38.25" x14ac:dyDescent="0.25">
      <c r="A69" s="462"/>
      <c r="B69" s="263" t="s">
        <v>12711</v>
      </c>
      <c r="C69" s="177" t="s">
        <v>12712</v>
      </c>
      <c r="D69" s="178" t="s">
        <v>101</v>
      </c>
      <c r="E69" s="178" t="s">
        <v>150</v>
      </c>
      <c r="F69" s="179"/>
      <c r="G69" s="180"/>
      <c r="H69" s="181">
        <f>ROUND(SUM(H70:H93),2)</f>
        <v>735.49</v>
      </c>
      <c r="I69" s="463" t="s">
        <v>12742</v>
      </c>
      <c r="J69" s="464"/>
      <c r="S69" s="465"/>
      <c r="T69" s="466"/>
    </row>
    <row r="70" spans="1:20" s="399" customFormat="1" ht="51" x14ac:dyDescent="0.25">
      <c r="A70" s="398" t="s">
        <v>1122</v>
      </c>
      <c r="B70" s="207">
        <v>11455</v>
      </c>
      <c r="C70" s="548" t="str">
        <f>IF(A70="SERVIÇO",VLOOKUP(B70,SERVIÇOS!$A$6:$D$7697,2,0),IF(A70="INSUMO",VLOOKUP(B70,INSUMOS!$A$6:$D$4845,2,0),IF(A70="COTAÇÃO",VLOOKUP(B70,'014-22-cotação'!$A$9:$I$138,2,0),IF(A70="AUX",VLOOKUP('014-22-CCU''s'!B70,'014-22-CCU''s AUX'!$B$1:$H$130,2,0)))))</f>
        <v xml:space="preserve">FERROLHO COM FECHO / TRINCO REDONDO, EM ACO GALVANIZADO / ZINCADO, DE SOBREPOR, COM COMPRIMENTO DE 8" E ESPESSURA MINIMA DA CHAPA DE 1,50 MM                                                                                                                                                                                                                                                                                                                                                              </v>
      </c>
      <c r="D70" s="549" t="str">
        <f>IF(A70="SERVIÇO",VLOOKUP(B70,SERVIÇOS!$A$6:$E$7697,5,0),IF(A70="INSUMO",VLOOKUP(B70,INSUMOS!$A$6:$E$4845,5,0),IF(A70="COTAÇÃO",VLOOKUP(B70,'014-22-cotação'!$A$9:$J$138,10,0),IF(A70="AUX",VLOOKUP('014-22-CCU''s'!B70,'014-22-CCU''s AUX'!$B$1:$H$130,3,0)))))</f>
        <v>MAT.</v>
      </c>
      <c r="E70" s="549" t="str">
        <f>IF(A70="SERVIÇO",VLOOKUP(B70,SERVIÇOS!$A$6:$D$7697,3,0),IF(A70="INSUMO",VLOOKUP(B70,INSUMOS!$A$6:$D$4845,3,0),IF(A70="COTAÇÃO",VLOOKUP(B70,'014-22-cotação'!$A$9:$I$138,4,0),IF(A70="AUX",VLOOKUP('014-22-CCU''s'!B70,'014-22-CCU''s AUX'!$B$1:$H$130,4,0)))))</f>
        <v xml:space="preserve">UN    </v>
      </c>
      <c r="F70" s="549">
        <v>6.6199999999999995E-2</v>
      </c>
      <c r="G70" s="550">
        <f>IF(A70="SERVIÇO",VLOOKUP(B70,SERVIÇOS!$A$6:$D$7697,4,0),IF(A70="INSUMO",VLOOKUP(B70,INSUMOS!$A$6:$D$4845,4,0),IF(A70="COTAÇÃO",VLOOKUP(B70,'014-22-cotação'!$A$9:$I$138,3,0),IF(A70="AUX",VLOOKUP('014-22-CCU''s'!B70,'014-22-CCU''s AUX'!$B$1:$H$130,7,0)))))</f>
        <v>15.49</v>
      </c>
      <c r="H70" s="561">
        <f>TRUNC((F70*G70),2)</f>
        <v>1.02</v>
      </c>
      <c r="I70" s="399" t="s">
        <v>12743</v>
      </c>
      <c r="J70" s="401">
        <v>3080</v>
      </c>
      <c r="S70" s="402"/>
      <c r="T70" s="400"/>
    </row>
    <row r="71" spans="1:20" s="399" customFormat="1" ht="38.25" x14ac:dyDescent="0.25">
      <c r="A71" s="398" t="s">
        <v>1120</v>
      </c>
      <c r="B71" s="207">
        <v>88489</v>
      </c>
      <c r="C71" s="548" t="str">
        <f>IF(A71="SERVIÇO",VLOOKUP(B71,SERVIÇOS!$A$6:$D$7697,2,0),IF(A71="INSUMO",VLOOKUP(B71,INSUMOS!$A$6:$D$4845,2,0),IF(A71="COTAÇÃO",VLOOKUP(B71,'014-22-cotação'!$A$9:$I$138,2,0),IF(A71="AUX",VLOOKUP('014-22-CCU''s'!B71,'014-22-CCU''s AUX'!$B$1:$H$130,2,0)))))</f>
        <v>PINTURA LÁTEX ACRÍLICA PREMIUM, APLICAÇÃO MANUAL EM PAREDES, DUAS DEMÃOS. AF_04/2023</v>
      </c>
      <c r="D71" s="549" t="str">
        <f>IF(A71="SERVIÇO",VLOOKUP(B71,SERVIÇOS!$A$6:$E$7697,5,0),IF(A71="INSUMO",VLOOKUP(B71,INSUMOS!$A$6:$E$4845,5,0),IF(A71="COTAÇÃO",VLOOKUP(B71,'014-22-cotação'!$A$9:$J$138,10,0),IF(A71="AUX",VLOOKUP('014-22-CCU''s'!B71,'014-22-CCU''s AUX'!$B$1:$H$130,3,0)))))</f>
        <v>SER.CG</v>
      </c>
      <c r="E71" s="549" t="str">
        <f>IF(A71="SERVIÇO",VLOOKUP(B71,SERVIÇOS!$A$6:$D$7697,3,0),IF(A71="INSUMO",VLOOKUP(B71,INSUMOS!$A$6:$D$4845,3,0),IF(A71="COTAÇÃO",VLOOKUP(B71,'014-22-cotação'!$A$9:$I$138,4,0),IF(A71="AUX",VLOOKUP('014-22-CCU''s'!B71,'014-22-CCU''s AUX'!$B$1:$H$130,4,0)))))</f>
        <v>M2</v>
      </c>
      <c r="F71" s="549">
        <v>5.0648999999999997</v>
      </c>
      <c r="G71" s="550">
        <f>IF(A71="SERVIÇO",VLOOKUP(B71,SERVIÇOS!$A$6:$D$7697,4,0),IF(A71="INSUMO",VLOOKUP(B71,INSUMOS!$A$6:$D$4845,4,0),IF(A71="COTAÇÃO",VLOOKUP(B71,'014-22-cotação'!$A$9:$I$138,3,0),IF(A71="AUX",VLOOKUP('014-22-CCU''s'!B71,'014-22-CCU''s AUX'!$B$1:$H$130,7,0)))))</f>
        <v>14.06</v>
      </c>
      <c r="H71" s="561">
        <f>TRUNC((F71*G71),2)</f>
        <v>71.209999999999994</v>
      </c>
      <c r="I71" s="399" t="s">
        <v>12744</v>
      </c>
      <c r="J71" s="401">
        <v>88489</v>
      </c>
      <c r="S71" s="402"/>
      <c r="T71" s="400"/>
    </row>
    <row r="72" spans="1:20" s="399" customFormat="1" ht="89.25" x14ac:dyDescent="0.25">
      <c r="A72" s="398" t="s">
        <v>1120</v>
      </c>
      <c r="B72" s="207">
        <v>91170</v>
      </c>
      <c r="C72" s="548" t="str">
        <f>IF(A72="SERVIÇO",VLOOKUP(B72,SERVIÇOS!$A$6:$D$7697,2,0),IF(A72="INSUMO",VLOOKUP(B72,INSUMOS!$A$6:$D$4845,2,0),IF(A72="COTAÇÃO",VLOOKUP(B72,'014-22-cotação'!$A$9:$I$138,2,0),IF(A72="AUX",VLOOKUP('014-22-CCU''s'!B72,'014-22-CCU''s AUX'!$B$1:$H$130,2,0)))))</f>
        <v>FIXAÇÃO DE TUBOS HORIZONTAIS DE PVC ÁGUA, PVC ESGOTO, PVC ÁGUA PLUVIAL, CPVC, PPR, COBRE OU AÇO, DIÂMETROS MENORES OU IGUAIS A 40 MM, COM ABRAÇADEIRA METÁLICA RÍGIDA TIPO U PERFIL 1 1/4", FIXADA EM PERFILADO EM LAJE. AF_09/2023_PS</v>
      </c>
      <c r="D72" s="549" t="str">
        <f>IF(A72="SERVIÇO",VLOOKUP(B72,SERVIÇOS!$A$6:$E$7697,5,0),IF(A72="INSUMO",VLOOKUP(B72,INSUMOS!$A$6:$E$4845,5,0),IF(A72="COTAÇÃO",VLOOKUP(B72,'014-22-cotação'!$A$9:$J$138,10,0),IF(A72="AUX",VLOOKUP('014-22-CCU''s'!B72,'014-22-CCU''s AUX'!$B$1:$H$130,3,0)))))</f>
        <v>SER.CG</v>
      </c>
      <c r="E72" s="549" t="str">
        <f>IF(A72="SERVIÇO",VLOOKUP(B72,SERVIÇOS!$A$6:$D$7697,3,0),IF(A72="INSUMO",VLOOKUP(B72,INSUMOS!$A$6:$D$4845,3,0),IF(A72="COTAÇÃO",VLOOKUP(B72,'014-22-cotação'!$A$9:$I$138,4,0),IF(A72="AUX",VLOOKUP('014-22-CCU''s'!B72,'014-22-CCU''s AUX'!$B$1:$H$130,4,0)))))</f>
        <v>M</v>
      </c>
      <c r="F72" s="549">
        <v>0.13250000000000001</v>
      </c>
      <c r="G72" s="550">
        <f>IF(A72="SERVIÇO",VLOOKUP(B72,SERVIÇOS!$A$6:$D$7697,4,0),IF(A72="INSUMO",VLOOKUP(B72,INSUMOS!$A$6:$D$4845,4,0),IF(A72="COTAÇÃO",VLOOKUP(B72,'014-22-cotação'!$A$9:$I$138,3,0),IF(A72="AUX",VLOOKUP('014-22-CCU''s'!B72,'014-22-CCU''s AUX'!$B$1:$H$130,7,0)))))</f>
        <v>10.73</v>
      </c>
      <c r="H72" s="561">
        <f>TRUNC((F72*G72),2)</f>
        <v>1.42</v>
      </c>
      <c r="I72" s="399" t="s">
        <v>12745</v>
      </c>
      <c r="J72" s="401">
        <v>90822</v>
      </c>
      <c r="S72" s="402"/>
      <c r="T72" s="400"/>
    </row>
    <row r="73" spans="1:20" s="399" customFormat="1" ht="89.25" x14ac:dyDescent="0.25">
      <c r="A73" s="398" t="s">
        <v>1120</v>
      </c>
      <c r="B73" s="207">
        <v>91173</v>
      </c>
      <c r="C73" s="548" t="str">
        <f>IF(A73="SERVIÇO",VLOOKUP(B73,SERVIÇOS!$A$6:$D$7697,2,0),IF(A73="INSUMO",VLOOKUP(B73,INSUMOS!$A$6:$D$4845,2,0),IF(A73="COTAÇÃO",VLOOKUP(B73,'014-22-cotação'!$A$9:$I$138,2,0),IF(A73="AUX",VLOOKUP('014-22-CCU''s'!B73,'014-22-CCU''s AUX'!$B$1:$H$130,2,0)))))</f>
        <v>FIXAÇÃO DE TUBOS VERTICAIS DE PVC ÁGUA, PVC ESGOTO, PVC ÁGUA PLUVIAL, CPVC, PPR, COBRE OU AÇO, DIÂMETROS MENORES OU IGUAIS A 40 MM, COM ABRAÇADEIRA METÁLICA RÍGIDA TIPO U PERFIL 1 1/4", FIXADA EM PERFILADO EM PAREDE. AF_09/2023_PS</v>
      </c>
      <c r="D73" s="549" t="str">
        <f>IF(A73="SERVIÇO",VLOOKUP(B73,SERVIÇOS!$A$6:$E$7697,5,0),IF(A73="INSUMO",VLOOKUP(B73,INSUMOS!$A$6:$E$4845,5,0),IF(A73="COTAÇÃO",VLOOKUP(B73,'014-22-cotação'!$A$9:$J$138,10,0),IF(A73="AUX",VLOOKUP('014-22-CCU''s'!B73,'014-22-CCU''s AUX'!$B$1:$H$130,3,0)))))</f>
        <v>SER.CG</v>
      </c>
      <c r="E73" s="549" t="str">
        <f>IF(A73="SERVIÇO",VLOOKUP(B73,SERVIÇOS!$A$6:$D$7697,3,0),IF(A73="INSUMO",VLOOKUP(B73,INSUMOS!$A$6:$D$4845,3,0),IF(A73="COTAÇÃO",VLOOKUP(B73,'014-22-cotação'!$A$9:$I$138,4,0),IF(A73="AUX",VLOOKUP('014-22-CCU''s'!B73,'014-22-CCU''s AUX'!$B$1:$H$130,4,0)))))</f>
        <v>M</v>
      </c>
      <c r="F73" s="549">
        <v>0.17219999999999999</v>
      </c>
      <c r="G73" s="550">
        <f>IF(A73="SERVIÇO",VLOOKUP(B73,SERVIÇOS!$A$6:$D$7697,4,0),IF(A73="INSUMO",VLOOKUP(B73,INSUMOS!$A$6:$D$4845,4,0),IF(A73="COTAÇÃO",VLOOKUP(B73,'014-22-cotação'!$A$9:$I$138,3,0),IF(A73="AUX",VLOOKUP('014-22-CCU''s'!B73,'014-22-CCU''s AUX'!$B$1:$H$130,7,0)))))</f>
        <v>4</v>
      </c>
      <c r="H73" s="561">
        <f t="shared" ref="H73:H93" si="8">TRUNC((F73*G73),2)</f>
        <v>0.68</v>
      </c>
      <c r="I73" s="399" t="s">
        <v>12746</v>
      </c>
      <c r="J73" s="401">
        <v>91170</v>
      </c>
      <c r="S73" s="402"/>
      <c r="T73" s="400"/>
    </row>
    <row r="74" spans="1:20" s="399" customFormat="1" ht="51" x14ac:dyDescent="0.25">
      <c r="A74" s="398" t="s">
        <v>1120</v>
      </c>
      <c r="B74" s="207">
        <v>91341</v>
      </c>
      <c r="C74" s="548" t="str">
        <f>IF(A74="SERVIÇO",VLOOKUP(B74,SERVIÇOS!$A$6:$D$7697,2,0),IF(A74="INSUMO",VLOOKUP(B74,INSUMOS!$A$6:$D$4845,2,0),IF(A74="COTAÇÃO",VLOOKUP(B74,'014-22-cotação'!$A$9:$I$138,2,0),IF(A74="AUX",VLOOKUP('014-22-CCU''s'!B74,'014-22-CCU''s AUX'!$B$1:$H$130,2,0)))))</f>
        <v>PORTA EM ALUMÍNIO DE ABRIR TIPO VENEZIANA COM GUARNIÇÃO, FIXAÇÃO COM PARAFUSOS - FORNECIMENTO E INSTALAÇÃO. AF_12/2019</v>
      </c>
      <c r="D74" s="549" t="str">
        <f>IF(A74="SERVIÇO",VLOOKUP(B74,SERVIÇOS!$A$6:$E$7697,5,0),IF(A74="INSUMO",VLOOKUP(B74,INSUMOS!$A$6:$E$4845,5,0),IF(A74="COTAÇÃO",VLOOKUP(B74,'014-22-cotação'!$A$9:$J$138,10,0),IF(A74="AUX",VLOOKUP('014-22-CCU''s'!B74,'014-22-CCU''s AUX'!$B$1:$H$130,3,0)))))</f>
        <v>SER.CG</v>
      </c>
      <c r="E74" s="549" t="str">
        <f>IF(A74="SERVIÇO",VLOOKUP(B74,SERVIÇOS!$A$6:$D$7697,3,0),IF(A74="INSUMO",VLOOKUP(B74,INSUMOS!$A$6:$D$4845,3,0),IF(A74="COTAÇÃO",VLOOKUP(B74,'014-22-cotação'!$A$9:$I$138,4,0),IF(A74="AUX",VLOOKUP('014-22-CCU''s'!B74,'014-22-CCU''s AUX'!$B$1:$H$130,4,0)))))</f>
        <v>M2</v>
      </c>
      <c r="F74" s="549">
        <v>0.153</v>
      </c>
      <c r="G74" s="550">
        <f>IF(A74="SERVIÇO",VLOOKUP(B74,SERVIÇOS!$A$6:$D$7697,4,0),IF(A74="INSUMO",VLOOKUP(B74,INSUMOS!$A$6:$D$4845,4,0),IF(A74="COTAÇÃO",VLOOKUP(B74,'014-22-cotação'!$A$9:$I$138,3,0),IF(A74="AUX",VLOOKUP('014-22-CCU''s'!B74,'014-22-CCU''s AUX'!$B$1:$H$130,7,0)))))</f>
        <v>584.64</v>
      </c>
      <c r="H74" s="561">
        <f t="shared" si="8"/>
        <v>89.44</v>
      </c>
      <c r="I74" s="399" t="s">
        <v>12747</v>
      </c>
      <c r="J74" s="401">
        <v>91173</v>
      </c>
      <c r="S74" s="402"/>
      <c r="T74" s="400"/>
    </row>
    <row r="75" spans="1:20" s="399" customFormat="1" ht="51" x14ac:dyDescent="0.25">
      <c r="A75" s="398" t="s">
        <v>1120</v>
      </c>
      <c r="B75" s="207">
        <v>91852</v>
      </c>
      <c r="C75" s="548" t="str">
        <f>IF(A75="SERVIÇO",VLOOKUP(B75,SERVIÇOS!$A$6:$D$7697,2,0),IF(A75="INSUMO",VLOOKUP(B75,INSUMOS!$A$6:$D$4845,2,0),IF(A75="COTAÇÃO",VLOOKUP(B75,'014-22-cotação'!$A$9:$I$138,2,0),IF(A75="AUX",VLOOKUP('014-22-CCU''s'!B75,'014-22-CCU''s AUX'!$B$1:$H$130,2,0)))))</f>
        <v>ELETRODUTO FLEXÍVEL CORRUGADO, PVC, DN 20 MM (1/2"), PARA CIRCUITOS TERMINAIS, INSTALADO EM PAREDE - FORNECIMENTO E INSTALAÇÃO. AF_03/2023</v>
      </c>
      <c r="D75" s="549" t="str">
        <f>IF(A75="SERVIÇO",VLOOKUP(B75,SERVIÇOS!$A$6:$E$7697,5,0),IF(A75="INSUMO",VLOOKUP(B75,INSUMOS!$A$6:$E$4845,5,0),IF(A75="COTAÇÃO",VLOOKUP(B75,'014-22-cotação'!$A$9:$J$138,10,0),IF(A75="AUX",VLOOKUP('014-22-CCU''s'!B75,'014-22-CCU''s AUX'!$B$1:$H$130,3,0)))))</f>
        <v>SER.CG</v>
      </c>
      <c r="E75" s="549" t="str">
        <f>IF(A75="SERVIÇO",VLOOKUP(B75,SERVIÇOS!$A$6:$D$7697,3,0),IF(A75="INSUMO",VLOOKUP(B75,INSUMOS!$A$6:$D$4845,3,0),IF(A75="COTAÇÃO",VLOOKUP(B75,'014-22-cotação'!$A$9:$I$138,4,0),IF(A75="AUX",VLOOKUP('014-22-CCU''s'!B75,'014-22-CCU''s AUX'!$B$1:$H$130,4,0)))))</f>
        <v>M</v>
      </c>
      <c r="F75" s="549">
        <v>6.6199999999999995E-2</v>
      </c>
      <c r="G75" s="550">
        <f>IF(A75="SERVIÇO",VLOOKUP(B75,SERVIÇOS!$A$6:$D$7697,4,0),IF(A75="INSUMO",VLOOKUP(B75,INSUMOS!$A$6:$D$4845,4,0),IF(A75="COTAÇÃO",VLOOKUP(B75,'014-22-cotação'!$A$9:$I$138,3,0),IF(A75="AUX",VLOOKUP('014-22-CCU''s'!B75,'014-22-CCU''s AUX'!$B$1:$H$130,7,0)))))</f>
        <v>9.9</v>
      </c>
      <c r="H75" s="561">
        <f t="shared" si="8"/>
        <v>0.65</v>
      </c>
      <c r="I75" s="399" t="s">
        <v>12748</v>
      </c>
      <c r="J75" s="401">
        <v>91852</v>
      </c>
      <c r="S75" s="402"/>
      <c r="T75" s="400"/>
    </row>
    <row r="76" spans="1:20" s="399" customFormat="1" ht="51" x14ac:dyDescent="0.25">
      <c r="A76" s="398" t="s">
        <v>1120</v>
      </c>
      <c r="B76" s="207">
        <v>91862</v>
      </c>
      <c r="C76" s="548" t="str">
        <f>IF(A76="SERVIÇO",VLOOKUP(B76,SERVIÇOS!$A$6:$D$7697,2,0),IF(A76="INSUMO",VLOOKUP(B76,INSUMOS!$A$6:$D$4845,2,0),IF(A76="COTAÇÃO",VLOOKUP(B76,'014-22-cotação'!$A$9:$I$138,2,0),IF(A76="AUX",VLOOKUP('014-22-CCU''s'!B76,'014-22-CCU''s AUX'!$B$1:$H$130,2,0)))))</f>
        <v>ELETRODUTO RÍGIDO ROSCÁVEL, PVC, DN 20 MM (1/2"), PARA CIRCUITOS TERMINAIS, INSTALADO EM FORRO - FORNECIMENTO E INSTALAÇÃO. AF_03/2023</v>
      </c>
      <c r="D76" s="549" t="str">
        <f>IF(A76="SERVIÇO",VLOOKUP(B76,SERVIÇOS!$A$6:$E$7697,5,0),IF(A76="INSUMO",VLOOKUP(B76,INSUMOS!$A$6:$E$4845,5,0),IF(A76="COTAÇÃO",VLOOKUP(B76,'014-22-cotação'!$A$9:$J$138,10,0),IF(A76="AUX",VLOOKUP('014-22-CCU''s'!B76,'014-22-CCU''s AUX'!$B$1:$H$130,3,0)))))</f>
        <v>SER.CG</v>
      </c>
      <c r="E76" s="549" t="str">
        <f>IF(A76="SERVIÇO",VLOOKUP(B76,SERVIÇOS!$A$6:$D$7697,3,0),IF(A76="INSUMO",VLOOKUP(B76,INSUMOS!$A$6:$D$4845,3,0),IF(A76="COTAÇÃO",VLOOKUP(B76,'014-22-cotação'!$A$9:$I$138,4,0),IF(A76="AUX",VLOOKUP('014-22-CCU''s'!B76,'014-22-CCU''s AUX'!$B$1:$H$130,4,0)))))</f>
        <v>M</v>
      </c>
      <c r="F76" s="549">
        <v>0.13250000000000001</v>
      </c>
      <c r="G76" s="550">
        <f>IF(A76="SERVIÇO",VLOOKUP(B76,SERVIÇOS!$A$6:$D$7697,4,0),IF(A76="INSUMO",VLOOKUP(B76,INSUMOS!$A$6:$D$4845,4,0),IF(A76="COTAÇÃO",VLOOKUP(B76,'014-22-cotação'!$A$9:$I$138,3,0),IF(A76="AUX",VLOOKUP('014-22-CCU''s'!B76,'014-22-CCU''s AUX'!$B$1:$H$130,7,0)))))</f>
        <v>10.78</v>
      </c>
      <c r="H76" s="561">
        <f t="shared" si="8"/>
        <v>1.42</v>
      </c>
      <c r="I76" s="399" t="s">
        <v>12749</v>
      </c>
      <c r="J76" s="401">
        <v>91862</v>
      </c>
      <c r="S76" s="402"/>
      <c r="T76" s="400"/>
    </row>
    <row r="77" spans="1:20" s="399" customFormat="1" ht="51" x14ac:dyDescent="0.25">
      <c r="A77" s="398" t="s">
        <v>1120</v>
      </c>
      <c r="B77" s="207">
        <v>91870</v>
      </c>
      <c r="C77" s="548" t="str">
        <f>IF(A77="SERVIÇO",VLOOKUP(B77,SERVIÇOS!$A$6:$D$7697,2,0),IF(A77="INSUMO",VLOOKUP(B77,INSUMOS!$A$6:$D$4845,2,0),IF(A77="COTAÇÃO",VLOOKUP(B77,'014-22-cotação'!$A$9:$I$138,2,0),IF(A77="AUX",VLOOKUP('014-22-CCU''s'!B77,'014-22-CCU''s AUX'!$B$1:$H$130,2,0)))))</f>
        <v>ELETRODUTO RÍGIDO ROSCÁVEL, PVC, DN 20 MM (1/2"), PARA CIRCUITOS TERMINAIS, INSTALADO EM PAREDE - FORNECIMENTO E INSTALAÇÃO. AF_03/2023</v>
      </c>
      <c r="D77" s="549" t="str">
        <f>IF(A77="SERVIÇO",VLOOKUP(B77,SERVIÇOS!$A$6:$E$7697,5,0),IF(A77="INSUMO",VLOOKUP(B77,INSUMOS!$A$6:$E$4845,5,0),IF(A77="COTAÇÃO",VLOOKUP(B77,'014-22-cotação'!$A$9:$J$138,10,0),IF(A77="AUX",VLOOKUP('014-22-CCU''s'!B77,'014-22-CCU''s AUX'!$B$1:$H$130,3,0)))))</f>
        <v>SER.CG</v>
      </c>
      <c r="E77" s="549" t="str">
        <f>IF(A77="SERVIÇO",VLOOKUP(B77,SERVIÇOS!$A$6:$D$7697,3,0),IF(A77="INSUMO",VLOOKUP(B77,INSUMOS!$A$6:$D$4845,3,0),IF(A77="COTAÇÃO",VLOOKUP(B77,'014-22-cotação'!$A$9:$I$138,4,0),IF(A77="AUX",VLOOKUP('014-22-CCU''s'!B77,'014-22-CCU''s AUX'!$B$1:$H$130,4,0)))))</f>
        <v>M</v>
      </c>
      <c r="F77" s="549">
        <v>0.17219999999999999</v>
      </c>
      <c r="G77" s="550">
        <f>IF(A77="SERVIÇO",VLOOKUP(B77,SERVIÇOS!$A$6:$D$7697,4,0),IF(A77="INSUMO",VLOOKUP(B77,INSUMOS!$A$6:$D$4845,4,0),IF(A77="COTAÇÃO",VLOOKUP(B77,'014-22-cotação'!$A$9:$I$138,3,0),IF(A77="AUX",VLOOKUP('014-22-CCU''s'!B77,'014-22-CCU''s AUX'!$B$1:$H$130,7,0)))))</f>
        <v>14.04</v>
      </c>
      <c r="H77" s="561">
        <f t="shared" si="8"/>
        <v>2.41</v>
      </c>
      <c r="I77" s="399" t="s">
        <v>12750</v>
      </c>
      <c r="J77" s="401">
        <v>91870</v>
      </c>
      <c r="S77" s="402"/>
      <c r="T77" s="400"/>
    </row>
    <row r="78" spans="1:20" s="399" customFormat="1" ht="51" x14ac:dyDescent="0.25">
      <c r="A78" s="398" t="s">
        <v>1120</v>
      </c>
      <c r="B78" s="207">
        <v>91924</v>
      </c>
      <c r="C78" s="548" t="str">
        <f>IF(A78="SERVIÇO",VLOOKUP(B78,SERVIÇOS!$A$6:$D$7697,2,0),IF(A78="INSUMO",VLOOKUP(B78,INSUMOS!$A$6:$D$4845,2,0),IF(A78="COTAÇÃO",VLOOKUP(B78,'014-22-cotação'!$A$9:$I$138,2,0),IF(A78="AUX",VLOOKUP('014-22-CCU''s'!B78,'014-22-CCU''s AUX'!$B$1:$H$130,2,0)))))</f>
        <v>CABO DE COBRE FLEXÍVEL ISOLADO, 1,5 MM², ANTI-CHAMA 450/750 V, PARA CIRCUITOS TERMINAIS - FORNECIMENTO E INSTALAÇÃO. AF_03/2023</v>
      </c>
      <c r="D78" s="549" t="str">
        <f>IF(A78="SERVIÇO",VLOOKUP(B78,SERVIÇOS!$A$6:$E$7697,5,0),IF(A78="INSUMO",VLOOKUP(B78,INSUMOS!$A$6:$E$4845,5,0),IF(A78="COTAÇÃO",VLOOKUP(B78,'014-22-cotação'!$A$9:$J$138,10,0),IF(A78="AUX",VLOOKUP('014-22-CCU''s'!B78,'014-22-CCU''s AUX'!$B$1:$H$130,3,0)))))</f>
        <v>SER.CG</v>
      </c>
      <c r="E78" s="549" t="str">
        <f>IF(A78="SERVIÇO",VLOOKUP(B78,SERVIÇOS!$A$6:$D$7697,3,0),IF(A78="INSUMO",VLOOKUP(B78,INSUMOS!$A$6:$D$4845,3,0),IF(A78="COTAÇÃO",VLOOKUP(B78,'014-22-cotação'!$A$9:$I$138,4,0),IF(A78="AUX",VLOOKUP('014-22-CCU''s'!B78,'014-22-CCU''s AUX'!$B$1:$H$130,4,0)))))</f>
        <v>M</v>
      </c>
      <c r="F78" s="549">
        <v>0.67549999999999999</v>
      </c>
      <c r="G78" s="550">
        <f>IF(A78="SERVIÇO",VLOOKUP(B78,SERVIÇOS!$A$6:$D$7697,4,0),IF(A78="INSUMO",VLOOKUP(B78,INSUMOS!$A$6:$D$4845,4,0),IF(A78="COTAÇÃO",VLOOKUP(B78,'014-22-cotação'!$A$9:$I$138,3,0),IF(A78="AUX",VLOOKUP('014-22-CCU''s'!B78,'014-22-CCU''s AUX'!$B$1:$H$130,7,0)))))</f>
        <v>3.18</v>
      </c>
      <c r="H78" s="561">
        <f t="shared" si="8"/>
        <v>2.14</v>
      </c>
      <c r="I78" s="399" t="s">
        <v>12751</v>
      </c>
      <c r="J78" s="401">
        <v>91926</v>
      </c>
      <c r="S78" s="402"/>
      <c r="T78" s="400"/>
    </row>
    <row r="79" spans="1:20" s="399" customFormat="1" ht="51" x14ac:dyDescent="0.25">
      <c r="A79" s="398" t="s">
        <v>1120</v>
      </c>
      <c r="B79" s="207">
        <v>92023</v>
      </c>
      <c r="C79" s="548" t="str">
        <f>IF(A79="SERVIÇO",VLOOKUP(B79,SERVIÇOS!$A$6:$D$7697,2,0),IF(A79="INSUMO",VLOOKUP(B79,INSUMOS!$A$6:$D$4845,2,0),IF(A79="COTAÇÃO",VLOOKUP(B79,'014-22-cotação'!$A$9:$I$138,2,0),IF(A79="AUX",VLOOKUP('014-22-CCU''s'!B79,'014-22-CCU''s AUX'!$B$1:$H$130,2,0)))))</f>
        <v>INTERRUPTOR SIMPLES (1 MÓDULO) COM 1 TOMADA DE EMBUTIR 2P+T 10 A, INCLUINDO SUPORTE E PLACA - FORNECIMENTO E INSTALAÇÃO. AF_03/2023</v>
      </c>
      <c r="D79" s="549" t="str">
        <f>IF(A79="SERVIÇO",VLOOKUP(B79,SERVIÇOS!$A$6:$E$7697,5,0),IF(A79="INSUMO",VLOOKUP(B79,INSUMOS!$A$6:$E$4845,5,0),IF(A79="COTAÇÃO",VLOOKUP(B79,'014-22-cotação'!$A$9:$J$138,10,0),IF(A79="AUX",VLOOKUP('014-22-CCU''s'!B79,'014-22-CCU''s AUX'!$B$1:$H$130,3,0)))))</f>
        <v>SER.CG</v>
      </c>
      <c r="E79" s="549" t="str">
        <f>IF(A79="SERVIÇO",VLOOKUP(B79,SERVIÇOS!$A$6:$D$7697,3,0),IF(A79="INSUMO",VLOOKUP(B79,INSUMOS!$A$6:$D$4845,3,0),IF(A79="COTAÇÃO",VLOOKUP(B79,'014-22-cotação'!$A$9:$I$138,4,0),IF(A79="AUX",VLOOKUP('014-22-CCU''s'!B79,'014-22-CCU''s AUX'!$B$1:$H$130,4,0)))))</f>
        <v>UN</v>
      </c>
      <c r="F79" s="549">
        <v>6.6199999999999995E-2</v>
      </c>
      <c r="G79" s="550">
        <f>IF(A79="SERVIÇO",VLOOKUP(B79,SERVIÇOS!$A$6:$D$7697,4,0),IF(A79="INSUMO",VLOOKUP(B79,INSUMOS!$A$6:$D$4845,4,0),IF(A79="COTAÇÃO",VLOOKUP(B79,'014-22-cotação'!$A$9:$I$138,3,0),IF(A79="AUX",VLOOKUP('014-22-CCU''s'!B79,'014-22-CCU''s AUX'!$B$1:$H$130,7,0)))))</f>
        <v>59.21</v>
      </c>
      <c r="H79" s="561">
        <f t="shared" si="8"/>
        <v>3.91</v>
      </c>
      <c r="I79" s="399" t="s">
        <v>12752</v>
      </c>
      <c r="J79" s="401">
        <v>92027</v>
      </c>
      <c r="S79" s="402"/>
      <c r="T79" s="400"/>
    </row>
    <row r="80" spans="1:20" s="399" customFormat="1" ht="63.75" x14ac:dyDescent="0.25">
      <c r="A80" s="398" t="s">
        <v>1120</v>
      </c>
      <c r="B80" s="207">
        <v>92543</v>
      </c>
      <c r="C80" s="548" t="str">
        <f>IF(A80="SERVIÇO",VLOOKUP(B80,SERVIÇOS!$A$6:$D$7697,2,0),IF(A80="INSUMO",VLOOKUP(B80,INSUMOS!$A$6:$D$4845,2,0),IF(A80="COTAÇÃO",VLOOKUP(B80,'014-22-cotação'!$A$9:$I$138,2,0),IF(A80="AUX",VLOOKUP('014-22-CCU''s'!B80,'014-22-CCU''s AUX'!$B$1:$H$130,2,0)))))</f>
        <v>TRAMA DE MADEIRA COMPOSTA POR TERÇAS PARA TELHADOS DE ATÉ 2 ÁGUAS PARA TELHA ONDULADA DE FIBROCIMENTO, METÁLICA, PLÁSTICA OU TERMOACÚSTICA, INCLUSO TRANSPORTE VERTICAL. AF_07/2019</v>
      </c>
      <c r="D80" s="549" t="str">
        <f>IF(A80="SERVIÇO",VLOOKUP(B80,SERVIÇOS!$A$6:$E$7697,5,0),IF(A80="INSUMO",VLOOKUP(B80,INSUMOS!$A$6:$E$4845,5,0),IF(A80="COTAÇÃO",VLOOKUP(B80,'014-22-cotação'!$A$9:$J$138,10,0),IF(A80="AUX",VLOOKUP('014-22-CCU''s'!B80,'014-22-CCU''s AUX'!$B$1:$H$130,3,0)))))</f>
        <v>SER.CG</v>
      </c>
      <c r="E80" s="549" t="str">
        <f>IF(A80="SERVIÇO",VLOOKUP(B80,SERVIÇOS!$A$6:$D$7697,3,0),IF(A80="INSUMO",VLOOKUP(B80,INSUMOS!$A$6:$D$4845,3,0),IF(A80="COTAÇÃO",VLOOKUP(B80,'014-22-cotação'!$A$9:$I$138,4,0),IF(A80="AUX",VLOOKUP('014-22-CCU''s'!B80,'014-22-CCU''s AUX'!$B$1:$H$130,4,0)))))</f>
        <v>M2</v>
      </c>
      <c r="F80" s="549">
        <v>1.7192000000000001</v>
      </c>
      <c r="G80" s="550">
        <f>IF(A80="SERVIÇO",VLOOKUP(B80,SERVIÇOS!$A$6:$D$7697,4,0),IF(A80="INSUMO",VLOOKUP(B80,INSUMOS!$A$6:$D$4845,4,0),IF(A80="COTAÇÃO",VLOOKUP(B80,'014-22-cotação'!$A$9:$I$138,3,0),IF(A80="AUX",VLOOKUP('014-22-CCU''s'!B80,'014-22-CCU''s AUX'!$B$1:$H$130,7,0)))))</f>
        <v>25.39</v>
      </c>
      <c r="H80" s="561">
        <f t="shared" si="8"/>
        <v>43.65</v>
      </c>
      <c r="I80" s="399" t="s">
        <v>12753</v>
      </c>
      <c r="J80" s="401">
        <v>92543</v>
      </c>
      <c r="S80" s="402"/>
      <c r="T80" s="400"/>
    </row>
    <row r="81" spans="1:20" s="399" customFormat="1" ht="38.25" x14ac:dyDescent="0.25">
      <c r="A81" s="398" t="s">
        <v>1120</v>
      </c>
      <c r="B81" s="207">
        <v>93358</v>
      </c>
      <c r="C81" s="548" t="str">
        <f>IF(A81="SERVIÇO",VLOOKUP(B81,SERVIÇOS!$A$6:$D$7697,2,0),IF(A81="INSUMO",VLOOKUP(B81,INSUMOS!$A$6:$D$4845,2,0),IF(A81="COTAÇÃO",VLOOKUP(B81,'014-22-cotação'!$A$9:$I$138,2,0),IF(A81="AUX",VLOOKUP('014-22-CCU''s'!B81,'014-22-CCU''s AUX'!$B$1:$H$130,2,0)))))</f>
        <v>ESCAVAÇÃO MANUAL DE VALA COM PROFUNDIDADE MENOR OU IGUAL A 1,30 M. AF_02/2021</v>
      </c>
      <c r="D81" s="549" t="str">
        <f>IF(A81="SERVIÇO",VLOOKUP(B81,SERVIÇOS!$A$6:$E$7697,5,0),IF(A81="INSUMO",VLOOKUP(B81,INSUMOS!$A$6:$E$4845,5,0),IF(A81="COTAÇÃO",VLOOKUP(B81,'014-22-cotação'!$A$9:$J$138,10,0),IF(A81="AUX",VLOOKUP('014-22-CCU''s'!B81,'014-22-CCU''s AUX'!$B$1:$H$130,3,0)))))</f>
        <v>SER.CG</v>
      </c>
      <c r="E81" s="549" t="str">
        <f>IF(A81="SERVIÇO",VLOOKUP(B81,SERVIÇOS!$A$6:$D$7697,3,0),IF(A81="INSUMO",VLOOKUP(B81,INSUMOS!$A$6:$D$4845,3,0),IF(A81="COTAÇÃO",VLOOKUP(B81,'014-22-cotação'!$A$9:$I$138,4,0),IF(A81="AUX",VLOOKUP('014-22-CCU''s'!B81,'014-22-CCU''s AUX'!$B$1:$H$130,4,0)))))</f>
        <v>M3</v>
      </c>
      <c r="F81" s="549">
        <v>4.0399999999999998E-2</v>
      </c>
      <c r="G81" s="550">
        <f>IF(A81="SERVIÇO",VLOOKUP(B81,SERVIÇOS!$A$6:$D$7697,4,0),IF(A81="INSUMO",VLOOKUP(B81,INSUMOS!$A$6:$D$4845,4,0),IF(A81="COTAÇÃO",VLOOKUP(B81,'014-22-cotação'!$A$9:$I$138,3,0),IF(A81="AUX",VLOOKUP('014-22-CCU''s'!B81,'014-22-CCU''s AUX'!$B$1:$H$130,7,0)))))</f>
        <v>92.57</v>
      </c>
      <c r="H81" s="561">
        <f t="shared" si="8"/>
        <v>3.73</v>
      </c>
      <c r="I81" s="399" t="s">
        <v>12754</v>
      </c>
      <c r="J81" s="401">
        <v>94210</v>
      </c>
      <c r="S81" s="402"/>
      <c r="T81" s="400"/>
    </row>
    <row r="82" spans="1:20" s="399" customFormat="1" ht="38.25" x14ac:dyDescent="0.25">
      <c r="A82" s="398" t="s">
        <v>1120</v>
      </c>
      <c r="B82" s="207">
        <v>93382</v>
      </c>
      <c r="C82" s="548" t="str">
        <f>IF(A82="SERVIÇO",VLOOKUP(B82,SERVIÇOS!$A$6:$D$7697,2,0),IF(A82="INSUMO",VLOOKUP(B82,INSUMOS!$A$6:$D$4845,2,0),IF(A82="COTAÇÃO",VLOOKUP(B82,'014-22-cotação'!$A$9:$I$138,2,0),IF(A82="AUX",VLOOKUP('014-22-CCU''s'!B82,'014-22-CCU''s AUX'!$B$1:$H$130,2,0)))))</f>
        <v>REATERRO MANUAL DE VALAS, COM COMPACTADOR DE SOLOS DE PERCUSSÃO. AF_08/2023</v>
      </c>
      <c r="D82" s="549" t="str">
        <f>IF(A82="SERVIÇO",VLOOKUP(B82,SERVIÇOS!$A$6:$E$7697,5,0),IF(A82="INSUMO",VLOOKUP(B82,INSUMOS!$A$6:$E$4845,5,0),IF(A82="COTAÇÃO",VLOOKUP(B82,'014-22-cotação'!$A$9:$J$138,10,0),IF(A82="AUX",VLOOKUP('014-22-CCU''s'!B82,'014-22-CCU''s AUX'!$B$1:$H$130,3,0)))))</f>
        <v>SER.CG</v>
      </c>
      <c r="E82" s="549" t="str">
        <f>IF(A82="SERVIÇO",VLOOKUP(B82,SERVIÇOS!$A$6:$D$7697,3,0),IF(A82="INSUMO",VLOOKUP(B82,INSUMOS!$A$6:$D$4845,3,0),IF(A82="COTAÇÃO",VLOOKUP(B82,'014-22-cotação'!$A$9:$I$138,4,0),IF(A82="AUX",VLOOKUP('014-22-CCU''s'!B82,'014-22-CCU''s AUX'!$B$1:$H$130,4,0)))))</f>
        <v>M3</v>
      </c>
      <c r="F82" s="549">
        <v>1.06E-2</v>
      </c>
      <c r="G82" s="550">
        <f>IF(A82="SERVIÇO",VLOOKUP(B82,SERVIÇOS!$A$6:$D$7697,4,0),IF(A82="INSUMO",VLOOKUP(B82,INSUMOS!$A$6:$D$4845,4,0),IF(A82="COTAÇÃO",VLOOKUP(B82,'014-22-cotação'!$A$9:$I$138,3,0),IF(A82="AUX",VLOOKUP('014-22-CCU''s'!B82,'014-22-CCU''s AUX'!$B$1:$H$130,7,0)))))</f>
        <v>26.75</v>
      </c>
      <c r="H82" s="561">
        <f t="shared" si="8"/>
        <v>0.28000000000000003</v>
      </c>
      <c r="I82" s="399" t="s">
        <v>12755</v>
      </c>
      <c r="J82" s="401">
        <v>95240</v>
      </c>
      <c r="S82" s="402"/>
      <c r="T82" s="400"/>
    </row>
    <row r="83" spans="1:20" s="399" customFormat="1" ht="76.5" x14ac:dyDescent="0.25">
      <c r="A83" s="398" t="s">
        <v>1120</v>
      </c>
      <c r="B83" s="207">
        <v>94210</v>
      </c>
      <c r="C83" s="548" t="str">
        <f>IF(A83="SERVIÇO",VLOOKUP(B83,SERVIÇOS!$A$6:$D$7697,2,0),IF(A83="INSUMO",VLOOKUP(B83,INSUMOS!$A$6:$D$4845,2,0),IF(A83="COTAÇÃO",VLOOKUP(B83,'014-22-cotação'!$A$9:$I$138,2,0),IF(A83="AUX",VLOOKUP('014-22-CCU''s'!B83,'014-22-CCU''s AUX'!$B$1:$H$130,2,0)))))</f>
        <v>TELHAMENTO COM TELHA ONDULADA DE FIBROCIMENTO E = 6 MM, COM RECOBRIMENTO LATERAL DE 1 1/4 DE ONDA PARA TELHADO COM INCLINAÇÃO MÁXIMA DE 10°, COM ATÉ 2 ÁGUAS, INCLUSO IÇAMENTO. AF_07/2019</v>
      </c>
      <c r="D83" s="549" t="str">
        <f>IF(A83="SERVIÇO",VLOOKUP(B83,SERVIÇOS!$A$6:$E$7697,5,0),IF(A83="INSUMO",VLOOKUP(B83,INSUMOS!$A$6:$E$4845,5,0),IF(A83="COTAÇÃO",VLOOKUP(B83,'014-22-cotação'!$A$9:$J$138,10,0),IF(A83="AUX",VLOOKUP('014-22-CCU''s'!B83,'014-22-CCU''s AUX'!$B$1:$H$130,3,0)))))</f>
        <v>SER.CG</v>
      </c>
      <c r="E83" s="549" t="str">
        <f>IF(A83="SERVIÇO",VLOOKUP(B83,SERVIÇOS!$A$6:$D$7697,3,0),IF(A83="INSUMO",VLOOKUP(B83,INSUMOS!$A$6:$D$4845,3,0),IF(A83="COTAÇÃO",VLOOKUP(B83,'014-22-cotação'!$A$9:$I$138,4,0),IF(A83="AUX",VLOOKUP('014-22-CCU''s'!B83,'014-22-CCU''s AUX'!$B$1:$H$130,4,0)))))</f>
        <v>M2</v>
      </c>
      <c r="F83" s="549">
        <v>1.7192000000000001</v>
      </c>
      <c r="G83" s="550">
        <f>IF(A83="SERVIÇO",VLOOKUP(B83,SERVIÇOS!$A$6:$D$7697,4,0),IF(A83="INSUMO",VLOOKUP(B83,INSUMOS!$A$6:$D$4845,4,0),IF(A83="COTAÇÃO",VLOOKUP(B83,'014-22-cotação'!$A$9:$I$138,3,0),IF(A83="AUX",VLOOKUP('014-22-CCU''s'!B83,'014-22-CCU''s AUX'!$B$1:$H$130,7,0)))))</f>
        <v>50.12</v>
      </c>
      <c r="H83" s="561">
        <f t="shared" si="8"/>
        <v>86.16</v>
      </c>
      <c r="I83" s="399" t="s">
        <v>12756</v>
      </c>
      <c r="J83" s="401">
        <v>95811</v>
      </c>
      <c r="S83" s="402"/>
      <c r="T83" s="400"/>
    </row>
    <row r="84" spans="1:20" s="476" customFormat="1" ht="76.5" x14ac:dyDescent="0.25">
      <c r="A84" s="475" t="s">
        <v>1120</v>
      </c>
      <c r="B84" s="207">
        <v>94559</v>
      </c>
      <c r="C84" s="548" t="str">
        <f>IF(A84="SERVIÇO",VLOOKUP(B84,SERVIÇOS!$A$6:$D$7697,2,0),IF(A84="INSUMO",VLOOKUP(B84,INSUMOS!$A$6:$D$4845,2,0),IF(A84="COTAÇÃO",VLOOKUP(B84,'014-22-cotação'!$A$9:$I$138,2,0),IF(A84="AUX",VLOOKUP('014-22-CCU''s'!B84,'014-22-CCU''s AUX'!$B$1:$H$130,2,0)))))</f>
        <v>JANELA DE AÇO TIPO BASCULANTE PARA VIDROS, COM BATENTE, FERRAGENS E PINTURA ANTICORROSIVA. EXCLUSIVE VIDROS, ACABAMENTO, ALIZAR E CONTRAMARCO. FORNECIMENTO E INSTALAÇÃO. AF_12/2019</v>
      </c>
      <c r="D84" s="549" t="str">
        <f>IF(A84="SERVIÇO",VLOOKUP(B84,SERVIÇOS!$A$6:$E$7697,5,0),IF(A84="INSUMO",VLOOKUP(B84,INSUMOS!$A$6:$E$4845,5,0),IF(A84="COTAÇÃO",VLOOKUP(B84,'014-22-cotação'!$A$9:$J$138,10,0),IF(A84="AUX",VLOOKUP('014-22-CCU''s'!B84,'014-22-CCU''s AUX'!$B$1:$H$130,3,0)))))</f>
        <v>SER.CG</v>
      </c>
      <c r="E84" s="549" t="str">
        <f>IF(A84="SERVIÇO",VLOOKUP(B84,SERVIÇOS!$A$6:$D$7697,3,0),IF(A84="INSUMO",VLOOKUP(B84,INSUMOS!$A$6:$D$4845,3,0),IF(A84="COTAÇÃO",VLOOKUP(B84,'014-22-cotação'!$A$9:$I$138,4,0),IF(A84="AUX",VLOOKUP('014-22-CCU''s'!B84,'014-22-CCU''s AUX'!$B$1:$H$130,4,0)))))</f>
        <v>M2</v>
      </c>
      <c r="F84" s="549">
        <v>6.6199999999999995E-2</v>
      </c>
      <c r="G84" s="550">
        <f>IF(A84="SERVIÇO",VLOOKUP(B84,SERVIÇOS!$A$6:$D$7697,4,0),IF(A84="INSUMO",VLOOKUP(B84,INSUMOS!$A$6:$D$4845,4,0),IF(A84="COTAÇÃO",VLOOKUP(B84,'014-22-cotação'!$A$9:$I$138,3,0),IF(A84="AUX",VLOOKUP('014-22-CCU''s'!B84,'014-22-CCU''s AUX'!$B$1:$H$130,7,0)))))</f>
        <v>725.04</v>
      </c>
      <c r="H84" s="561">
        <f t="shared" si="8"/>
        <v>47.99</v>
      </c>
      <c r="I84" s="476" t="s">
        <v>12757</v>
      </c>
      <c r="J84" s="477">
        <v>103782</v>
      </c>
      <c r="S84" s="478"/>
      <c r="T84" s="479"/>
    </row>
    <row r="85" spans="1:20" s="399" customFormat="1" ht="38.25" x14ac:dyDescent="0.25">
      <c r="A85" s="398" t="s">
        <v>1120</v>
      </c>
      <c r="B85" s="207">
        <v>95240</v>
      </c>
      <c r="C85" s="548" t="str">
        <f>IF(A85="SERVIÇO",VLOOKUP(B85,SERVIÇOS!$A$6:$D$7697,2,0),IF(A85="INSUMO",VLOOKUP(B85,INSUMOS!$A$6:$D$4845,2,0),IF(A85="COTAÇÃO",VLOOKUP(B85,'014-22-cotação'!$A$9:$I$138,2,0),IF(A85="AUX",VLOOKUP('014-22-CCU''s'!B85,'014-22-CCU''s AUX'!$B$1:$H$130,2,0)))))</f>
        <v>LASTRO DE CONCRETO MAGRO, APLICADO EM PISOS, LAJES SOBRE SOLO OU RADIERS, ESPESSURA DE 3 CM. AF_01/2024</v>
      </c>
      <c r="D85" s="549" t="str">
        <f>IF(A85="SERVIÇO",VLOOKUP(B85,SERVIÇOS!$A$6:$E$7697,5,0),IF(A85="INSUMO",VLOOKUP(B85,INSUMOS!$A$6:$E$4845,5,0),IF(A85="COTAÇÃO",VLOOKUP(B85,'014-22-cotação'!$A$9:$J$138,10,0),IF(A85="AUX",VLOOKUP('014-22-CCU''s'!B85,'014-22-CCU''s AUX'!$B$1:$H$130,3,0)))))</f>
        <v>SER.CG</v>
      </c>
      <c r="E85" s="549" t="str">
        <f>IF(A85="SERVIÇO",VLOOKUP(B85,SERVIÇOS!$A$6:$D$7697,3,0),IF(A85="INSUMO",VLOOKUP(B85,INSUMOS!$A$6:$D$4845,3,0),IF(A85="COTAÇÃO",VLOOKUP(B85,'014-22-cotação'!$A$9:$I$138,4,0),IF(A85="AUX",VLOOKUP('014-22-CCU''s'!B85,'014-22-CCU''s AUX'!$B$1:$H$130,4,0)))))</f>
        <v>M2</v>
      </c>
      <c r="F85" s="549">
        <v>9.2999999999999992E-3</v>
      </c>
      <c r="G85" s="550">
        <f>IF(A85="SERVIÇO",VLOOKUP(B85,SERVIÇOS!$A$6:$D$7697,4,0),IF(A85="INSUMO",VLOOKUP(B85,INSUMOS!$A$6:$D$4845,4,0),IF(A85="COTAÇÃO",VLOOKUP(B85,'014-22-cotação'!$A$9:$I$138,3,0),IF(A85="AUX",VLOOKUP('014-22-CCU''s'!B85,'014-22-CCU''s AUX'!$B$1:$H$130,7,0)))))</f>
        <v>22.85</v>
      </c>
      <c r="H85" s="561">
        <f t="shared" si="8"/>
        <v>0.21</v>
      </c>
      <c r="I85" s="399" t="s">
        <v>12758</v>
      </c>
      <c r="J85" s="401">
        <v>98308</v>
      </c>
      <c r="S85" s="402"/>
      <c r="T85" s="400"/>
    </row>
    <row r="86" spans="1:20" s="399" customFormat="1" ht="38.25" x14ac:dyDescent="0.25">
      <c r="A86" s="398" t="s">
        <v>1120</v>
      </c>
      <c r="B86" s="207">
        <v>95241</v>
      </c>
      <c r="C86" s="548" t="str">
        <f>IF(A86="SERVIÇO",VLOOKUP(B86,SERVIÇOS!$A$6:$D$7697,2,0),IF(A86="INSUMO",VLOOKUP(B86,INSUMOS!$A$6:$D$4845,2,0),IF(A86="COTAÇÃO",VLOOKUP(B86,'014-22-cotação'!$A$9:$I$138,2,0),IF(A86="AUX",VLOOKUP('014-22-CCU''s'!B86,'014-22-CCU''s AUX'!$B$1:$H$130,2,0)))))</f>
        <v>LASTRO DE CONCRETO MAGRO, APLICADO EM PISOS, LAJES SOBRE SOLO OU RADIERS, ESPESSURA DE 5 CM. AF_01/2024</v>
      </c>
      <c r="D86" s="549" t="str">
        <f>IF(A86="SERVIÇO",VLOOKUP(B86,SERVIÇOS!$A$6:$E$7697,5,0),IF(A86="INSUMO",VLOOKUP(B86,INSUMOS!$A$6:$E$4845,5,0),IF(A86="COTAÇÃO",VLOOKUP(B86,'014-22-cotação'!$A$9:$J$138,10,0),IF(A86="AUX",VLOOKUP('014-22-CCU''s'!B86,'014-22-CCU''s AUX'!$B$1:$H$130,3,0)))))</f>
        <v>SER.CG</v>
      </c>
      <c r="E86" s="549" t="str">
        <f>IF(A86="SERVIÇO",VLOOKUP(B86,SERVIÇOS!$A$6:$D$7697,3,0),IF(A86="INSUMO",VLOOKUP(B86,INSUMOS!$A$6:$D$4845,3,0),IF(A86="COTAÇÃO",VLOOKUP(B86,'014-22-cotação'!$A$9:$I$138,4,0),IF(A86="AUX",VLOOKUP('014-22-CCU''s'!B86,'014-22-CCU''s AUX'!$B$1:$H$130,4,0)))))</f>
        <v>M2</v>
      </c>
      <c r="F86" s="549">
        <v>1.5109999999999999</v>
      </c>
      <c r="G86" s="550">
        <f>IF(A86="SERVIÇO",VLOOKUP(B86,SERVIÇOS!$A$6:$D$7697,4,0),IF(A86="INSUMO",VLOOKUP(B86,INSUMOS!$A$6:$D$4845,4,0),IF(A86="COTAÇÃO",VLOOKUP(B86,'014-22-cotação'!$A$9:$I$138,3,0),IF(A86="AUX",VLOOKUP('014-22-CCU''s'!B86,'014-22-CCU''s AUX'!$B$1:$H$130,7,0)))))</f>
        <v>44.16</v>
      </c>
      <c r="H86" s="561">
        <f t="shared" si="8"/>
        <v>66.72</v>
      </c>
      <c r="I86" s="399" t="s">
        <v>12759</v>
      </c>
      <c r="J86" s="401">
        <v>98441</v>
      </c>
      <c r="S86" s="402"/>
      <c r="T86" s="400"/>
    </row>
    <row r="87" spans="1:20" s="476" customFormat="1" ht="51" x14ac:dyDescent="0.25">
      <c r="A87" s="475" t="s">
        <v>1120</v>
      </c>
      <c r="B87" s="207">
        <v>95805</v>
      </c>
      <c r="C87" s="548" t="str">
        <f>IF(A87="SERVIÇO",VLOOKUP(B87,SERVIÇOS!$A$6:$D$7697,2,0),IF(A87="INSUMO",VLOOKUP(B87,INSUMOS!$A$6:$D$4845,2,0),IF(A87="COTAÇÃO",VLOOKUP(B87,'014-22-cotação'!$A$9:$I$138,2,0),IF(A87="AUX",VLOOKUP('014-22-CCU''s'!B87,'014-22-CCU''s AUX'!$B$1:$H$130,2,0)))))</f>
        <v>CONDULETE DE PVC, TIPO B, PARA ELETRODUTO DE PVC SOLDÁVEL DN 25 MM (3/4''), APARENTE - FORNECIMENTO E INSTALAÇÃO. AF_10/2022</v>
      </c>
      <c r="D87" s="549" t="str">
        <f>IF(A87="SERVIÇO",VLOOKUP(B87,SERVIÇOS!$A$6:$E$7697,5,0),IF(A87="INSUMO",VLOOKUP(B87,INSUMOS!$A$6:$E$4845,5,0),IF(A87="COTAÇÃO",VLOOKUP(B87,'014-22-cotação'!$A$9:$J$138,10,0),IF(A87="AUX",VLOOKUP('014-22-CCU''s'!B87,'014-22-CCU''s AUX'!$B$1:$H$130,3,0)))))</f>
        <v>SER.CG</v>
      </c>
      <c r="E87" s="549" t="str">
        <f>IF(A87="SERVIÇO",VLOOKUP(B87,SERVIÇOS!$A$6:$D$7697,3,0),IF(A87="INSUMO",VLOOKUP(B87,INSUMOS!$A$6:$D$4845,3,0),IF(A87="COTAÇÃO",VLOOKUP(B87,'014-22-cotação'!$A$9:$I$138,4,0),IF(A87="AUX",VLOOKUP('014-22-CCU''s'!B87,'014-22-CCU''s AUX'!$B$1:$H$130,4,0)))))</f>
        <v>UN</v>
      </c>
      <c r="F87" s="549">
        <v>0.13250000000000001</v>
      </c>
      <c r="G87" s="550">
        <f>IF(A87="SERVIÇO",VLOOKUP(B87,SERVIÇOS!$A$6:$D$7697,4,0),IF(A87="INSUMO",VLOOKUP(B87,INSUMOS!$A$6:$D$4845,4,0),IF(A87="COTAÇÃO",VLOOKUP(B87,'014-22-cotação'!$A$9:$I$138,3,0),IF(A87="AUX",VLOOKUP('014-22-CCU''s'!B87,'014-22-CCU''s AUX'!$B$1:$H$130,7,0)))))</f>
        <v>25.24</v>
      </c>
      <c r="H87" s="561">
        <f t="shared" si="8"/>
        <v>3.34</v>
      </c>
      <c r="I87" s="476" t="s">
        <v>12760</v>
      </c>
      <c r="J87" s="477">
        <v>98441</v>
      </c>
      <c r="S87" s="478"/>
      <c r="T87" s="479"/>
    </row>
    <row r="88" spans="1:20" s="399" customFormat="1" ht="51" x14ac:dyDescent="0.25">
      <c r="A88" s="398" t="s">
        <v>1120</v>
      </c>
      <c r="B88" s="207">
        <v>97584</v>
      </c>
      <c r="C88" s="548" t="str">
        <f>IF(A88="SERVIÇO",VLOOKUP(B88,SERVIÇOS!$A$6:$D$7697,2,0),IF(A88="INSUMO",VLOOKUP(B88,INSUMOS!$A$6:$D$4845,2,0),IF(A88="COTAÇÃO",VLOOKUP(B88,'014-22-cotação'!$A$9:$I$138,2,0),IF(A88="AUX",VLOOKUP('014-22-CCU''s'!B88,'014-22-CCU''s AUX'!$B$1:$H$130,2,0)))))</f>
        <v>LUMINÁRIA TIPO CALHA, DE SOBREPOR, COM 1 LÂMPADA TUBULAR FLUORESCENTE DE 36 W, COM REATOR DE PARTIDA RÁPIDA - FORNECIMENTO E INSTALAÇÃO. AF_02/2020</v>
      </c>
      <c r="D88" s="549" t="str">
        <f>IF(A88="SERVIÇO",VLOOKUP(B88,SERVIÇOS!$A$6:$E$7697,5,0),IF(A88="INSUMO",VLOOKUP(B88,INSUMOS!$A$6:$E$4845,5,0),IF(A88="COTAÇÃO",VLOOKUP(B88,'014-22-cotação'!$A$9:$J$138,10,0),IF(A88="AUX",VLOOKUP('014-22-CCU''s'!B88,'014-22-CCU''s AUX'!$B$1:$H$130,3,0)))))</f>
        <v>SER.CG</v>
      </c>
      <c r="E88" s="549" t="str">
        <f>IF(A88="SERVIÇO",VLOOKUP(B88,SERVIÇOS!$A$6:$D$7697,3,0),IF(A88="INSUMO",VLOOKUP(B88,INSUMOS!$A$6:$D$4845,3,0),IF(A88="COTAÇÃO",VLOOKUP(B88,'014-22-cotação'!$A$9:$I$138,4,0),IF(A88="AUX",VLOOKUP('014-22-CCU''s'!B88,'014-22-CCU''s AUX'!$B$1:$H$130,4,0)))))</f>
        <v>UN</v>
      </c>
      <c r="F88" s="549">
        <v>6.6199999999999995E-2</v>
      </c>
      <c r="G88" s="550">
        <f>IF(A88="SERVIÇO",VLOOKUP(B88,SERVIÇOS!$A$6:$D$7697,4,0),IF(A88="INSUMO",VLOOKUP(B88,INSUMOS!$A$6:$D$4845,4,0),IF(A88="COTAÇÃO",VLOOKUP(B88,'014-22-cotação'!$A$9:$I$138,3,0),IF(A88="AUX",VLOOKUP('014-22-CCU''s'!B88,'014-22-CCU''s AUX'!$B$1:$H$130,7,0)))))</f>
        <v>77.14</v>
      </c>
      <c r="H88" s="561">
        <f t="shared" si="8"/>
        <v>5.0999999999999996</v>
      </c>
      <c r="I88" s="399" t="s">
        <v>12761</v>
      </c>
      <c r="J88" s="401">
        <v>98445</v>
      </c>
      <c r="S88" s="402"/>
      <c r="T88" s="400"/>
    </row>
    <row r="89" spans="1:20" s="399" customFormat="1" ht="38.25" x14ac:dyDescent="0.25">
      <c r="A89" s="398" t="s">
        <v>1120</v>
      </c>
      <c r="B89" s="207">
        <v>98441</v>
      </c>
      <c r="C89" s="548" t="str">
        <f>IF(A89="SERVIÇO",VLOOKUP(B89,SERVIÇOS!$A$6:$D$7697,2,0),IF(A89="INSUMO",VLOOKUP(B89,INSUMOS!$A$6:$D$4845,2,0),IF(A89="COTAÇÃO",VLOOKUP(B89,'014-22-cotação'!$A$9:$I$138,2,0),IF(A89="AUX",VLOOKUP('014-22-CCU''s'!B89,'014-22-CCU''s AUX'!$B$1:$H$130,2,0)))))</f>
        <v>PAREDE DE MADEIRA COMPENSADA PARA CONSTRUÇÃO TEMPORÁRIA EM CHAPA SIMPLES, EXTERNA, SEM VÃO. AF_03/2024</v>
      </c>
      <c r="D89" s="549" t="str">
        <f>IF(A89="SERVIÇO",VLOOKUP(B89,SERVIÇOS!$A$6:$E$7697,5,0),IF(A89="INSUMO",VLOOKUP(B89,INSUMOS!$A$6:$E$4845,5,0),IF(A89="COTAÇÃO",VLOOKUP(B89,'014-22-cotação'!$A$9:$J$138,10,0),IF(A89="AUX",VLOOKUP('014-22-CCU''s'!B89,'014-22-CCU''s AUX'!$B$1:$H$130,3,0)))))</f>
        <v>SER.CG</v>
      </c>
      <c r="E89" s="549" t="str">
        <f>IF(A89="SERVIÇO",VLOOKUP(B89,SERVIÇOS!$A$6:$D$7697,3,0),IF(A89="INSUMO",VLOOKUP(B89,INSUMOS!$A$6:$D$4845,3,0),IF(A89="COTAÇÃO",VLOOKUP(B89,'014-22-cotação'!$A$9:$I$138,4,0),IF(A89="AUX",VLOOKUP('014-22-CCU''s'!B89,'014-22-CCU''s AUX'!$B$1:$H$130,4,0)))))</f>
        <v>M2</v>
      </c>
      <c r="F89" s="549">
        <v>0.51359999999999995</v>
      </c>
      <c r="G89" s="550">
        <f>IF(A89="SERVIÇO",VLOOKUP(B89,SERVIÇOS!$A$6:$D$7697,4,0),IF(A89="INSUMO",VLOOKUP(B89,INSUMOS!$A$6:$D$4845,4,0),IF(A89="COTAÇÃO",VLOOKUP(B89,'014-22-cotação'!$A$9:$I$138,3,0),IF(A89="AUX",VLOOKUP('014-22-CCU''s'!B89,'014-22-CCU''s AUX'!$B$1:$H$130,7,0)))))</f>
        <v>90.59</v>
      </c>
      <c r="H89" s="561">
        <f t="shared" si="8"/>
        <v>46.52</v>
      </c>
      <c r="I89" s="399" t="s">
        <v>12762</v>
      </c>
      <c r="J89" s="401">
        <v>98446</v>
      </c>
      <c r="S89" s="402"/>
      <c r="T89" s="400"/>
    </row>
    <row r="90" spans="1:20" s="399" customFormat="1" ht="38.25" x14ac:dyDescent="0.25">
      <c r="A90" s="398" t="s">
        <v>1120</v>
      </c>
      <c r="B90" s="207">
        <v>98443</v>
      </c>
      <c r="C90" s="548" t="str">
        <f>IF(A90="SERVIÇO",VLOOKUP(B90,SERVIÇOS!$A$6:$D$7697,2,0),IF(A90="INSUMO",VLOOKUP(B90,INSUMOS!$A$6:$D$4845,2,0),IF(A90="COTAÇÃO",VLOOKUP(B90,'014-22-cotação'!$A$9:$I$138,2,0),IF(A90="AUX",VLOOKUP('014-22-CCU''s'!B90,'014-22-CCU''s AUX'!$B$1:$H$130,2,0)))))</f>
        <v>PAREDE DE MADEIRA COMPENSADA PARA CONSTRUÇÃO TEMPORÁRIA EM CHAPA SIMPLES, INTERNA, SEM VÃO. AF_03/2024</v>
      </c>
      <c r="D90" s="549" t="str">
        <f>IF(A90="SERVIÇO",VLOOKUP(B90,SERVIÇOS!$A$6:$E$7697,5,0),IF(A90="INSUMO",VLOOKUP(B90,INSUMOS!$A$6:$E$4845,5,0),IF(A90="COTAÇÃO",VLOOKUP(B90,'014-22-cotação'!$A$9:$J$138,10,0),IF(A90="AUX",VLOOKUP('014-22-CCU''s'!B90,'014-22-CCU''s AUX'!$B$1:$H$130,3,0)))))</f>
        <v>SER.CG</v>
      </c>
      <c r="E90" s="549" t="str">
        <f>IF(A90="SERVIÇO",VLOOKUP(B90,SERVIÇOS!$A$6:$D$7697,3,0),IF(A90="INSUMO",VLOOKUP(B90,INSUMOS!$A$6:$D$4845,3,0),IF(A90="COTAÇÃO",VLOOKUP(B90,'014-22-cotação'!$A$9:$I$138,4,0),IF(A90="AUX",VLOOKUP('014-22-CCU''s'!B90,'014-22-CCU''s AUX'!$B$1:$H$130,4,0)))))</f>
        <v>M2</v>
      </c>
      <c r="F90" s="549">
        <v>0.59109999999999996</v>
      </c>
      <c r="G90" s="550">
        <f>IF(A90="SERVIÇO",VLOOKUP(B90,SERVIÇOS!$A$6:$D$7697,4,0),IF(A90="INSUMO",VLOOKUP(B90,INSUMOS!$A$6:$D$4845,4,0),IF(A90="COTAÇÃO",VLOOKUP(B90,'014-22-cotação'!$A$9:$I$138,3,0),IF(A90="AUX",VLOOKUP('014-22-CCU''s'!B90,'014-22-CCU''s AUX'!$B$1:$H$130,7,0)))))</f>
        <v>68.760000000000005</v>
      </c>
      <c r="H90" s="561">
        <f t="shared" si="8"/>
        <v>40.64</v>
      </c>
      <c r="I90" s="399" t="s">
        <v>12763</v>
      </c>
      <c r="J90" s="401">
        <v>100665</v>
      </c>
      <c r="S90" s="402"/>
      <c r="T90" s="400"/>
    </row>
    <row r="91" spans="1:20" s="476" customFormat="1" ht="63.75" x14ac:dyDescent="0.25">
      <c r="A91" s="475" t="s">
        <v>1120</v>
      </c>
      <c r="B91" s="207">
        <v>98445</v>
      </c>
      <c r="C91" s="548" t="str">
        <f>IF(A91="SERVIÇO",VLOOKUP(B91,SERVIÇOS!$A$6:$D$7697,2,0),IF(A91="INSUMO",VLOOKUP(B91,INSUMOS!$A$6:$D$4845,2,0),IF(A91="COTAÇÃO",VLOOKUP(B91,'014-22-cotação'!$A$9:$I$138,2,0),IF(A91="AUX",VLOOKUP('014-22-CCU''s'!B91,'014-22-CCU''s AUX'!$B$1:$H$130,2,0)))))</f>
        <v>PAREDE DE MADEIRA COMPENSADA PARA CONSTRUÇÃO TEMPORÁRIA EM CHAPA SIMPLES, EXTERNA, COM ÁREA LÍQUIDA MAIOR OU IGUAL A 6 M², COM VÃO. AF_03/2024</v>
      </c>
      <c r="D91" s="549" t="str">
        <f>IF(A91="SERVIÇO",VLOOKUP(B91,SERVIÇOS!$A$6:$E$7697,5,0),IF(A91="INSUMO",VLOOKUP(B91,INSUMOS!$A$6:$E$4845,5,0),IF(A91="COTAÇÃO",VLOOKUP(B91,'014-22-cotação'!$A$9:$J$138,10,0),IF(A91="AUX",VLOOKUP('014-22-CCU''s'!B91,'014-22-CCU''s AUX'!$B$1:$H$130,3,0)))))</f>
        <v>SER.CG</v>
      </c>
      <c r="E91" s="549" t="str">
        <f>IF(A91="SERVIÇO",VLOOKUP(B91,SERVIÇOS!$A$6:$D$7697,3,0),IF(A91="INSUMO",VLOOKUP(B91,INSUMOS!$A$6:$D$4845,3,0),IF(A91="COTAÇÃO",VLOOKUP(B91,'014-22-cotação'!$A$9:$I$138,4,0),IF(A91="AUX",VLOOKUP('014-22-CCU''s'!B91,'014-22-CCU''s AUX'!$B$1:$H$130,4,0)))))</f>
        <v>M2</v>
      </c>
      <c r="F91" s="549">
        <v>0.80230000000000001</v>
      </c>
      <c r="G91" s="550">
        <f>IF(A91="SERVIÇO",VLOOKUP(B91,SERVIÇOS!$A$6:$D$7697,4,0),IF(A91="INSUMO",VLOOKUP(B91,INSUMOS!$A$6:$D$4845,4,0),IF(A91="COTAÇÃO",VLOOKUP(B91,'014-22-cotação'!$A$9:$I$138,3,0),IF(A91="AUX",VLOOKUP('014-22-CCU''s'!B91,'014-22-CCU''s AUX'!$B$1:$H$130,7,0)))))</f>
        <v>107.07</v>
      </c>
      <c r="H91" s="561">
        <f t="shared" si="8"/>
        <v>85.9</v>
      </c>
      <c r="I91" s="476" t="s">
        <v>12764</v>
      </c>
      <c r="J91" s="477">
        <v>97610</v>
      </c>
      <c r="S91" s="478"/>
      <c r="T91" s="479"/>
    </row>
    <row r="92" spans="1:20" s="399" customFormat="1" ht="51" x14ac:dyDescent="0.25">
      <c r="A92" s="398" t="s">
        <v>1120</v>
      </c>
      <c r="B92" s="207">
        <v>98446</v>
      </c>
      <c r="C92" s="548" t="str">
        <f>IF(A92="SERVIÇO",VLOOKUP(B92,SERVIÇOS!$A$6:$D$7697,2,0),IF(A92="INSUMO",VLOOKUP(B92,INSUMOS!$A$6:$D$4845,2,0),IF(A92="COTAÇÃO",VLOOKUP(B92,'014-22-cotação'!$A$9:$I$138,2,0),IF(A92="AUX",VLOOKUP('014-22-CCU''s'!B92,'014-22-CCU''s AUX'!$B$1:$H$130,2,0)))))</f>
        <v>PAREDE DE MADEIRA COMPENSADA PARA CONSTRUÇÃO TEMPORÁRIA EM CHAPA SIMPLES, EXTERNA, COM ÁREA LÍQUIDA MENOR QUE 6 M², COM VÃO. AF_03/2024</v>
      </c>
      <c r="D92" s="549" t="str">
        <f>IF(A92="SERVIÇO",VLOOKUP(B92,SERVIÇOS!$A$6:$E$7697,5,0),IF(A92="INSUMO",VLOOKUP(B92,INSUMOS!$A$6:$E$4845,5,0),IF(A92="COTAÇÃO",VLOOKUP(B92,'014-22-cotação'!$A$9:$J$138,10,0),IF(A92="AUX",VLOOKUP('014-22-CCU''s'!B92,'014-22-CCU''s AUX'!$B$1:$H$130,3,0)))))</f>
        <v>SER.CG</v>
      </c>
      <c r="E92" s="549" t="str">
        <f>IF(A92="SERVIÇO",VLOOKUP(B92,SERVIÇOS!$A$6:$D$7697,3,0),IF(A92="INSUMO",VLOOKUP(B92,INSUMOS!$A$6:$D$4845,3,0),IF(A92="COTAÇÃO",VLOOKUP(B92,'014-22-cotação'!$A$9:$I$138,4,0),IF(A92="AUX",VLOOKUP('014-22-CCU''s'!B92,'014-22-CCU''s AUX'!$B$1:$H$130,4,0)))))</f>
        <v>M2</v>
      </c>
      <c r="F92" s="549">
        <v>0.62549999999999994</v>
      </c>
      <c r="G92" s="550">
        <f>IF(A92="SERVIÇO",VLOOKUP(B92,SERVIÇOS!$A$6:$D$7697,4,0),IF(A92="INSUMO",VLOOKUP(B92,INSUMOS!$A$6:$D$4845,4,0),IF(A92="COTAÇÃO",VLOOKUP(B92,'014-22-cotação'!$A$9:$I$138,3,0),IF(A92="AUX",VLOOKUP('014-22-CCU''s'!B92,'014-22-CCU''s AUX'!$B$1:$H$130,7,0)))))</f>
        <v>138</v>
      </c>
      <c r="H92" s="561">
        <f t="shared" si="8"/>
        <v>86.31</v>
      </c>
      <c r="I92" s="399" t="s">
        <v>12765</v>
      </c>
      <c r="J92" s="401">
        <v>98446</v>
      </c>
      <c r="S92" s="402"/>
      <c r="T92" s="400"/>
    </row>
    <row r="93" spans="1:20" s="399" customFormat="1" ht="51" x14ac:dyDescent="0.25">
      <c r="A93" s="398" t="s">
        <v>1120</v>
      </c>
      <c r="B93" s="207">
        <v>101165</v>
      </c>
      <c r="C93" s="548" t="str">
        <f>IF(A93="SERVIÇO",VLOOKUP(B93,SERVIÇOS!$A$6:$D$7697,2,0),IF(A93="INSUMO",VLOOKUP(B93,INSUMOS!$A$6:$D$4845,2,0),IF(A93="COTAÇÃO",VLOOKUP(B93,'014-22-cotação'!$A$9:$I$138,2,0),IF(A93="AUX",VLOOKUP('014-22-CCU''s'!B93,'014-22-CCU''s AUX'!$B$1:$H$130,2,0)))))</f>
        <v>ALVENARIA DE EMBASAMENTO COM BLOCO ESTRUTURAL DE CONCRETO, DE 14X19X29CM E ARGAMASSA DE ASSENTAMENTO COM PREPARO EM BETONEIRA. AF_05/2020</v>
      </c>
      <c r="D93" s="549" t="str">
        <f>IF(A93="SERVIÇO",VLOOKUP(B93,SERVIÇOS!$A$6:$E$7697,5,0),IF(A93="INSUMO",VLOOKUP(B93,INSUMOS!$A$6:$E$4845,5,0),IF(A93="COTAÇÃO",VLOOKUP(B93,'014-22-cotação'!$A$9:$J$138,10,0),IF(A93="AUX",VLOOKUP('014-22-CCU''s'!B93,'014-22-CCU''s AUX'!$B$1:$H$130,3,0)))))</f>
        <v>SER.CG</v>
      </c>
      <c r="E93" s="549" t="str">
        <f>IF(A93="SERVIÇO",VLOOKUP(B93,SERVIÇOS!$A$6:$D$7697,3,0),IF(A93="INSUMO",VLOOKUP(B93,INSUMOS!$A$6:$D$4845,3,0),IF(A93="COTAÇÃO",VLOOKUP(B93,'014-22-cotação'!$A$9:$I$138,4,0),IF(A93="AUX",VLOOKUP('014-22-CCU''s'!B93,'014-22-CCU''s AUX'!$B$1:$H$130,4,0)))))</f>
        <v>M3</v>
      </c>
      <c r="F93" s="549">
        <v>4.1700000000000001E-2</v>
      </c>
      <c r="G93" s="550">
        <f>IF(A93="SERVIÇO",VLOOKUP(B93,SERVIÇOS!$A$6:$D$7697,4,0),IF(A93="INSUMO",VLOOKUP(B93,INSUMOS!$A$6:$D$4845,4,0),IF(A93="COTAÇÃO",VLOOKUP(B93,'014-22-cotação'!$A$9:$I$138,3,0),IF(A93="AUX",VLOOKUP('014-22-CCU''s'!B93,'014-22-CCU''s AUX'!$B$1:$H$130,7,0)))))</f>
        <v>1070.6500000000001</v>
      </c>
      <c r="H93" s="561">
        <f t="shared" si="8"/>
        <v>44.64</v>
      </c>
      <c r="I93" s="399" t="s">
        <v>12766</v>
      </c>
      <c r="J93" s="401">
        <v>101165</v>
      </c>
      <c r="S93" s="402"/>
      <c r="T93" s="400"/>
    </row>
    <row r="94" spans="1:20" s="62" customFormat="1" ht="12.75" x14ac:dyDescent="0.2">
      <c r="A94" s="199"/>
      <c r="B94" s="207" t="s">
        <v>109</v>
      </c>
      <c r="C94" s="640" t="s">
        <v>12713</v>
      </c>
      <c r="D94" s="641"/>
      <c r="E94" s="641"/>
      <c r="F94" s="641"/>
      <c r="G94" s="641"/>
      <c r="H94" s="642"/>
      <c r="J94" s="128"/>
    </row>
    <row r="95" spans="1:20" s="399" customFormat="1" ht="12.75" x14ac:dyDescent="0.25">
      <c r="A95" s="398"/>
      <c r="B95" s="469"/>
      <c r="C95" s="470"/>
      <c r="D95" s="471"/>
      <c r="E95" s="471"/>
      <c r="F95" s="472"/>
      <c r="G95" s="473"/>
      <c r="H95" s="474"/>
      <c r="J95" s="401"/>
      <c r="S95" s="402"/>
      <c r="T95" s="400"/>
    </row>
    <row r="96" spans="1:20" s="463" customFormat="1" ht="51" x14ac:dyDescent="0.25">
      <c r="A96" s="462"/>
      <c r="B96" s="263" t="s">
        <v>12714</v>
      </c>
      <c r="C96" s="177" t="s">
        <v>12715</v>
      </c>
      <c r="D96" s="178" t="s">
        <v>101</v>
      </c>
      <c r="E96" s="178" t="s">
        <v>150</v>
      </c>
      <c r="F96" s="179"/>
      <c r="G96" s="180"/>
      <c r="H96" s="181">
        <f>ROUND(SUM(H97:H139),2)</f>
        <v>577.20000000000005</v>
      </c>
      <c r="J96" s="464"/>
      <c r="S96" s="465"/>
      <c r="T96" s="466"/>
    </row>
    <row r="97" spans="1:20" s="399" customFormat="1" ht="25.5" customHeight="1" x14ac:dyDescent="0.25">
      <c r="A97" s="398" t="s">
        <v>1122</v>
      </c>
      <c r="B97" s="207">
        <v>3080</v>
      </c>
      <c r="C97" s="548" t="str">
        <f>IF(A97="SERVIÇO",VLOOKUP(B97,SERVIÇOS!$A$6:$D$7697,2,0),IF(A97="INSUMO",VLOOKUP(B97,INSUMOS!$A$6:$D$4845,2,0),IF(A97="COTAÇÃO",VLOOKUP(B97,'014-22-cotação'!$A$9:$I$138,2,0),IF(A97="AUX",VLOOKUP('014-22-CCU''s'!B97,'014-22-CCU''s AUX'!$B$1:$H$130,2,0)))))</f>
        <v xml:space="preserve">FECHADURA ESPELHO PARA PORTA EXTERNA, EM ACO INOX (MAQUINA, TESTA E CONTRA-TESTA) E EM ZAMAC (MACANETA, LINGUETA E TRINCOS) COM ACABAMENTO CROMADO, MAQUINA DE 40 MM, INCLUINDO CHAVE TIPO CILINDRO                                                                                                                                                                                                                                                                                                       </v>
      </c>
      <c r="D97" s="549" t="str">
        <f>IF(A97="SERVIÇO",VLOOKUP(B97,SERVIÇOS!$A$6:$E$7697,5,0),IF(A97="INSUMO",VLOOKUP(B97,INSUMOS!$A$6:$E$4845,5,0),IF(A97="COTAÇÃO",VLOOKUP(B97,'014-22-cotação'!$A$9:$J$138,10,0),IF(A97="AUX",VLOOKUP('014-22-CCU''s'!B97,'014-22-CCU''s AUX'!$B$1:$H$130,3,0)))))</f>
        <v>MAT.</v>
      </c>
      <c r="E97" s="549" t="str">
        <f>IF(A97="SERVIÇO",VLOOKUP(B97,SERVIÇOS!$A$6:$D$7697,3,0),IF(A97="INSUMO",VLOOKUP(B97,INSUMOS!$A$6:$D$4845,3,0),IF(A97="COTAÇÃO",VLOOKUP(B97,'014-22-cotação'!$A$9:$I$138,4,0),IF(A97="AUX",VLOOKUP('014-22-CCU''s'!B97,'014-22-CCU''s AUX'!$B$1:$H$130,4,0)))))</f>
        <v xml:space="preserve">CJ    </v>
      </c>
      <c r="F97" s="549">
        <v>2.6800000000000001E-2</v>
      </c>
      <c r="G97" s="550">
        <f>IF(A97="SERVIÇO",VLOOKUP(B97,SERVIÇOS!$A$6:$D$7697,4,0),IF(A97="INSUMO",VLOOKUP(B97,INSUMOS!$A$6:$D$4845,4,0),IF(A97="COTAÇÃO",VLOOKUP(B97,'014-22-cotação'!$A$9:$I$138,3,0),IF(A97="AUX",VLOOKUP('014-22-CCU''s'!B97,'014-22-CCU''s AUX'!$B$1:$H$130,7,0)))))</f>
        <v>74.05</v>
      </c>
      <c r="H97" s="561">
        <f>TRUNC((F97*G97),2)</f>
        <v>1.98</v>
      </c>
      <c r="I97" s="399">
        <v>3080</v>
      </c>
      <c r="J97" s="401"/>
      <c r="S97" s="402"/>
      <c r="T97" s="400"/>
    </row>
    <row r="98" spans="1:20" s="399" customFormat="1" ht="38.25" x14ac:dyDescent="0.25">
      <c r="A98" s="398" t="s">
        <v>1122</v>
      </c>
      <c r="B98" s="207">
        <v>10886</v>
      </c>
      <c r="C98" s="548" t="str">
        <f>IF(A98="SERVIÇO",VLOOKUP(B98,SERVIÇOS!$A$6:$D$7697,2,0),IF(A98="INSUMO",VLOOKUP(B98,INSUMOS!$A$6:$D$4845,2,0),IF(A98="COTAÇÃO",VLOOKUP(B98,'014-22-cotação'!$A$9:$I$138,2,0),IF(A98="AUX",VLOOKUP('014-22-CCU''s'!B98,'014-22-CCU''s AUX'!$B$1:$H$130,2,0)))))</f>
        <v xml:space="preserve">EXTINTOR DE INCENDIO PORTATIL COM CARGA DE AGUA PRESSURIZADA DE 10 L, CLASSE A                                                                                                                                                                                                                                                                                                                                                                                                                            </v>
      </c>
      <c r="D98" s="549" t="str">
        <f>IF(A98="SERVIÇO",VLOOKUP(B98,SERVIÇOS!$A$6:$E$7697,5,0),IF(A98="INSUMO",VLOOKUP(B98,INSUMOS!$A$6:$E$4845,5,0),IF(A98="COTAÇÃO",VLOOKUP(B98,'014-22-cotação'!$A$9:$J$138,10,0),IF(A98="AUX",VLOOKUP('014-22-CCU''s'!B98,'014-22-CCU''s AUX'!$B$1:$H$130,3,0)))))</f>
        <v>MAT.</v>
      </c>
      <c r="E98" s="549" t="str">
        <f>IF(A98="SERVIÇO",VLOOKUP(B98,SERVIÇOS!$A$6:$D$7697,3,0),IF(A98="INSUMO",VLOOKUP(B98,INSUMOS!$A$6:$D$4845,3,0),IF(A98="COTAÇÃO",VLOOKUP(B98,'014-22-cotação'!$A$9:$I$138,4,0),IF(A98="AUX",VLOOKUP('014-22-CCU''s'!B98,'014-22-CCU''s AUX'!$B$1:$H$130,4,0)))))</f>
        <v xml:space="preserve">UN    </v>
      </c>
      <c r="F98" s="549">
        <v>2.6800000000000001E-2</v>
      </c>
      <c r="G98" s="550">
        <f>IF(A98="SERVIÇO",VLOOKUP(B98,SERVIÇOS!$A$6:$D$7697,4,0),IF(A98="INSUMO",VLOOKUP(B98,INSUMOS!$A$6:$D$4845,4,0),IF(A98="COTAÇÃO",VLOOKUP(B98,'014-22-cotação'!$A$9:$I$138,3,0),IF(A98="AUX",VLOOKUP('014-22-CCU''s'!B98,'014-22-CCU''s AUX'!$B$1:$H$130,7,0)))))</f>
        <v>196.87</v>
      </c>
      <c r="H98" s="561">
        <f>TRUNC((F98*G98),2)</f>
        <v>5.27</v>
      </c>
      <c r="I98" s="399">
        <v>10886</v>
      </c>
      <c r="J98" s="401"/>
      <c r="S98" s="402"/>
      <c r="T98" s="400"/>
    </row>
    <row r="99" spans="1:20" s="399" customFormat="1" ht="38.25" x14ac:dyDescent="0.25">
      <c r="A99" s="398" t="s">
        <v>1122</v>
      </c>
      <c r="B99" s="207">
        <v>10891</v>
      </c>
      <c r="C99" s="548" t="str">
        <f>IF(A99="SERVIÇO",VLOOKUP(B99,SERVIÇOS!$A$6:$D$7697,2,0),IF(A99="INSUMO",VLOOKUP(B99,INSUMOS!$A$6:$D$4845,2,0),IF(A99="COTAÇÃO",VLOOKUP(B99,'014-22-cotação'!$A$9:$I$138,2,0),IF(A99="AUX",VLOOKUP('014-22-CCU''s'!B99,'014-22-CCU''s AUX'!$B$1:$H$130,2,0)))))</f>
        <v xml:space="preserve">EXTINTOR DE INCENDIO PORTATIL COM CARGA DE PO QUIMICO SECO (PQS) DE 4 KG, CLASSE BC                                                                                                                                                                                                                                                                                                                                                                                                                       </v>
      </c>
      <c r="D99" s="549" t="str">
        <f>IF(A99="SERVIÇO",VLOOKUP(B99,SERVIÇOS!$A$6:$E$7697,5,0),IF(A99="INSUMO",VLOOKUP(B99,INSUMOS!$A$6:$E$4845,5,0),IF(A99="COTAÇÃO",VLOOKUP(B99,'014-22-cotação'!$A$9:$J$138,10,0),IF(A99="AUX",VLOOKUP('014-22-CCU''s'!B99,'014-22-CCU''s AUX'!$B$1:$H$130,3,0)))))</f>
        <v>MAT.</v>
      </c>
      <c r="E99" s="549" t="str">
        <f>IF(A99="SERVIÇO",VLOOKUP(B99,SERVIÇOS!$A$6:$D$7697,3,0),IF(A99="INSUMO",VLOOKUP(B99,INSUMOS!$A$6:$D$4845,3,0),IF(A99="COTAÇÃO",VLOOKUP(B99,'014-22-cotação'!$A$9:$I$138,4,0),IF(A99="AUX",VLOOKUP('014-22-CCU''s'!B99,'014-22-CCU''s AUX'!$B$1:$H$130,4,0)))))</f>
        <v xml:space="preserve">UN    </v>
      </c>
      <c r="F99" s="549">
        <v>2.6800000000000001E-2</v>
      </c>
      <c r="G99" s="550">
        <f>IF(A99="SERVIÇO",VLOOKUP(B99,SERVIÇOS!$A$6:$D$7697,4,0),IF(A99="INSUMO",VLOOKUP(B99,INSUMOS!$A$6:$D$4845,4,0),IF(A99="COTAÇÃO",VLOOKUP(B99,'014-22-cotação'!$A$9:$I$138,3,0),IF(A99="AUX",VLOOKUP('014-22-CCU''s'!B99,'014-22-CCU''s AUX'!$B$1:$H$130,7,0)))))</f>
        <v>190.38</v>
      </c>
      <c r="H99" s="561">
        <f>TRUNC((F99*G99),2)</f>
        <v>5.0999999999999996</v>
      </c>
      <c r="I99" s="399">
        <v>10891</v>
      </c>
      <c r="J99" s="401"/>
      <c r="S99" s="402"/>
      <c r="T99" s="400"/>
    </row>
    <row r="100" spans="1:20" s="399" customFormat="1" ht="38.25" x14ac:dyDescent="0.25">
      <c r="A100" s="398" t="s">
        <v>1122</v>
      </c>
      <c r="B100" s="207">
        <v>11587</v>
      </c>
      <c r="C100" s="548" t="str">
        <f>IF(A100="SERVIÇO",VLOOKUP(B100,SERVIÇOS!$A$6:$D$7697,2,0),IF(A100="INSUMO",VLOOKUP(B100,INSUMOS!$A$6:$D$4845,2,0),IF(A100="COTAÇÃO",VLOOKUP(B100,'014-22-cotação'!$A$9:$I$138,2,0),IF(A100="AUX",VLOOKUP('014-22-CCU''s'!B100,'014-22-CCU''s AUX'!$B$1:$H$130,2,0)))))</f>
        <v xml:space="preserve">FORRO DE PVC LISO, BRANCO, REGUA DE 10 CM, ESPESSURA DE 8 MM A 10 MM (COM COLOCACAO / SEM ESTRUTURA METALICA)                                                                                                                                                                                                                                                                                                                                                                                             </v>
      </c>
      <c r="D100" s="549" t="str">
        <f>IF(A100="SERVIÇO",VLOOKUP(B100,SERVIÇOS!$A$6:$E$7697,5,0),IF(A100="INSUMO",VLOOKUP(B100,INSUMOS!$A$6:$E$4845,5,0),IF(A100="COTAÇÃO",VLOOKUP(B100,'014-22-cotação'!$A$9:$J$138,10,0),IF(A100="AUX",VLOOKUP('014-22-CCU''s'!B100,'014-22-CCU''s AUX'!$B$1:$H$130,3,0)))))</f>
        <v>MAT.</v>
      </c>
      <c r="E100" s="549" t="str">
        <f>IF(A100="SERVIÇO",VLOOKUP(B100,SERVIÇOS!$A$6:$D$7697,3,0),IF(A100="INSUMO",VLOOKUP(B100,INSUMOS!$A$6:$D$4845,3,0),IF(A100="COTAÇÃO",VLOOKUP(B100,'014-22-cotação'!$A$9:$I$138,4,0),IF(A100="AUX",VLOOKUP('014-22-CCU''s'!B100,'014-22-CCU''s AUX'!$B$1:$H$130,4,0)))))</f>
        <v xml:space="preserve">M2    </v>
      </c>
      <c r="F100" s="549">
        <v>1</v>
      </c>
      <c r="G100" s="550">
        <f>IF(A100="SERVIÇO",VLOOKUP(B100,SERVIÇOS!$A$6:$D$7697,4,0),IF(A100="INSUMO",VLOOKUP(B100,INSUMOS!$A$6:$D$4845,4,0),IF(A100="COTAÇÃO",VLOOKUP(B100,'014-22-cotação'!$A$9:$I$138,3,0),IF(A100="AUX",VLOOKUP('014-22-CCU''s'!B100,'014-22-CCU''s AUX'!$B$1:$H$130,7,0)))))</f>
        <v>60.31</v>
      </c>
      <c r="H100" s="561">
        <f t="shared" ref="H100:H139" si="9">TRUNC((F100*G100),2)</f>
        <v>60.31</v>
      </c>
      <c r="I100" s="399">
        <v>11587</v>
      </c>
      <c r="J100" s="401"/>
      <c r="S100" s="402"/>
      <c r="T100" s="400"/>
    </row>
    <row r="101" spans="1:20" s="399" customFormat="1" ht="51" x14ac:dyDescent="0.25">
      <c r="A101" s="398" t="s">
        <v>1122</v>
      </c>
      <c r="B101" s="207">
        <v>37525</v>
      </c>
      <c r="C101" s="548" t="str">
        <f>IF(A101="SERVIÇO",VLOOKUP(B101,SERVIÇOS!$A$6:$D$7697,2,0),IF(A101="INSUMO",VLOOKUP(B101,INSUMOS!$A$6:$D$4845,2,0),IF(A101="COTAÇÃO",VLOOKUP(B101,'014-22-cotação'!$A$9:$I$138,2,0),IF(A101="AUX",VLOOKUP('014-22-CCU''s'!B101,'014-22-CCU''s AUX'!$B$1:$H$130,2,0)))))</f>
        <v xml:space="preserve">TELA PLASTICA TECIDA LISTRADA BRANCA E LARANJA, TIPO GUARDA CORPO, EM POLIETILENO MONOFILADO, ROLO 1,20 X 50 M (L X C)                                                                                                                                                                                                                                                                                                                                                                                    </v>
      </c>
      <c r="D101" s="549" t="str">
        <f>IF(A101="SERVIÇO",VLOOKUP(B101,SERVIÇOS!$A$6:$E$7697,5,0),IF(A101="INSUMO",VLOOKUP(B101,INSUMOS!$A$6:$E$4845,5,0),IF(A101="COTAÇÃO",VLOOKUP(B101,'014-22-cotação'!$A$9:$J$138,10,0),IF(A101="AUX",VLOOKUP('014-22-CCU''s'!B101,'014-22-CCU''s AUX'!$B$1:$H$130,3,0)))))</f>
        <v>MAT.</v>
      </c>
      <c r="E101" s="549" t="str">
        <f>IF(A101="SERVIÇO",VLOOKUP(B101,SERVIÇOS!$A$6:$D$7697,3,0),IF(A101="INSUMO",VLOOKUP(B101,INSUMOS!$A$6:$D$4845,3,0),IF(A101="COTAÇÃO",VLOOKUP(B101,'014-22-cotação'!$A$9:$I$138,4,0),IF(A101="AUX",VLOOKUP('014-22-CCU''s'!B101,'014-22-CCU''s AUX'!$B$1:$H$130,4,0)))))</f>
        <v xml:space="preserve">M     </v>
      </c>
      <c r="F101" s="560">
        <v>1.2782</v>
      </c>
      <c r="G101" s="550">
        <f>IF(A101="SERVIÇO",VLOOKUP(B101,SERVIÇOS!$A$6:$D$7697,4,0),IF(A101="INSUMO",VLOOKUP(B101,INSUMOS!$A$6:$D$4845,4,0),IF(A101="COTAÇÃO",VLOOKUP(B101,'014-22-cotação'!$A$9:$I$138,3,0),IF(A101="AUX",VLOOKUP('014-22-CCU''s'!B101,'014-22-CCU''s AUX'!$B$1:$H$130,7,0)))))</f>
        <v>3.5</v>
      </c>
      <c r="H101" s="561">
        <f t="shared" si="9"/>
        <v>4.47</v>
      </c>
      <c r="I101" s="399">
        <v>37525</v>
      </c>
      <c r="J101" s="401"/>
      <c r="S101" s="402"/>
      <c r="T101" s="400"/>
    </row>
    <row r="102" spans="1:20" s="399" customFormat="1" ht="89.25" x14ac:dyDescent="0.25">
      <c r="A102" s="398" t="s">
        <v>1120</v>
      </c>
      <c r="B102" s="207">
        <v>86934</v>
      </c>
      <c r="C102" s="548" t="str">
        <f>IF(A102="SERVIÇO",VLOOKUP(B102,SERVIÇOS!$A$6:$D$7697,2,0),IF(A102="INSUMO",VLOOKUP(B102,INSUMOS!$A$6:$D$4845,2,0),IF(A102="COTAÇÃO",VLOOKUP(B102,'014-22-cotação'!$A$9:$I$138,2,0),IF(A102="AUX",VLOOKUP('014-22-CCU''s'!B102,'014-22-CCU''s AUX'!$B$1:$H$130,2,0)))))</f>
        <v>BANCADA DE MÁRMORE SINTÉTICO 120 X 60CM, COM CUBA INTEGRADA, INCLUSO SIFÃO TIPO FLEXÍVEL EM PVC, VÁLVULA EM PLÁSTICO CROMADO TIPO AMERICANA E TORNEIRA CROMADA LONGA, DE PAREDE, PADRÃO POPULAR - FORNECIMENTO E INSTALAÇÃO. AF_01/2020</v>
      </c>
      <c r="D102" s="549" t="str">
        <f>IF(A102="SERVIÇO",VLOOKUP(B102,SERVIÇOS!$A$6:$E$7697,5,0),IF(A102="INSUMO",VLOOKUP(B102,INSUMOS!$A$6:$E$4845,5,0),IF(A102="COTAÇÃO",VLOOKUP(B102,'014-22-cotação'!$A$9:$J$138,10,0),IF(A102="AUX",VLOOKUP('014-22-CCU''s'!B102,'014-22-CCU''s AUX'!$B$1:$H$130,3,0)))))</f>
        <v>SER.CG</v>
      </c>
      <c r="E102" s="549" t="str">
        <f>IF(A102="SERVIÇO",VLOOKUP(B102,SERVIÇOS!$A$6:$D$7697,3,0),IF(A102="INSUMO",VLOOKUP(B102,INSUMOS!$A$6:$D$4845,3,0),IF(A102="COTAÇÃO",VLOOKUP(B102,'014-22-cotação'!$A$9:$I$138,4,0),IF(A102="AUX",VLOOKUP('014-22-CCU''s'!B102,'014-22-CCU''s AUX'!$B$1:$H$130,4,0)))))</f>
        <v>UN</v>
      </c>
      <c r="F102" s="560">
        <v>2.6800000000000001E-2</v>
      </c>
      <c r="G102" s="550">
        <f>IF(A102="SERVIÇO",VLOOKUP(B102,SERVIÇOS!$A$6:$D$7697,4,0),IF(A102="INSUMO",VLOOKUP(B102,INSUMOS!$A$6:$D$4845,4,0),IF(A102="COTAÇÃO",VLOOKUP(B102,'014-22-cotação'!$A$9:$I$138,3,0),IF(A102="AUX",VLOOKUP('014-22-CCU''s'!B102,'014-22-CCU''s AUX'!$B$1:$H$130,7,0)))))</f>
        <v>444.42</v>
      </c>
      <c r="H102" s="561">
        <f t="shared" si="9"/>
        <v>11.91</v>
      </c>
      <c r="I102" s="399">
        <v>86934</v>
      </c>
      <c r="J102" s="401"/>
      <c r="S102" s="402"/>
      <c r="T102" s="400"/>
    </row>
    <row r="103" spans="1:20" s="399" customFormat="1" ht="89.25" x14ac:dyDescent="0.25">
      <c r="A103" s="398" t="s">
        <v>1120</v>
      </c>
      <c r="B103" s="207">
        <v>86943</v>
      </c>
      <c r="C103" s="548" t="str">
        <f>IF(A103="SERVIÇO",VLOOKUP(B103,SERVIÇOS!$A$6:$D$7697,2,0),IF(A103="INSUMO",VLOOKUP(B103,INSUMOS!$A$6:$D$4845,2,0),IF(A103="COTAÇÃO",VLOOKUP(B103,'014-22-cotação'!$A$9:$I$138,2,0),IF(A103="AUX",VLOOKUP('014-22-CCU''s'!B103,'014-22-CCU''s AUX'!$B$1:$H$130,2,0)))))</f>
        <v>LAVATÓRIO LOUÇA BRANCA SUSPENSO, 29,5 X 39CM OU EQUIVALENTE, PADRÃO POPULAR, INCLUSO SIFÃO FLEXÍVEL EM PVC, VÁLVULA E ENGATE FLEXÍVEL 30CM EM PLÁSTICO E TORNEIRA CROMADA DE MESA, PADRÃO POPULAR - FORNECIMENTO E INSTALAÇÃO. AF_01/2020</v>
      </c>
      <c r="D103" s="549" t="str">
        <f>IF(A103="SERVIÇO",VLOOKUP(B103,SERVIÇOS!$A$6:$E$7697,5,0),IF(A103="INSUMO",VLOOKUP(B103,INSUMOS!$A$6:$E$4845,5,0),IF(A103="COTAÇÃO",VLOOKUP(B103,'014-22-cotação'!$A$9:$J$138,10,0),IF(A103="AUX",VLOOKUP('014-22-CCU''s'!B103,'014-22-CCU''s AUX'!$B$1:$H$130,3,0)))))</f>
        <v>SER.CG</v>
      </c>
      <c r="E103" s="549" t="str">
        <f>IF(A103="SERVIÇO",VLOOKUP(B103,SERVIÇOS!$A$6:$D$7697,3,0),IF(A103="INSUMO",VLOOKUP(B103,INSUMOS!$A$6:$D$4845,3,0),IF(A103="COTAÇÃO",VLOOKUP(B103,'014-22-cotação'!$A$9:$I$138,4,0),IF(A103="AUX",VLOOKUP('014-22-CCU''s'!B103,'014-22-CCU''s AUX'!$B$1:$H$130,4,0)))))</f>
        <v>UN</v>
      </c>
      <c r="F103" s="560">
        <v>2.6800000000000001E-2</v>
      </c>
      <c r="G103" s="550">
        <f>IF(A103="SERVIÇO",VLOOKUP(B103,SERVIÇOS!$A$6:$D$7697,4,0),IF(A103="INSUMO",VLOOKUP(B103,INSUMOS!$A$6:$D$4845,4,0),IF(A103="COTAÇÃO",VLOOKUP(B103,'014-22-cotação'!$A$9:$I$138,3,0),IF(A103="AUX",VLOOKUP('014-22-CCU''s'!B103,'014-22-CCU''s AUX'!$B$1:$H$130,7,0)))))</f>
        <v>250.58</v>
      </c>
      <c r="H103" s="561">
        <f t="shared" si="9"/>
        <v>6.71</v>
      </c>
      <c r="I103" s="399">
        <v>86943</v>
      </c>
      <c r="J103" s="401"/>
      <c r="S103" s="402"/>
      <c r="T103" s="400"/>
    </row>
    <row r="104" spans="1:20" s="399" customFormat="1" ht="25.5" x14ac:dyDescent="0.25">
      <c r="A104" s="398" t="s">
        <v>1120</v>
      </c>
      <c r="B104" s="207">
        <v>88262</v>
      </c>
      <c r="C104" s="548" t="str">
        <f>IF(A104="SERVIÇO",VLOOKUP(B104,SERVIÇOS!$A$6:$D$7697,2,0),IF(A104="INSUMO",VLOOKUP(B104,INSUMOS!$A$6:$D$4845,2,0),IF(A104="COTAÇÃO",VLOOKUP(B104,'014-22-cotação'!$A$9:$I$138,2,0),IF(A104="AUX",VLOOKUP('014-22-CCU''s'!B104,'014-22-CCU''s AUX'!$B$1:$H$130,2,0)))))</f>
        <v>CARPINTEIRO DE FORMAS COM ENCARGOS COMPLEMENTARES</v>
      </c>
      <c r="D104" s="549" t="str">
        <f>IF(A104="SERVIÇO",VLOOKUP(B104,SERVIÇOS!$A$6:$E$7697,5,0),IF(A104="INSUMO",VLOOKUP(B104,INSUMOS!$A$6:$E$4845,5,0),IF(A104="COTAÇÃO",VLOOKUP(B104,'014-22-cotação'!$A$9:$J$138,10,0),IF(A104="AUX",VLOOKUP('014-22-CCU''s'!B104,'014-22-CCU''s AUX'!$B$1:$H$130,3,0)))))</f>
        <v>M.O</v>
      </c>
      <c r="E104" s="549" t="str">
        <f>IF(A104="SERVIÇO",VLOOKUP(B104,SERVIÇOS!$A$6:$D$7697,3,0),IF(A104="INSUMO",VLOOKUP(B104,INSUMOS!$A$6:$D$4845,3,0),IF(A104="COTAÇÃO",VLOOKUP(B104,'014-22-cotação'!$A$9:$I$138,4,0),IF(A104="AUX",VLOOKUP('014-22-CCU''s'!B104,'014-22-CCU''s AUX'!$B$1:$H$130,4,0)))))</f>
        <v>H</v>
      </c>
      <c r="F104" s="560">
        <v>1.1154999999999999</v>
      </c>
      <c r="G104" s="550">
        <f>IF(A104="SERVIÇO",VLOOKUP(B104,SERVIÇOS!$A$6:$D$7697,4,0),IF(A104="INSUMO",VLOOKUP(B104,INSUMOS!$A$6:$D$4845,4,0),IF(A104="COTAÇÃO",VLOOKUP(B104,'014-22-cotação'!$A$9:$I$138,3,0),IF(A104="AUX",VLOOKUP('014-22-CCU''s'!B104,'014-22-CCU''s AUX'!$B$1:$H$130,7,0)))))</f>
        <v>30.71</v>
      </c>
      <c r="H104" s="561">
        <f t="shared" si="9"/>
        <v>34.25</v>
      </c>
      <c r="I104" s="399">
        <v>88262</v>
      </c>
      <c r="J104" s="401"/>
      <c r="S104" s="402"/>
      <c r="T104" s="400"/>
    </row>
    <row r="105" spans="1:20" s="399" customFormat="1" ht="38.25" x14ac:dyDescent="0.25">
      <c r="A105" s="398" t="s">
        <v>1120</v>
      </c>
      <c r="B105" s="207">
        <v>88489</v>
      </c>
      <c r="C105" s="548" t="str">
        <f>IF(A105="SERVIÇO",VLOOKUP(B105,SERVIÇOS!$A$6:$D$7697,2,0),IF(A105="INSUMO",VLOOKUP(B105,INSUMOS!$A$6:$D$4845,2,0),IF(A105="COTAÇÃO",VLOOKUP(B105,'014-22-cotação'!$A$9:$I$138,2,0),IF(A105="AUX",VLOOKUP('014-22-CCU''s'!B105,'014-22-CCU''s AUX'!$B$1:$H$130,2,0)))))</f>
        <v>PINTURA LÁTEX ACRÍLICA PREMIUM, APLICAÇÃO MANUAL EM PAREDES, DUAS DEMÃOS. AF_04/2023</v>
      </c>
      <c r="D105" s="549" t="str">
        <f>IF(A105="SERVIÇO",VLOOKUP(B105,SERVIÇOS!$A$6:$E$7697,5,0),IF(A105="INSUMO",VLOOKUP(B105,INSUMOS!$A$6:$E$4845,5,0),IF(A105="COTAÇÃO",VLOOKUP(B105,'014-22-cotação'!$A$9:$J$138,10,0),IF(A105="AUX",VLOOKUP('014-22-CCU''s'!B105,'014-22-CCU''s AUX'!$B$1:$H$130,3,0)))))</f>
        <v>SER.CG</v>
      </c>
      <c r="E105" s="549" t="str">
        <f>IF(A105="SERVIÇO",VLOOKUP(B105,SERVIÇOS!$A$6:$D$7697,3,0),IF(A105="INSUMO",VLOOKUP(B105,INSUMOS!$A$6:$D$4845,3,0),IF(A105="COTAÇÃO",VLOOKUP(B105,'014-22-cotação'!$A$9:$I$138,4,0),IF(A105="AUX",VLOOKUP('014-22-CCU''s'!B105,'014-22-CCU''s AUX'!$B$1:$H$130,4,0)))))</f>
        <v>M2</v>
      </c>
      <c r="F105" s="560">
        <v>1.4293</v>
      </c>
      <c r="G105" s="550">
        <f>IF(A105="SERVIÇO",VLOOKUP(B105,SERVIÇOS!$A$6:$D$7697,4,0),IF(A105="INSUMO",VLOOKUP(B105,INSUMOS!$A$6:$D$4845,4,0),IF(A105="COTAÇÃO",VLOOKUP(B105,'014-22-cotação'!$A$9:$I$138,3,0),IF(A105="AUX",VLOOKUP('014-22-CCU''s'!B105,'014-22-CCU''s AUX'!$B$1:$H$130,7,0)))))</f>
        <v>14.06</v>
      </c>
      <c r="H105" s="561">
        <f t="shared" si="9"/>
        <v>20.09</v>
      </c>
      <c r="I105" s="399">
        <v>88489</v>
      </c>
      <c r="J105" s="401"/>
      <c r="S105" s="402"/>
      <c r="T105" s="400"/>
    </row>
    <row r="106" spans="1:20" s="399" customFormat="1" ht="51" x14ac:dyDescent="0.25">
      <c r="A106" s="398" t="s">
        <v>1120</v>
      </c>
      <c r="B106" s="207">
        <v>89711</v>
      </c>
      <c r="C106" s="548" t="str">
        <f>IF(A106="SERVIÇO",VLOOKUP(B106,SERVIÇOS!$A$6:$D$7697,2,0),IF(A106="INSUMO",VLOOKUP(B106,INSUMOS!$A$6:$D$4845,2,0),IF(A106="COTAÇÃO",VLOOKUP(B106,'014-22-cotação'!$A$9:$I$138,2,0),IF(A106="AUX",VLOOKUP('014-22-CCU''s'!B106,'014-22-CCU''s AUX'!$B$1:$H$130,2,0)))))</f>
        <v>TUBO PVC, SERIE NORMAL, ESGOTO PREDIAL, DN 40 MM, FORNECIDO E INSTALADO EM RAMAL DE DESCARGA OU RAMAL DE ESGOTO SANITÁRIO. AF_08/2022</v>
      </c>
      <c r="D106" s="549" t="str">
        <f>IF(A106="SERVIÇO",VLOOKUP(B106,SERVIÇOS!$A$6:$E$7697,5,0),IF(A106="INSUMO",VLOOKUP(B106,INSUMOS!$A$6:$E$4845,5,0),IF(A106="COTAÇÃO",VLOOKUP(B106,'014-22-cotação'!$A$9:$J$138,10,0),IF(A106="AUX",VLOOKUP('014-22-CCU''s'!B106,'014-22-CCU''s AUX'!$B$1:$H$130,3,0)))))</f>
        <v>SER.CG</v>
      </c>
      <c r="E106" s="549" t="str">
        <f>IF(A106="SERVIÇO",VLOOKUP(B106,SERVIÇOS!$A$6:$D$7697,3,0),IF(A106="INSUMO",VLOOKUP(B106,INSUMOS!$A$6:$D$4845,3,0),IF(A106="COTAÇÃO",VLOOKUP(B106,'014-22-cotação'!$A$9:$I$138,4,0),IF(A106="AUX",VLOOKUP('014-22-CCU''s'!B106,'014-22-CCU''s AUX'!$B$1:$H$130,4,0)))))</f>
        <v>M</v>
      </c>
      <c r="F106" s="560">
        <v>8.8599999999999998E-2</v>
      </c>
      <c r="G106" s="550">
        <f>IF(A106="SERVIÇO",VLOOKUP(B106,SERVIÇOS!$A$6:$D$7697,4,0),IF(A106="INSUMO",VLOOKUP(B106,INSUMOS!$A$6:$D$4845,4,0),IF(A106="COTAÇÃO",VLOOKUP(B106,'014-22-cotação'!$A$9:$I$138,3,0),IF(A106="AUX",VLOOKUP('014-22-CCU''s'!B106,'014-22-CCU''s AUX'!$B$1:$H$130,7,0)))))</f>
        <v>21.57</v>
      </c>
      <c r="H106" s="561">
        <f t="shared" si="9"/>
        <v>1.91</v>
      </c>
      <c r="I106" s="399">
        <v>89711</v>
      </c>
      <c r="J106" s="401"/>
      <c r="S106" s="402"/>
      <c r="T106" s="400"/>
    </row>
    <row r="107" spans="1:20" s="399" customFormat="1" ht="51" x14ac:dyDescent="0.25">
      <c r="A107" s="398" t="s">
        <v>1120</v>
      </c>
      <c r="B107" s="207">
        <v>89714</v>
      </c>
      <c r="C107" s="548" t="str">
        <f>IF(A107="SERVIÇO",VLOOKUP(B107,SERVIÇOS!$A$6:$D$7697,2,0),IF(A107="INSUMO",VLOOKUP(B107,INSUMOS!$A$6:$D$4845,2,0),IF(A107="COTAÇÃO",VLOOKUP(B107,'014-22-cotação'!$A$9:$I$138,2,0),IF(A107="AUX",VLOOKUP('014-22-CCU''s'!B107,'014-22-CCU''s AUX'!$B$1:$H$130,2,0)))))</f>
        <v>TUBO PVC, SERIE NORMAL, ESGOTO PREDIAL, DN 100 MM, FORNECIDO E INSTALADO EM RAMAL DE DESCARGA OU RAMAL DE ESGOTO SANITÁRIO. AF_08/2022</v>
      </c>
      <c r="D107" s="549" t="str">
        <f>IF(A107="SERVIÇO",VLOOKUP(B107,SERVIÇOS!$A$6:$E$7697,5,0),IF(A107="INSUMO",VLOOKUP(B107,INSUMOS!$A$6:$E$4845,5,0),IF(A107="COTAÇÃO",VLOOKUP(B107,'014-22-cotação'!$A$9:$J$138,10,0),IF(A107="AUX",VLOOKUP('014-22-CCU''s'!B107,'014-22-CCU''s AUX'!$B$1:$H$130,3,0)))))</f>
        <v>SER.CG</v>
      </c>
      <c r="E107" s="549" t="str">
        <f>IF(A107="SERVIÇO",VLOOKUP(B107,SERVIÇOS!$A$6:$D$7697,3,0),IF(A107="INSUMO",VLOOKUP(B107,INSUMOS!$A$6:$D$4845,3,0),IF(A107="COTAÇÃO",VLOOKUP(B107,'014-22-cotação'!$A$9:$I$138,4,0),IF(A107="AUX",VLOOKUP('014-22-CCU''s'!B107,'014-22-CCU''s AUX'!$B$1:$H$130,4,0)))))</f>
        <v>M</v>
      </c>
      <c r="F107" s="560">
        <v>0.14230000000000001</v>
      </c>
      <c r="G107" s="550">
        <f>IF(A107="SERVIÇO",VLOOKUP(B107,SERVIÇOS!$A$6:$D$7697,4,0),IF(A107="INSUMO",VLOOKUP(B107,INSUMOS!$A$6:$D$4845,4,0),IF(A107="COTAÇÃO",VLOOKUP(B107,'014-22-cotação'!$A$9:$I$138,3,0),IF(A107="AUX",VLOOKUP('014-22-CCU''s'!B107,'014-22-CCU''s AUX'!$B$1:$H$130,7,0)))))</f>
        <v>37.19</v>
      </c>
      <c r="H107" s="561">
        <f t="shared" si="9"/>
        <v>5.29</v>
      </c>
      <c r="I107" s="399">
        <v>89714</v>
      </c>
      <c r="J107" s="401"/>
      <c r="S107" s="402"/>
      <c r="T107" s="400"/>
    </row>
    <row r="108" spans="1:20" s="399" customFormat="1" ht="63.75" x14ac:dyDescent="0.25">
      <c r="A108" s="398" t="s">
        <v>1120</v>
      </c>
      <c r="B108" s="207">
        <v>89724</v>
      </c>
      <c r="C108" s="548" t="str">
        <f>IF(A108="SERVIÇO",VLOOKUP(B108,SERVIÇOS!$A$6:$D$7697,2,0),IF(A108="INSUMO",VLOOKUP(B108,INSUMOS!$A$6:$D$4845,2,0),IF(A108="COTAÇÃO",VLOOKUP(B108,'014-22-cotação'!$A$9:$I$138,2,0),IF(A108="AUX",VLOOKUP('014-22-CCU''s'!B108,'014-22-CCU''s AUX'!$B$1:$H$130,2,0)))))</f>
        <v>JOELHO 90 GRAUS, PVC, SERIE NORMAL, ESGOTO PREDIAL, DN 40 MM, JUNTA SOLDÁVEL, FORNECIDO E INSTALADO EM RAMAL DE DESCARGA OU RAMAL DE ESGOTO SANITÁRIO. AF_08/2022</v>
      </c>
      <c r="D108" s="549" t="str">
        <f>IF(A108="SERVIÇO",VLOOKUP(B108,SERVIÇOS!$A$6:$E$7697,5,0),IF(A108="INSUMO",VLOOKUP(B108,INSUMOS!$A$6:$E$4845,5,0),IF(A108="COTAÇÃO",VLOOKUP(B108,'014-22-cotação'!$A$9:$J$138,10,0),IF(A108="AUX",VLOOKUP('014-22-CCU''s'!B108,'014-22-CCU''s AUX'!$B$1:$H$130,3,0)))))</f>
        <v>SER.CG</v>
      </c>
      <c r="E108" s="549" t="str">
        <f>IF(A108="SERVIÇO",VLOOKUP(B108,SERVIÇOS!$A$6:$D$7697,3,0),IF(A108="INSUMO",VLOOKUP(B108,INSUMOS!$A$6:$D$4845,3,0),IF(A108="COTAÇÃO",VLOOKUP(B108,'014-22-cotação'!$A$9:$I$138,4,0),IF(A108="AUX",VLOOKUP('014-22-CCU''s'!B108,'014-22-CCU''s AUX'!$B$1:$H$130,4,0)))))</f>
        <v>UN</v>
      </c>
      <c r="F108" s="560">
        <v>5.3699999999999998E-2</v>
      </c>
      <c r="G108" s="550">
        <f>IF(A108="SERVIÇO",VLOOKUP(B108,SERVIÇOS!$A$6:$D$7697,4,0),IF(A108="INSUMO",VLOOKUP(B108,INSUMOS!$A$6:$D$4845,4,0),IF(A108="COTAÇÃO",VLOOKUP(B108,'014-22-cotação'!$A$9:$I$138,3,0),IF(A108="AUX",VLOOKUP('014-22-CCU''s'!B108,'014-22-CCU''s AUX'!$B$1:$H$130,7,0)))))</f>
        <v>10.48</v>
      </c>
      <c r="H108" s="561">
        <f t="shared" si="9"/>
        <v>0.56000000000000005</v>
      </c>
      <c r="I108" s="399">
        <v>89724</v>
      </c>
      <c r="J108" s="401"/>
      <c r="S108" s="402"/>
      <c r="T108" s="400"/>
    </row>
    <row r="109" spans="1:20" s="476" customFormat="1" ht="89.25" x14ac:dyDescent="0.25">
      <c r="A109" s="475" t="s">
        <v>1120</v>
      </c>
      <c r="B109" s="207">
        <v>104662</v>
      </c>
      <c r="C109" s="548" t="str">
        <f>IF(A109="SERVIÇO",VLOOKUP(B109,SERVIÇOS!$A$6:$D$7697,2,0),IF(A109="INSUMO",VLOOKUP(B109,INSUMOS!$A$6:$D$4845,2,0),IF(A109="COTAÇÃO",VLOOKUP(B109,'014-22-cotação'!$A$9:$I$138,2,0),IF(A109="AUX",VLOOKUP('014-22-CCU''s'!B109,'014-22-CCU''s AUX'!$B$1:$H$130,2,0)))))</f>
        <v>CONJUNTO DE PONTOS HIDRÁULICOS DE ÁGUA FRIA PARA ÁREA DE SERVIÇO (RAMAL/SUB-RAMAL E DISTRIBUIÇÃO) EM PVC, COM TUBOS, CONEXÕES, REGISTROS, CORTES E FIXAÇÕES EM PRÉDIO COM TUBULAÇÕES EMBUTIDAS COM RASGO. AF_05/2023</v>
      </c>
      <c r="D109" s="549" t="str">
        <f>IF(A109="SERVIÇO",VLOOKUP(B109,SERVIÇOS!$A$6:$E$7697,5,0),IF(A109="INSUMO",VLOOKUP(B109,INSUMOS!$A$6:$E$4845,5,0),IF(A109="COTAÇÃO",VLOOKUP(B109,'014-22-cotação'!$A$9:$J$138,10,0),IF(A109="AUX",VLOOKUP('014-22-CCU''s'!B109,'014-22-CCU''s AUX'!$B$1:$H$130,3,0)))))</f>
        <v>SER.CG</v>
      </c>
      <c r="E109" s="549" t="str">
        <f>IF(A109="SERVIÇO",VLOOKUP(B109,SERVIÇOS!$A$6:$D$7697,3,0),IF(A109="INSUMO",VLOOKUP(B109,INSUMOS!$A$6:$D$4845,3,0),IF(A109="COTAÇÃO",VLOOKUP(B109,'014-22-cotação'!$A$9:$I$138,4,0),IF(A109="AUX",VLOOKUP('014-22-CCU''s'!B109,'014-22-CCU''s AUX'!$B$1:$H$130,4,0)))))</f>
        <v>UN</v>
      </c>
      <c r="F109" s="560">
        <v>5.3699999999999998E-2</v>
      </c>
      <c r="G109" s="550">
        <f>IF(A109="SERVIÇO",VLOOKUP(B109,SERVIÇOS!$A$6:$D$7697,4,0),IF(A109="INSUMO",VLOOKUP(B109,INSUMOS!$A$6:$D$4845,4,0),IF(A109="COTAÇÃO",VLOOKUP(B109,'014-22-cotação'!$A$9:$I$138,3,0),IF(A109="AUX",VLOOKUP('014-22-CCU''s'!B109,'014-22-CCU''s AUX'!$B$1:$H$130,7,0)))))</f>
        <v>442.1</v>
      </c>
      <c r="H109" s="561">
        <f t="shared" si="9"/>
        <v>23.74</v>
      </c>
      <c r="I109" s="476">
        <v>89957</v>
      </c>
      <c r="J109" s="477"/>
      <c r="S109" s="478"/>
      <c r="T109" s="479"/>
    </row>
    <row r="110" spans="1:20" s="399" customFormat="1" ht="63.75" x14ac:dyDescent="0.25">
      <c r="A110" s="398" t="s">
        <v>1120</v>
      </c>
      <c r="B110" s="207">
        <v>90822</v>
      </c>
      <c r="C110" s="548" t="str">
        <f>IF(A110="SERVIÇO",VLOOKUP(B110,SERVIÇOS!$A$6:$D$7697,2,0),IF(A110="INSUMO",VLOOKUP(B110,INSUMOS!$A$6:$D$4845,2,0),IF(A110="COTAÇÃO",VLOOKUP(B110,'014-22-cotação'!$A$9:$I$138,2,0),IF(A110="AUX",VLOOKUP('014-22-CCU''s'!B110,'014-22-CCU''s AUX'!$B$1:$H$130,2,0)))))</f>
        <v>PORTA DE MADEIRA PARA PINTURA, SEMI-OCA (LEVE OU MÉDIA), 80X210CM, ESPESSURA DE 3,5CM, INCLUSO DOBRADIÇAS - FORNECIMENTO E INSTALAÇÃO. AF_12/2019</v>
      </c>
      <c r="D110" s="549" t="str">
        <f>IF(A110="SERVIÇO",VLOOKUP(B110,SERVIÇOS!$A$6:$E$7697,5,0),IF(A110="INSUMO",VLOOKUP(B110,INSUMOS!$A$6:$E$4845,5,0),IF(A110="COTAÇÃO",VLOOKUP(B110,'014-22-cotação'!$A$9:$J$138,10,0),IF(A110="AUX",VLOOKUP('014-22-CCU''s'!B110,'014-22-CCU''s AUX'!$B$1:$H$130,3,0)))))</f>
        <v>SER.CG</v>
      </c>
      <c r="E110" s="549" t="str">
        <f>IF(A110="SERVIÇO",VLOOKUP(B110,SERVIÇOS!$A$6:$D$7697,3,0),IF(A110="INSUMO",VLOOKUP(B110,INSUMOS!$A$6:$D$4845,3,0),IF(A110="COTAÇÃO",VLOOKUP(B110,'014-22-cotação'!$A$9:$I$138,4,0),IF(A110="AUX",VLOOKUP('014-22-CCU''s'!B110,'014-22-CCU''s AUX'!$B$1:$H$130,4,0)))))</f>
        <v>UN</v>
      </c>
      <c r="F110" s="560">
        <v>2.6800000000000001E-2</v>
      </c>
      <c r="G110" s="550">
        <f>IF(A110="SERVIÇO",VLOOKUP(B110,SERVIÇOS!$A$6:$D$7697,4,0),IF(A110="INSUMO",VLOOKUP(B110,INSUMOS!$A$6:$D$4845,4,0),IF(A110="COTAÇÃO",VLOOKUP(B110,'014-22-cotação'!$A$9:$I$138,3,0),IF(A110="AUX",VLOOKUP('014-22-CCU''s'!B110,'014-22-CCU''s AUX'!$B$1:$H$130,7,0)))))</f>
        <v>374.48</v>
      </c>
      <c r="H110" s="561">
        <f t="shared" si="9"/>
        <v>10.029999999999999</v>
      </c>
      <c r="I110" s="399">
        <v>90822</v>
      </c>
      <c r="J110" s="401"/>
      <c r="S110" s="402"/>
      <c r="T110" s="400"/>
    </row>
    <row r="111" spans="1:20" s="399" customFormat="1" ht="89.25" x14ac:dyDescent="0.25">
      <c r="A111" s="398" t="s">
        <v>1120</v>
      </c>
      <c r="B111" s="207">
        <v>91170</v>
      </c>
      <c r="C111" s="548" t="str">
        <f>IF(A111="SERVIÇO",VLOOKUP(B111,SERVIÇOS!$A$6:$D$7697,2,0),IF(A111="INSUMO",VLOOKUP(B111,INSUMOS!$A$6:$D$4845,2,0),IF(A111="COTAÇÃO",VLOOKUP(B111,'014-22-cotação'!$A$9:$I$138,2,0),IF(A111="AUX",VLOOKUP('014-22-CCU''s'!B111,'014-22-CCU''s AUX'!$B$1:$H$130,2,0)))))</f>
        <v>FIXAÇÃO DE TUBOS HORIZONTAIS DE PVC ÁGUA, PVC ESGOTO, PVC ÁGUA PLUVIAL, CPVC, PPR, COBRE OU AÇO, DIÂMETROS MENORES OU IGUAIS A 40 MM, COM ABRAÇADEIRA METÁLICA RÍGIDA TIPO U PERFIL 1 1/4", FIXADA EM PERFILADO EM LAJE. AF_09/2023_PS</v>
      </c>
      <c r="D111" s="549" t="str">
        <f>IF(A111="SERVIÇO",VLOOKUP(B111,SERVIÇOS!$A$6:$E$7697,5,0),IF(A111="INSUMO",VLOOKUP(B111,INSUMOS!$A$6:$E$4845,5,0),IF(A111="COTAÇÃO",VLOOKUP(B111,'014-22-cotação'!$A$9:$J$138,10,0),IF(A111="AUX",VLOOKUP('014-22-CCU''s'!B111,'014-22-CCU''s AUX'!$B$1:$H$130,3,0)))))</f>
        <v>SER.CG</v>
      </c>
      <c r="E111" s="549" t="str">
        <f>IF(A111="SERVIÇO",VLOOKUP(B111,SERVIÇOS!$A$6:$D$7697,3,0),IF(A111="INSUMO",VLOOKUP(B111,INSUMOS!$A$6:$D$4845,3,0),IF(A111="COTAÇÃO",VLOOKUP(B111,'014-22-cotação'!$A$9:$I$138,4,0),IF(A111="AUX",VLOOKUP('014-22-CCU''s'!B111,'014-22-CCU''s AUX'!$B$1:$H$130,4,0)))))</f>
        <v>M</v>
      </c>
      <c r="F111" s="560">
        <v>0.3221</v>
      </c>
      <c r="G111" s="550">
        <f>IF(A111="SERVIÇO",VLOOKUP(B111,SERVIÇOS!$A$6:$D$7697,4,0),IF(A111="INSUMO",VLOOKUP(B111,INSUMOS!$A$6:$D$4845,4,0),IF(A111="COTAÇÃO",VLOOKUP(B111,'014-22-cotação'!$A$9:$I$138,3,0),IF(A111="AUX",VLOOKUP('014-22-CCU''s'!B111,'014-22-CCU''s AUX'!$B$1:$H$130,7,0)))))</f>
        <v>10.73</v>
      </c>
      <c r="H111" s="561">
        <f t="shared" si="9"/>
        <v>3.45</v>
      </c>
      <c r="I111" s="399">
        <v>91170</v>
      </c>
      <c r="J111" s="401"/>
      <c r="S111" s="402"/>
      <c r="T111" s="400"/>
    </row>
    <row r="112" spans="1:20" s="399" customFormat="1" ht="89.25" x14ac:dyDescent="0.25">
      <c r="A112" s="398" t="s">
        <v>1120</v>
      </c>
      <c r="B112" s="207">
        <v>91173</v>
      </c>
      <c r="C112" s="548" t="str">
        <f>IF(A112="SERVIÇO",VLOOKUP(B112,SERVIÇOS!$A$6:$D$7697,2,0),IF(A112="INSUMO",VLOOKUP(B112,INSUMOS!$A$6:$D$4845,2,0),IF(A112="COTAÇÃO",VLOOKUP(B112,'014-22-cotação'!$A$9:$I$138,2,0),IF(A112="AUX",VLOOKUP('014-22-CCU''s'!B112,'014-22-CCU''s AUX'!$B$1:$H$130,2,0)))))</f>
        <v>FIXAÇÃO DE TUBOS VERTICAIS DE PVC ÁGUA, PVC ESGOTO, PVC ÁGUA PLUVIAL, CPVC, PPR, COBRE OU AÇO, DIÂMETROS MENORES OU IGUAIS A 40 MM, COM ABRAÇADEIRA METÁLICA RÍGIDA TIPO U PERFIL 1 1/4", FIXADA EM PERFILADO EM PAREDE. AF_09/2023_PS</v>
      </c>
      <c r="D112" s="549" t="str">
        <f>IF(A112="SERVIÇO",VLOOKUP(B112,SERVIÇOS!$A$6:$E$7697,5,0),IF(A112="INSUMO",VLOOKUP(B112,INSUMOS!$A$6:$E$4845,5,0),IF(A112="COTAÇÃO",VLOOKUP(B112,'014-22-cotação'!$A$9:$J$138,10,0),IF(A112="AUX",VLOOKUP('014-22-CCU''s'!B112,'014-22-CCU''s AUX'!$B$1:$H$130,3,0)))))</f>
        <v>SER.CG</v>
      </c>
      <c r="E112" s="549" t="str">
        <f>IF(A112="SERVIÇO",VLOOKUP(B112,SERVIÇOS!$A$6:$D$7697,3,0),IF(A112="INSUMO",VLOOKUP(B112,INSUMOS!$A$6:$D$4845,3,0),IF(A112="COTAÇÃO",VLOOKUP(B112,'014-22-cotação'!$A$9:$I$138,4,0),IF(A112="AUX",VLOOKUP('014-22-CCU''s'!B112,'014-22-CCU''s AUX'!$B$1:$H$130,4,0)))))</f>
        <v>M</v>
      </c>
      <c r="F112" s="560">
        <v>0.53690000000000004</v>
      </c>
      <c r="G112" s="550">
        <f>IF(A112="SERVIÇO",VLOOKUP(B112,SERVIÇOS!$A$6:$D$7697,4,0),IF(A112="INSUMO",VLOOKUP(B112,INSUMOS!$A$6:$D$4845,4,0),IF(A112="COTAÇÃO",VLOOKUP(B112,'014-22-cotação'!$A$9:$I$138,3,0),IF(A112="AUX",VLOOKUP('014-22-CCU''s'!B112,'014-22-CCU''s AUX'!$B$1:$H$130,7,0)))))</f>
        <v>4</v>
      </c>
      <c r="H112" s="561">
        <f t="shared" si="9"/>
        <v>2.14</v>
      </c>
      <c r="I112" s="399">
        <v>91173</v>
      </c>
      <c r="J112" s="401"/>
      <c r="S112" s="402"/>
      <c r="T112" s="400"/>
    </row>
    <row r="113" spans="1:20" s="213" customFormat="1" ht="51" x14ac:dyDescent="0.25">
      <c r="A113" s="398" t="s">
        <v>1120</v>
      </c>
      <c r="B113" s="208">
        <v>91862</v>
      </c>
      <c r="C113" s="548" t="str">
        <f>IF(A113="SERVIÇO",VLOOKUP(B113,SERVIÇOS!$A$6:$D$7697,2,0),IF(A113="INSUMO",VLOOKUP(B113,INSUMOS!$A$6:$D$4845,2,0),IF(A113="COTAÇÃO",VLOOKUP(B113,'014-22-cotação'!$A$9:$I$138,2,0),IF(A113="AUX",VLOOKUP('014-22-CCU''s'!B113,'014-22-CCU''s AUX'!$B$1:$H$130,2,0)))))</f>
        <v>ELETRODUTO RÍGIDO ROSCÁVEL, PVC, DN 20 MM (1/2"), PARA CIRCUITOS TERMINAIS, INSTALADO EM FORRO - FORNECIMENTO E INSTALAÇÃO. AF_03/2023</v>
      </c>
      <c r="D113" s="549" t="str">
        <f>IF(A113="SERVIÇO",VLOOKUP(B113,SERVIÇOS!$A$6:$E$7697,5,0),IF(A113="INSUMO",VLOOKUP(B113,INSUMOS!$A$6:$E$4845,5,0),IF(A113="COTAÇÃO",VLOOKUP(B113,'014-22-cotação'!$A$9:$J$138,10,0),IF(A113="AUX",VLOOKUP('014-22-CCU''s'!B113,'014-22-CCU''s AUX'!$B$1:$H$130,3,0)))))</f>
        <v>SER.CG</v>
      </c>
      <c r="E113" s="549" t="str">
        <f>IF(A113="SERVIÇO",VLOOKUP(B113,SERVIÇOS!$A$6:$D$7697,3,0),IF(A113="INSUMO",VLOOKUP(B113,INSUMOS!$A$6:$D$4845,3,0),IF(A113="COTAÇÃO",VLOOKUP(B113,'014-22-cotação'!$A$9:$I$138,4,0),IF(A113="AUX",VLOOKUP('014-22-CCU''s'!B113,'014-22-CCU''s AUX'!$B$1:$H$130,4,0)))))</f>
        <v>M</v>
      </c>
      <c r="F113" s="176">
        <v>0.3221</v>
      </c>
      <c r="G113" s="550">
        <f>IF(A113="SERVIÇO",VLOOKUP(B113,SERVIÇOS!$A$6:$D$7697,4,0),IF(A113="INSUMO",VLOOKUP(B113,INSUMOS!$A$6:$D$4845,4,0),IF(A113="COTAÇÃO",VLOOKUP(B113,'014-22-cotação'!$A$9:$I$138,3,0),IF(A113="AUX",VLOOKUP('014-22-CCU''s'!B113,'014-22-CCU''s AUX'!$B$1:$H$130,7,0)))))</f>
        <v>10.78</v>
      </c>
      <c r="H113" s="561">
        <f t="shared" si="9"/>
        <v>3.47</v>
      </c>
      <c r="I113" s="213">
        <v>91862</v>
      </c>
      <c r="S113" s="331"/>
      <c r="T113" s="342"/>
    </row>
    <row r="114" spans="1:20" s="213" customFormat="1" ht="51" x14ac:dyDescent="0.25">
      <c r="A114" s="398" t="s">
        <v>1120</v>
      </c>
      <c r="B114" s="208">
        <v>91870</v>
      </c>
      <c r="C114" s="548" t="str">
        <f>IF(A114="SERVIÇO",VLOOKUP(B114,SERVIÇOS!$A$6:$D$7697,2,0),IF(A114="INSUMO",VLOOKUP(B114,INSUMOS!$A$6:$D$4845,2,0),IF(A114="COTAÇÃO",VLOOKUP(B114,'014-22-cotação'!$A$9:$I$138,2,0),IF(A114="AUX",VLOOKUP('014-22-CCU''s'!B114,'014-22-CCU''s AUX'!$B$1:$H$130,2,0)))))</f>
        <v>ELETRODUTO RÍGIDO ROSCÁVEL, PVC, DN 20 MM (1/2"), PARA CIRCUITOS TERMINAIS, INSTALADO EM PAREDE - FORNECIMENTO E INSTALAÇÃO. AF_03/2023</v>
      </c>
      <c r="D114" s="549" t="str">
        <f>IF(A114="SERVIÇO",VLOOKUP(B114,SERVIÇOS!$A$6:$E$7697,5,0),IF(A114="INSUMO",VLOOKUP(B114,INSUMOS!$A$6:$E$4845,5,0),IF(A114="COTAÇÃO",VLOOKUP(B114,'014-22-cotação'!$A$9:$J$138,10,0),IF(A114="AUX",VLOOKUP('014-22-CCU''s'!B114,'014-22-CCU''s AUX'!$B$1:$H$130,3,0)))))</f>
        <v>SER.CG</v>
      </c>
      <c r="E114" s="549" t="str">
        <f>IF(A114="SERVIÇO",VLOOKUP(B114,SERVIÇOS!$A$6:$D$7697,3,0),IF(A114="INSUMO",VLOOKUP(B114,INSUMOS!$A$6:$D$4845,3,0),IF(A114="COTAÇÃO",VLOOKUP(B114,'014-22-cotação'!$A$9:$I$138,4,0),IF(A114="AUX",VLOOKUP('014-22-CCU''s'!B114,'014-22-CCU''s AUX'!$B$1:$H$130,4,0)))))</f>
        <v>M</v>
      </c>
      <c r="F114" s="176">
        <v>0.53690000000000004</v>
      </c>
      <c r="G114" s="550">
        <f>IF(A114="SERVIÇO",VLOOKUP(B114,SERVIÇOS!$A$6:$D$7697,4,0),IF(A114="INSUMO",VLOOKUP(B114,INSUMOS!$A$6:$D$4845,4,0),IF(A114="COTAÇÃO",VLOOKUP(B114,'014-22-cotação'!$A$9:$I$138,3,0),IF(A114="AUX",VLOOKUP('014-22-CCU''s'!B114,'014-22-CCU''s AUX'!$B$1:$H$130,7,0)))))</f>
        <v>14.04</v>
      </c>
      <c r="H114" s="561">
        <f t="shared" si="9"/>
        <v>7.53</v>
      </c>
      <c r="I114" s="213">
        <v>91870</v>
      </c>
      <c r="S114" s="331"/>
      <c r="T114" s="342"/>
    </row>
    <row r="115" spans="1:20" s="213" customFormat="1" ht="51" x14ac:dyDescent="0.25">
      <c r="A115" s="398" t="s">
        <v>1120</v>
      </c>
      <c r="B115" s="208">
        <v>91911</v>
      </c>
      <c r="C115" s="548" t="str">
        <f>IF(A115="SERVIÇO",VLOOKUP(B115,SERVIÇOS!$A$6:$D$7697,2,0),IF(A115="INSUMO",VLOOKUP(B115,INSUMOS!$A$6:$D$4845,2,0),IF(A115="COTAÇÃO",VLOOKUP(B115,'014-22-cotação'!$A$9:$I$138,2,0),IF(A115="AUX",VLOOKUP('014-22-CCU''s'!B115,'014-22-CCU''s AUX'!$B$1:$H$130,2,0)))))</f>
        <v>CURVA 90 GRAUS PARA ELETRODUTO, PVC, ROSCÁVEL, DN 20 MM (1/2"), PARA CIRCUITOS TERMINAIS, INSTALADA EM PAREDE - FORNECIMENTO E INSTALAÇÃO. AF_03/2023</v>
      </c>
      <c r="D115" s="549" t="str">
        <f>IF(A115="SERVIÇO",VLOOKUP(B115,SERVIÇOS!$A$6:$E$7697,5,0),IF(A115="INSUMO",VLOOKUP(B115,INSUMOS!$A$6:$E$4845,5,0),IF(A115="COTAÇÃO",VLOOKUP(B115,'014-22-cotação'!$A$9:$J$138,10,0),IF(A115="AUX",VLOOKUP('014-22-CCU''s'!B115,'014-22-CCU''s AUX'!$B$1:$H$130,3,0)))))</f>
        <v>SER.CG</v>
      </c>
      <c r="E115" s="549" t="str">
        <f>IF(A115="SERVIÇO",VLOOKUP(B115,SERVIÇOS!$A$6:$D$7697,3,0),IF(A115="INSUMO",VLOOKUP(B115,INSUMOS!$A$6:$D$4845,3,0),IF(A115="COTAÇÃO",VLOOKUP(B115,'014-22-cotação'!$A$9:$I$138,4,0),IF(A115="AUX",VLOOKUP('014-22-CCU''s'!B115,'014-22-CCU''s AUX'!$B$1:$H$130,4,0)))))</f>
        <v>UN</v>
      </c>
      <c r="F115" s="176">
        <v>0.1074</v>
      </c>
      <c r="G115" s="550">
        <f>IF(A115="SERVIÇO",VLOOKUP(B115,SERVIÇOS!$A$6:$D$7697,4,0),IF(A115="INSUMO",VLOOKUP(B115,INSUMOS!$A$6:$D$4845,4,0),IF(A115="COTAÇÃO",VLOOKUP(B115,'014-22-cotação'!$A$9:$I$138,3,0),IF(A115="AUX",VLOOKUP('014-22-CCU''s'!B115,'014-22-CCU''s AUX'!$B$1:$H$130,7,0)))))</f>
        <v>18.260000000000002</v>
      </c>
      <c r="H115" s="561">
        <f t="shared" si="9"/>
        <v>1.96</v>
      </c>
      <c r="I115" s="213">
        <v>91911</v>
      </c>
      <c r="S115" s="331"/>
      <c r="T115" s="342"/>
    </row>
    <row r="116" spans="1:20" s="213" customFormat="1" ht="51" x14ac:dyDescent="0.25">
      <c r="A116" s="398" t="s">
        <v>1120</v>
      </c>
      <c r="B116" s="208">
        <v>91924</v>
      </c>
      <c r="C116" s="548" t="str">
        <f>IF(A116="SERVIÇO",VLOOKUP(B116,SERVIÇOS!$A$6:$D$7697,2,0),IF(A116="INSUMO",VLOOKUP(B116,INSUMOS!$A$6:$D$4845,2,0),IF(A116="COTAÇÃO",VLOOKUP(B116,'014-22-cotação'!$A$9:$I$138,2,0),IF(A116="AUX",VLOOKUP('014-22-CCU''s'!B116,'014-22-CCU''s AUX'!$B$1:$H$130,2,0)))))</f>
        <v>CABO DE COBRE FLEXÍVEL ISOLADO, 1,5 MM², ANTI-CHAMA 450/750 V, PARA CIRCUITOS TERMINAIS - FORNECIMENTO E INSTALAÇÃO. AF_03/2023</v>
      </c>
      <c r="D116" s="549" t="str">
        <f>IF(A116="SERVIÇO",VLOOKUP(B116,SERVIÇOS!$A$6:$E$7697,5,0),IF(A116="INSUMO",VLOOKUP(B116,INSUMOS!$A$6:$E$4845,5,0),IF(A116="COTAÇÃO",VLOOKUP(B116,'014-22-cotação'!$A$9:$J$138,10,0),IF(A116="AUX",VLOOKUP('014-22-CCU''s'!B116,'014-22-CCU''s AUX'!$B$1:$H$130,3,0)))))</f>
        <v>SER.CG</v>
      </c>
      <c r="E116" s="549" t="str">
        <f>IF(A116="SERVIÇO",VLOOKUP(B116,SERVIÇOS!$A$6:$D$7697,3,0),IF(A116="INSUMO",VLOOKUP(B116,INSUMOS!$A$6:$D$4845,3,0),IF(A116="COTAÇÃO",VLOOKUP(B116,'014-22-cotação'!$A$9:$I$138,4,0),IF(A116="AUX",VLOOKUP('014-22-CCU''s'!B116,'014-22-CCU''s AUX'!$B$1:$H$130,4,0)))))</f>
        <v>M</v>
      </c>
      <c r="F116" s="176">
        <v>0.85909999999999997</v>
      </c>
      <c r="G116" s="550">
        <f>IF(A116="SERVIÇO",VLOOKUP(B116,SERVIÇOS!$A$6:$D$7697,4,0),IF(A116="INSUMO",VLOOKUP(B116,INSUMOS!$A$6:$D$4845,4,0),IF(A116="COTAÇÃO",VLOOKUP(B116,'014-22-cotação'!$A$9:$I$138,3,0),IF(A116="AUX",VLOOKUP('014-22-CCU''s'!B116,'014-22-CCU''s AUX'!$B$1:$H$130,7,0)))))</f>
        <v>3.18</v>
      </c>
      <c r="H116" s="561">
        <f t="shared" si="9"/>
        <v>2.73</v>
      </c>
      <c r="I116" s="213">
        <v>91924</v>
      </c>
      <c r="S116" s="331"/>
      <c r="T116" s="342"/>
    </row>
    <row r="117" spans="1:20" s="213" customFormat="1" ht="51" x14ac:dyDescent="0.25">
      <c r="A117" s="398" t="s">
        <v>1120</v>
      </c>
      <c r="B117" s="208">
        <v>91926</v>
      </c>
      <c r="C117" s="548" t="str">
        <f>IF(A117="SERVIÇO",VLOOKUP(B117,SERVIÇOS!$A$6:$D$7697,2,0),IF(A117="INSUMO",VLOOKUP(B117,INSUMOS!$A$6:$D$4845,2,0),IF(A117="COTAÇÃO",VLOOKUP(B117,'014-22-cotação'!$A$9:$I$138,2,0),IF(A117="AUX",VLOOKUP('014-22-CCU''s'!B117,'014-22-CCU''s AUX'!$B$1:$H$130,2,0)))))</f>
        <v>CABO DE COBRE FLEXÍVEL ISOLADO, 2,5 MM², ANTI-CHAMA 450/750 V, PARA CIRCUITOS TERMINAIS - FORNECIMENTO E INSTALAÇÃO. AF_03/2023</v>
      </c>
      <c r="D117" s="549" t="str">
        <f>IF(A117="SERVIÇO",VLOOKUP(B117,SERVIÇOS!$A$6:$E$7697,5,0),IF(A117="INSUMO",VLOOKUP(B117,INSUMOS!$A$6:$E$4845,5,0),IF(A117="COTAÇÃO",VLOOKUP(B117,'014-22-cotação'!$A$9:$J$138,10,0),IF(A117="AUX",VLOOKUP('014-22-CCU''s'!B117,'014-22-CCU''s AUX'!$B$1:$H$130,3,0)))))</f>
        <v>SER.CG</v>
      </c>
      <c r="E117" s="549" t="str">
        <f>IF(A117="SERVIÇO",VLOOKUP(B117,SERVIÇOS!$A$6:$D$7697,3,0),IF(A117="INSUMO",VLOOKUP(B117,INSUMOS!$A$6:$D$4845,3,0),IF(A117="COTAÇÃO",VLOOKUP(B117,'014-22-cotação'!$A$9:$I$138,4,0),IF(A117="AUX",VLOOKUP('014-22-CCU''s'!B117,'014-22-CCU''s AUX'!$B$1:$H$130,4,0)))))</f>
        <v>M</v>
      </c>
      <c r="F117" s="176">
        <v>2.5503</v>
      </c>
      <c r="G117" s="550">
        <f>IF(A117="SERVIÇO",VLOOKUP(B117,SERVIÇOS!$A$6:$D$7697,4,0),IF(A117="INSUMO",VLOOKUP(B117,INSUMOS!$A$6:$D$4845,4,0),IF(A117="COTAÇÃO",VLOOKUP(B117,'014-22-cotação'!$A$9:$I$138,3,0),IF(A117="AUX",VLOOKUP('014-22-CCU''s'!B117,'014-22-CCU''s AUX'!$B$1:$H$130,7,0)))))</f>
        <v>4.62</v>
      </c>
      <c r="H117" s="561">
        <f t="shared" si="9"/>
        <v>11.78</v>
      </c>
      <c r="I117" s="213">
        <v>91926</v>
      </c>
      <c r="S117" s="331"/>
      <c r="T117" s="342"/>
    </row>
    <row r="118" spans="1:20" s="213" customFormat="1" ht="38.25" x14ac:dyDescent="0.25">
      <c r="A118" s="398" t="s">
        <v>1120</v>
      </c>
      <c r="B118" s="208">
        <v>91937</v>
      </c>
      <c r="C118" s="548" t="str">
        <f>IF(A118="SERVIÇO",VLOOKUP(B118,SERVIÇOS!$A$6:$D$7697,2,0),IF(A118="INSUMO",VLOOKUP(B118,INSUMOS!$A$6:$D$4845,2,0),IF(A118="COTAÇÃO",VLOOKUP(B118,'014-22-cotação'!$A$9:$I$138,2,0),IF(A118="AUX",VLOOKUP('014-22-CCU''s'!B118,'014-22-CCU''s AUX'!$B$1:$H$130,2,0)))))</f>
        <v>CAIXA OCTOGONAL 3" X 3", PVC, INSTALADA EM LAJE - FORNECIMENTO E INSTALAÇÃO. AF_03/2023</v>
      </c>
      <c r="D118" s="549" t="str">
        <f>IF(A118="SERVIÇO",VLOOKUP(B118,SERVIÇOS!$A$6:$E$7697,5,0),IF(A118="INSUMO",VLOOKUP(B118,INSUMOS!$A$6:$E$4845,5,0),IF(A118="COTAÇÃO",VLOOKUP(B118,'014-22-cotação'!$A$9:$J$138,10,0),IF(A118="AUX",VLOOKUP('014-22-CCU''s'!B118,'014-22-CCU''s AUX'!$B$1:$H$130,3,0)))))</f>
        <v>SER.CG</v>
      </c>
      <c r="E118" s="549" t="str">
        <f>IF(A118="SERVIÇO",VLOOKUP(B118,SERVIÇOS!$A$6:$D$7697,3,0),IF(A118="INSUMO",VLOOKUP(B118,INSUMOS!$A$6:$D$4845,3,0),IF(A118="COTAÇÃO",VLOOKUP(B118,'014-22-cotação'!$A$9:$I$138,4,0),IF(A118="AUX",VLOOKUP('014-22-CCU''s'!B118,'014-22-CCU''s AUX'!$B$1:$H$130,4,0)))))</f>
        <v>UN</v>
      </c>
      <c r="F118" s="176">
        <v>0.16109999999999999</v>
      </c>
      <c r="G118" s="550">
        <f>IF(A118="SERVIÇO",VLOOKUP(B118,SERVIÇOS!$A$6:$D$7697,4,0),IF(A118="INSUMO",VLOOKUP(B118,INSUMOS!$A$6:$D$4845,4,0),IF(A118="COTAÇÃO",VLOOKUP(B118,'014-22-cotação'!$A$9:$I$138,3,0),IF(A118="AUX",VLOOKUP('014-22-CCU''s'!B118,'014-22-CCU''s AUX'!$B$1:$H$130,7,0)))))</f>
        <v>17.149999999999999</v>
      </c>
      <c r="H118" s="561">
        <f t="shared" si="9"/>
        <v>2.76</v>
      </c>
      <c r="I118" s="213">
        <v>91937</v>
      </c>
      <c r="S118" s="331"/>
      <c r="T118" s="342"/>
    </row>
    <row r="119" spans="1:20" s="213" customFormat="1" ht="38.25" x14ac:dyDescent="0.25">
      <c r="A119" s="398" t="s">
        <v>1120</v>
      </c>
      <c r="B119" s="208">
        <v>92000</v>
      </c>
      <c r="C119" s="548" t="str">
        <f>IF(A119="SERVIÇO",VLOOKUP(B119,SERVIÇOS!$A$6:$D$7697,2,0),IF(A119="INSUMO",VLOOKUP(B119,INSUMOS!$A$6:$D$4845,2,0),IF(A119="COTAÇÃO",VLOOKUP(B119,'014-22-cotação'!$A$9:$I$138,2,0),IF(A119="AUX",VLOOKUP('014-22-CCU''s'!B119,'014-22-CCU''s AUX'!$B$1:$H$130,2,0)))))</f>
        <v>TOMADA BAIXA DE EMBUTIR (1 MÓDULO), 2P+T 10 A, INCLUINDO SUPORTE E PLACA - FORNECIMENTO E INSTALAÇÃO. AF_03/2023</v>
      </c>
      <c r="D119" s="549" t="str">
        <f>IF(A119="SERVIÇO",VLOOKUP(B119,SERVIÇOS!$A$6:$E$7697,5,0),IF(A119="INSUMO",VLOOKUP(B119,INSUMOS!$A$6:$E$4845,5,0),IF(A119="COTAÇÃO",VLOOKUP(B119,'014-22-cotação'!$A$9:$J$138,10,0),IF(A119="AUX",VLOOKUP('014-22-CCU''s'!B119,'014-22-CCU''s AUX'!$B$1:$H$130,3,0)))))</f>
        <v>SER.CG</v>
      </c>
      <c r="E119" s="549" t="str">
        <f>IF(A119="SERVIÇO",VLOOKUP(B119,SERVIÇOS!$A$6:$D$7697,3,0),IF(A119="INSUMO",VLOOKUP(B119,INSUMOS!$A$6:$D$4845,3,0),IF(A119="COTAÇÃO",VLOOKUP(B119,'014-22-cotação'!$A$9:$I$138,4,0),IF(A119="AUX",VLOOKUP('014-22-CCU''s'!B119,'014-22-CCU''s AUX'!$B$1:$H$130,4,0)))))</f>
        <v>UN</v>
      </c>
      <c r="F119" s="176">
        <v>2.6800000000000001E-2</v>
      </c>
      <c r="G119" s="550">
        <f>IF(A119="SERVIÇO",VLOOKUP(B119,SERVIÇOS!$A$6:$D$7697,4,0),IF(A119="INSUMO",VLOOKUP(B119,INSUMOS!$A$6:$D$4845,4,0),IF(A119="COTAÇÃO",VLOOKUP(B119,'014-22-cotação'!$A$9:$I$138,3,0),IF(A119="AUX",VLOOKUP('014-22-CCU''s'!B119,'014-22-CCU''s AUX'!$B$1:$H$130,7,0)))))</f>
        <v>36.619999999999997</v>
      </c>
      <c r="H119" s="561">
        <f t="shared" si="9"/>
        <v>0.98</v>
      </c>
      <c r="I119" s="213">
        <v>92000</v>
      </c>
      <c r="S119" s="331"/>
      <c r="T119" s="342"/>
    </row>
    <row r="120" spans="1:20" s="213" customFormat="1" ht="38.25" x14ac:dyDescent="0.25">
      <c r="A120" s="398" t="s">
        <v>1120</v>
      </c>
      <c r="B120" s="208">
        <v>92008</v>
      </c>
      <c r="C120" s="548" t="str">
        <f>IF(A120="SERVIÇO",VLOOKUP(B120,SERVIÇOS!$A$6:$D$7697,2,0),IF(A120="INSUMO",VLOOKUP(B120,INSUMOS!$A$6:$D$4845,2,0),IF(A120="COTAÇÃO",VLOOKUP(B120,'014-22-cotação'!$A$9:$I$138,2,0),IF(A120="AUX",VLOOKUP('014-22-CCU''s'!B120,'014-22-CCU''s AUX'!$B$1:$H$130,2,0)))))</f>
        <v>TOMADA BAIXA DE EMBUTIR (2 MÓDULOS), 2P+T 10 A, INCLUINDO SUPORTE E PLACA - FORNECIMENTO E INSTALAÇÃO. AF_03/2023</v>
      </c>
      <c r="D120" s="549" t="str">
        <f>IF(A120="SERVIÇO",VLOOKUP(B120,SERVIÇOS!$A$6:$E$7697,5,0),IF(A120="INSUMO",VLOOKUP(B120,INSUMOS!$A$6:$E$4845,5,0),IF(A120="COTAÇÃO",VLOOKUP(B120,'014-22-cotação'!$A$9:$J$138,10,0),IF(A120="AUX",VLOOKUP('014-22-CCU''s'!B120,'014-22-CCU''s AUX'!$B$1:$H$130,3,0)))))</f>
        <v>SER.CG</v>
      </c>
      <c r="E120" s="549" t="str">
        <f>IF(A120="SERVIÇO",VLOOKUP(B120,SERVIÇOS!$A$6:$D$7697,3,0),IF(A120="INSUMO",VLOOKUP(B120,INSUMOS!$A$6:$D$4845,3,0),IF(A120="COTAÇÃO",VLOOKUP(B120,'014-22-cotação'!$A$9:$I$138,4,0),IF(A120="AUX",VLOOKUP('014-22-CCU''s'!B120,'014-22-CCU''s AUX'!$B$1:$H$130,4,0)))))</f>
        <v>UN</v>
      </c>
      <c r="F120" s="176">
        <v>0.13420000000000001</v>
      </c>
      <c r="G120" s="550">
        <f>IF(A120="SERVIÇO",VLOOKUP(B120,SERVIÇOS!$A$6:$D$7697,4,0),IF(A120="INSUMO",VLOOKUP(B120,INSUMOS!$A$6:$D$4845,4,0),IF(A120="COTAÇÃO",VLOOKUP(B120,'014-22-cotação'!$A$9:$I$138,3,0),IF(A120="AUX",VLOOKUP('014-22-CCU''s'!B120,'014-22-CCU''s AUX'!$B$1:$H$130,7,0)))))</f>
        <v>56.79</v>
      </c>
      <c r="H120" s="561">
        <f t="shared" si="9"/>
        <v>7.62</v>
      </c>
      <c r="I120" s="213">
        <v>92008</v>
      </c>
      <c r="S120" s="331"/>
      <c r="T120" s="342"/>
    </row>
    <row r="121" spans="1:20" s="213" customFormat="1" ht="51" x14ac:dyDescent="0.25">
      <c r="A121" s="398" t="s">
        <v>1120</v>
      </c>
      <c r="B121" s="208">
        <v>92023</v>
      </c>
      <c r="C121" s="548" t="str">
        <f>IF(A121="SERVIÇO",VLOOKUP(B121,SERVIÇOS!$A$6:$D$7697,2,0),IF(A121="INSUMO",VLOOKUP(B121,INSUMOS!$A$6:$D$4845,2,0),IF(A121="COTAÇÃO",VLOOKUP(B121,'014-22-cotação'!$A$9:$I$138,2,0),IF(A121="AUX",VLOOKUP('014-22-CCU''s'!B121,'014-22-CCU''s AUX'!$B$1:$H$130,2,0)))))</f>
        <v>INTERRUPTOR SIMPLES (1 MÓDULO) COM 1 TOMADA DE EMBUTIR 2P+T 10 A, INCLUINDO SUPORTE E PLACA - FORNECIMENTO E INSTALAÇÃO. AF_03/2023</v>
      </c>
      <c r="D121" s="549" t="str">
        <f>IF(A121="SERVIÇO",VLOOKUP(B121,SERVIÇOS!$A$6:$E$7697,5,0),IF(A121="INSUMO",VLOOKUP(B121,INSUMOS!$A$6:$E$4845,5,0),IF(A121="COTAÇÃO",VLOOKUP(B121,'014-22-cotação'!$A$9:$J$138,10,0),IF(A121="AUX",VLOOKUP('014-22-CCU''s'!B121,'014-22-CCU''s AUX'!$B$1:$H$130,3,0)))))</f>
        <v>SER.CG</v>
      </c>
      <c r="E121" s="549" t="str">
        <f>IF(A121="SERVIÇO",VLOOKUP(B121,SERVIÇOS!$A$6:$D$7697,3,0),IF(A121="INSUMO",VLOOKUP(B121,INSUMOS!$A$6:$D$4845,3,0),IF(A121="COTAÇÃO",VLOOKUP(B121,'014-22-cotação'!$A$9:$I$138,4,0),IF(A121="AUX",VLOOKUP('014-22-CCU''s'!B121,'014-22-CCU''s AUX'!$B$1:$H$130,4,0)))))</f>
        <v>UN</v>
      </c>
      <c r="F121" s="176">
        <v>2.6800000000000001E-2</v>
      </c>
      <c r="G121" s="550">
        <f>IF(A121="SERVIÇO",VLOOKUP(B121,SERVIÇOS!$A$6:$D$7697,4,0),IF(A121="INSUMO",VLOOKUP(B121,INSUMOS!$A$6:$D$4845,4,0),IF(A121="COTAÇÃO",VLOOKUP(B121,'014-22-cotação'!$A$9:$I$138,3,0),IF(A121="AUX",VLOOKUP('014-22-CCU''s'!B121,'014-22-CCU''s AUX'!$B$1:$H$130,7,0)))))</f>
        <v>59.21</v>
      </c>
      <c r="H121" s="561">
        <f t="shared" si="9"/>
        <v>1.58</v>
      </c>
      <c r="I121" s="213">
        <v>92023</v>
      </c>
      <c r="S121" s="331"/>
      <c r="T121" s="342"/>
    </row>
    <row r="122" spans="1:20" s="213" customFormat="1" ht="63.75" x14ac:dyDescent="0.25">
      <c r="A122" s="398" t="s">
        <v>1120</v>
      </c>
      <c r="B122" s="208">
        <v>92543</v>
      </c>
      <c r="C122" s="548" t="str">
        <f>IF(A122="SERVIÇO",VLOOKUP(B122,SERVIÇOS!$A$6:$D$7697,2,0),IF(A122="INSUMO",VLOOKUP(B122,INSUMOS!$A$6:$D$4845,2,0),IF(A122="COTAÇÃO",VLOOKUP(B122,'014-22-cotação'!$A$9:$I$138,2,0),IF(A122="AUX",VLOOKUP('014-22-CCU''s'!B122,'014-22-CCU''s AUX'!$B$1:$H$130,2,0)))))</f>
        <v>TRAMA DE MADEIRA COMPOSTA POR TERÇAS PARA TELHADOS DE ATÉ 2 ÁGUAS PARA TELHA ONDULADA DE FIBROCIMENTO, METÁLICA, PLÁSTICA OU TERMOACÚSTICA, INCLUSO TRANSPORTE VERTICAL. AF_07/2019</v>
      </c>
      <c r="D122" s="549" t="str">
        <f>IF(A122="SERVIÇO",VLOOKUP(B122,SERVIÇOS!$A$6:$E$7697,5,0),IF(A122="INSUMO",VLOOKUP(B122,INSUMOS!$A$6:$E$4845,5,0),IF(A122="COTAÇÃO",VLOOKUP(B122,'014-22-cotação'!$A$9:$J$138,10,0),IF(A122="AUX",VLOOKUP('014-22-CCU''s'!B122,'014-22-CCU''s AUX'!$B$1:$H$130,3,0)))))</f>
        <v>SER.CG</v>
      </c>
      <c r="E122" s="549" t="str">
        <f>IF(A122="SERVIÇO",VLOOKUP(B122,SERVIÇOS!$A$6:$D$7697,3,0),IF(A122="INSUMO",VLOOKUP(B122,INSUMOS!$A$6:$D$4845,3,0),IF(A122="COTAÇÃO",VLOOKUP(B122,'014-22-cotação'!$A$9:$I$138,4,0),IF(A122="AUX",VLOOKUP('014-22-CCU''s'!B122,'014-22-CCU''s AUX'!$B$1:$H$130,4,0)))))</f>
        <v>M2</v>
      </c>
      <c r="F122" s="176">
        <v>1.4510000000000001</v>
      </c>
      <c r="G122" s="550">
        <f>IF(A122="SERVIÇO",VLOOKUP(B122,SERVIÇOS!$A$6:$D$7697,4,0),IF(A122="INSUMO",VLOOKUP(B122,INSUMOS!$A$6:$D$4845,4,0),IF(A122="COTAÇÃO",VLOOKUP(B122,'014-22-cotação'!$A$9:$I$138,3,0),IF(A122="AUX",VLOOKUP('014-22-CCU''s'!B122,'014-22-CCU''s AUX'!$B$1:$H$130,7,0)))))</f>
        <v>25.39</v>
      </c>
      <c r="H122" s="561">
        <f t="shared" si="9"/>
        <v>36.840000000000003</v>
      </c>
      <c r="I122" s="213">
        <v>92543</v>
      </c>
      <c r="S122" s="331"/>
      <c r="T122" s="342"/>
    </row>
    <row r="123" spans="1:20" s="213" customFormat="1" ht="38.25" x14ac:dyDescent="0.25">
      <c r="A123" s="398" t="s">
        <v>1120</v>
      </c>
      <c r="B123" s="208">
        <v>93358</v>
      </c>
      <c r="C123" s="548" t="str">
        <f>IF(A123="SERVIÇO",VLOOKUP(B123,SERVIÇOS!$A$6:$D$7697,2,0),IF(A123="INSUMO",VLOOKUP(B123,INSUMOS!$A$6:$D$4845,2,0),IF(A123="COTAÇÃO",VLOOKUP(B123,'014-22-cotação'!$A$9:$I$138,2,0),IF(A123="AUX",VLOOKUP('014-22-CCU''s'!B123,'014-22-CCU''s AUX'!$B$1:$H$130,2,0)))))</f>
        <v>ESCAVAÇÃO MANUAL DE VALA COM PROFUNDIDADE MENOR OU IGUAL A 1,30 M. AF_02/2021</v>
      </c>
      <c r="D123" s="549" t="str">
        <f>IF(A123="SERVIÇO",VLOOKUP(B123,SERVIÇOS!$A$6:$E$7697,5,0),IF(A123="INSUMO",VLOOKUP(B123,INSUMOS!$A$6:$E$4845,5,0),IF(A123="COTAÇÃO",VLOOKUP(B123,'014-22-cotação'!$A$9:$J$138,10,0),IF(A123="AUX",VLOOKUP('014-22-CCU''s'!B123,'014-22-CCU''s AUX'!$B$1:$H$130,3,0)))))</f>
        <v>SER.CG</v>
      </c>
      <c r="E123" s="549" t="str">
        <f>IF(A123="SERVIÇO",VLOOKUP(B123,SERVIÇOS!$A$6:$D$7697,3,0),IF(A123="INSUMO",VLOOKUP(B123,INSUMOS!$A$6:$D$4845,3,0),IF(A123="COTAÇÃO",VLOOKUP(B123,'014-22-cotação'!$A$9:$I$138,4,0),IF(A123="AUX",VLOOKUP('014-22-CCU''s'!B123,'014-22-CCU''s AUX'!$B$1:$H$130,4,0)))))</f>
        <v>M3</v>
      </c>
      <c r="F123" s="176">
        <v>3.9E-2</v>
      </c>
      <c r="G123" s="550">
        <f>IF(A123="SERVIÇO",VLOOKUP(B123,SERVIÇOS!$A$6:$D$7697,4,0),IF(A123="INSUMO",VLOOKUP(B123,INSUMOS!$A$6:$D$4845,4,0),IF(A123="COTAÇÃO",VLOOKUP(B123,'014-22-cotação'!$A$9:$I$138,3,0),IF(A123="AUX",VLOOKUP('014-22-CCU''s'!B123,'014-22-CCU''s AUX'!$B$1:$H$130,7,0)))))</f>
        <v>92.57</v>
      </c>
      <c r="H123" s="561">
        <f t="shared" si="9"/>
        <v>3.61</v>
      </c>
      <c r="I123" s="213">
        <v>93358</v>
      </c>
      <c r="S123" s="331"/>
      <c r="T123" s="342"/>
    </row>
    <row r="124" spans="1:20" s="213" customFormat="1" ht="38.25" x14ac:dyDescent="0.25">
      <c r="A124" s="398" t="s">
        <v>1120</v>
      </c>
      <c r="B124" s="208">
        <v>93382</v>
      </c>
      <c r="C124" s="548" t="str">
        <f>IF(A124="SERVIÇO",VLOOKUP(B124,SERVIÇOS!$A$6:$D$7697,2,0),IF(A124="INSUMO",VLOOKUP(B124,INSUMOS!$A$6:$D$4845,2,0),IF(A124="COTAÇÃO",VLOOKUP(B124,'014-22-cotação'!$A$9:$I$138,2,0),IF(A124="AUX",VLOOKUP('014-22-CCU''s'!B124,'014-22-CCU''s AUX'!$B$1:$H$130,2,0)))))</f>
        <v>REATERRO MANUAL DE VALAS, COM COMPACTADOR DE SOLOS DE PERCUSSÃO. AF_08/2023</v>
      </c>
      <c r="D124" s="549" t="str">
        <f>IF(A124="SERVIÇO",VLOOKUP(B124,SERVIÇOS!$A$6:$E$7697,5,0),IF(A124="INSUMO",VLOOKUP(B124,INSUMOS!$A$6:$E$4845,5,0),IF(A124="COTAÇÃO",VLOOKUP(B124,'014-22-cotação'!$A$9:$J$138,10,0),IF(A124="AUX",VLOOKUP('014-22-CCU''s'!B124,'014-22-CCU''s AUX'!$B$1:$H$130,3,0)))))</f>
        <v>SER.CG</v>
      </c>
      <c r="E124" s="549" t="str">
        <f>IF(A124="SERVIÇO",VLOOKUP(B124,SERVIÇOS!$A$6:$D$7697,3,0),IF(A124="INSUMO",VLOOKUP(B124,INSUMOS!$A$6:$D$4845,3,0),IF(A124="COTAÇÃO",VLOOKUP(B124,'014-22-cotação'!$A$9:$I$138,4,0),IF(A124="AUX",VLOOKUP('014-22-CCU''s'!B124,'014-22-CCU''s AUX'!$B$1:$H$130,4,0)))))</f>
        <v>M3</v>
      </c>
      <c r="F124" s="176">
        <v>0.01</v>
      </c>
      <c r="G124" s="550">
        <f>IF(A124="SERVIÇO",VLOOKUP(B124,SERVIÇOS!$A$6:$D$7697,4,0),IF(A124="INSUMO",VLOOKUP(B124,INSUMOS!$A$6:$D$4845,4,0),IF(A124="COTAÇÃO",VLOOKUP(B124,'014-22-cotação'!$A$9:$I$138,3,0),IF(A124="AUX",VLOOKUP('014-22-CCU''s'!B124,'014-22-CCU''s AUX'!$B$1:$H$130,7,0)))))</f>
        <v>26.75</v>
      </c>
      <c r="H124" s="561">
        <f t="shared" si="9"/>
        <v>0.26</v>
      </c>
      <c r="I124" s="213">
        <v>93382</v>
      </c>
      <c r="S124" s="331"/>
      <c r="T124" s="342"/>
    </row>
    <row r="125" spans="1:20" s="213" customFormat="1" ht="76.5" x14ac:dyDescent="0.25">
      <c r="A125" s="398" t="s">
        <v>1120</v>
      </c>
      <c r="B125" s="208">
        <v>94210</v>
      </c>
      <c r="C125" s="548" t="str">
        <f>IF(A125="SERVIÇO",VLOOKUP(B125,SERVIÇOS!$A$6:$D$7697,2,0),IF(A125="INSUMO",VLOOKUP(B125,INSUMOS!$A$6:$D$4845,2,0),IF(A125="COTAÇÃO",VLOOKUP(B125,'014-22-cotação'!$A$9:$I$138,2,0),IF(A125="AUX",VLOOKUP('014-22-CCU''s'!B125,'014-22-CCU''s AUX'!$B$1:$H$130,2,0)))))</f>
        <v>TELHAMENTO COM TELHA ONDULADA DE FIBROCIMENTO E = 6 MM, COM RECOBRIMENTO LATERAL DE 1 1/4 DE ONDA PARA TELHADO COM INCLINAÇÃO MÁXIMA DE 10°, COM ATÉ 2 ÁGUAS, INCLUSO IÇAMENTO. AF_07/2019</v>
      </c>
      <c r="D125" s="549" t="str">
        <f>IF(A125="SERVIÇO",VLOOKUP(B125,SERVIÇOS!$A$6:$E$7697,5,0),IF(A125="INSUMO",VLOOKUP(B125,INSUMOS!$A$6:$E$4845,5,0),IF(A125="COTAÇÃO",VLOOKUP(B125,'014-22-cotação'!$A$9:$J$138,10,0),IF(A125="AUX",VLOOKUP('014-22-CCU''s'!B125,'014-22-CCU''s AUX'!$B$1:$H$130,3,0)))))</f>
        <v>SER.CG</v>
      </c>
      <c r="E125" s="549" t="str">
        <f>IF(A125="SERVIÇO",VLOOKUP(B125,SERVIÇOS!$A$6:$D$7697,3,0),IF(A125="INSUMO",VLOOKUP(B125,INSUMOS!$A$6:$D$4845,3,0),IF(A125="COTAÇÃO",VLOOKUP(B125,'014-22-cotação'!$A$9:$I$138,4,0),IF(A125="AUX",VLOOKUP('014-22-CCU''s'!B125,'014-22-CCU''s AUX'!$B$1:$H$130,4,0)))))</f>
        <v>M2</v>
      </c>
      <c r="F125" s="176">
        <v>1.4510000000000001</v>
      </c>
      <c r="G125" s="550">
        <f>IF(A125="SERVIÇO",VLOOKUP(B125,SERVIÇOS!$A$6:$D$7697,4,0),IF(A125="INSUMO",VLOOKUP(B125,INSUMOS!$A$6:$D$4845,4,0),IF(A125="COTAÇÃO",VLOOKUP(B125,'014-22-cotação'!$A$9:$I$138,3,0),IF(A125="AUX",VLOOKUP('014-22-CCU''s'!B125,'014-22-CCU''s AUX'!$B$1:$H$130,7,0)))))</f>
        <v>50.12</v>
      </c>
      <c r="H125" s="561">
        <f t="shared" si="9"/>
        <v>72.72</v>
      </c>
      <c r="I125" s="213">
        <v>94210</v>
      </c>
      <c r="S125" s="331"/>
      <c r="T125" s="342"/>
    </row>
    <row r="126" spans="1:20" s="213" customFormat="1" ht="38.25" x14ac:dyDescent="0.25">
      <c r="A126" s="398" t="s">
        <v>1120</v>
      </c>
      <c r="B126" s="208">
        <v>95240</v>
      </c>
      <c r="C126" s="548" t="str">
        <f>IF(A126="SERVIÇO",VLOOKUP(B126,SERVIÇOS!$A$6:$D$7697,2,0),IF(A126="INSUMO",VLOOKUP(B126,INSUMOS!$A$6:$D$4845,2,0),IF(A126="COTAÇÃO",VLOOKUP(B126,'014-22-cotação'!$A$9:$I$138,2,0),IF(A126="AUX",VLOOKUP('014-22-CCU''s'!B126,'014-22-CCU''s AUX'!$B$1:$H$130,2,0)))))</f>
        <v>LASTRO DE CONCRETO MAGRO, APLICADO EM PISOS, LAJES SOBRE SOLO OU RADIERS, ESPESSURA DE 3 CM. AF_01/2024</v>
      </c>
      <c r="D126" s="549" t="str">
        <f>IF(A126="SERVIÇO",VLOOKUP(B126,SERVIÇOS!$A$6:$E$7697,5,0),IF(A126="INSUMO",VLOOKUP(B126,INSUMOS!$A$6:$E$4845,5,0),IF(A126="COTAÇÃO",VLOOKUP(B126,'014-22-cotação'!$A$9:$J$138,10,0),IF(A126="AUX",VLOOKUP('014-22-CCU''s'!B126,'014-22-CCU''s AUX'!$B$1:$H$130,3,0)))))</f>
        <v>SER.CG</v>
      </c>
      <c r="E126" s="549" t="str">
        <f>IF(A126="SERVIÇO",VLOOKUP(B126,SERVIÇOS!$A$6:$D$7697,3,0),IF(A126="INSUMO",VLOOKUP(B126,INSUMOS!$A$6:$D$4845,3,0),IF(A126="COTAÇÃO",VLOOKUP(B126,'014-22-cotação'!$A$9:$I$138,4,0),IF(A126="AUX",VLOOKUP('014-22-CCU''s'!B126,'014-22-CCU''s AUX'!$B$1:$H$130,4,0)))))</f>
        <v>M2</v>
      </c>
      <c r="F126" s="176">
        <v>8.9999999999999993E-3</v>
      </c>
      <c r="G126" s="550">
        <f>IF(A126="SERVIÇO",VLOOKUP(B126,SERVIÇOS!$A$6:$D$7697,4,0),IF(A126="INSUMO",VLOOKUP(B126,INSUMOS!$A$6:$D$4845,4,0),IF(A126="COTAÇÃO",VLOOKUP(B126,'014-22-cotação'!$A$9:$I$138,3,0),IF(A126="AUX",VLOOKUP('014-22-CCU''s'!B126,'014-22-CCU''s AUX'!$B$1:$H$130,7,0)))))</f>
        <v>22.85</v>
      </c>
      <c r="H126" s="561">
        <f t="shared" si="9"/>
        <v>0.2</v>
      </c>
      <c r="I126" s="213">
        <v>95240</v>
      </c>
      <c r="S126" s="331"/>
      <c r="T126" s="342"/>
    </row>
    <row r="127" spans="1:20" s="213" customFormat="1" ht="38.25" x14ac:dyDescent="0.25">
      <c r="A127" s="398" t="s">
        <v>1120</v>
      </c>
      <c r="B127" s="208">
        <v>95241</v>
      </c>
      <c r="C127" s="548" t="str">
        <f>IF(A127="SERVIÇO",VLOOKUP(B127,SERVIÇOS!$A$6:$D$7697,2,0),IF(A127="INSUMO",VLOOKUP(B127,INSUMOS!$A$6:$D$4845,2,0),IF(A127="COTAÇÃO",VLOOKUP(B127,'014-22-cotação'!$A$9:$I$138,2,0),IF(A127="AUX",VLOOKUP('014-22-CCU''s'!B127,'014-22-CCU''s AUX'!$B$1:$H$130,2,0)))))</f>
        <v>LASTRO DE CONCRETO MAGRO, APLICADO EM PISOS, LAJES SOBRE SOLO OU RADIERS, ESPESSURA DE 5 CM. AF_01/2024</v>
      </c>
      <c r="D127" s="549" t="str">
        <f>IF(A127="SERVIÇO",VLOOKUP(B127,SERVIÇOS!$A$6:$E$7697,5,0),IF(A127="INSUMO",VLOOKUP(B127,INSUMOS!$A$6:$E$4845,5,0),IF(A127="COTAÇÃO",VLOOKUP(B127,'014-22-cotação'!$A$9:$J$138,10,0),IF(A127="AUX",VLOOKUP('014-22-CCU''s'!B127,'014-22-CCU''s AUX'!$B$1:$H$130,3,0)))))</f>
        <v>SER.CG</v>
      </c>
      <c r="E127" s="549" t="str">
        <f>IF(A127="SERVIÇO",VLOOKUP(B127,SERVIÇOS!$A$6:$D$7697,3,0),IF(A127="INSUMO",VLOOKUP(B127,INSUMOS!$A$6:$D$4845,3,0),IF(A127="COTAÇÃO",VLOOKUP(B127,'014-22-cotação'!$A$9:$I$138,4,0),IF(A127="AUX",VLOOKUP('014-22-CCU''s'!B127,'014-22-CCU''s AUX'!$B$1:$H$130,4,0)))))</f>
        <v>M2</v>
      </c>
      <c r="F127" s="176">
        <v>1.4510000000000001</v>
      </c>
      <c r="G127" s="550">
        <f>IF(A127="SERVIÇO",VLOOKUP(B127,SERVIÇOS!$A$6:$D$7697,4,0),IF(A127="INSUMO",VLOOKUP(B127,INSUMOS!$A$6:$D$4845,4,0),IF(A127="COTAÇÃO",VLOOKUP(B127,'014-22-cotação'!$A$9:$I$138,3,0),IF(A127="AUX",VLOOKUP('014-22-CCU''s'!B127,'014-22-CCU''s AUX'!$B$1:$H$130,7,0)))))</f>
        <v>44.16</v>
      </c>
      <c r="H127" s="561">
        <f t="shared" si="9"/>
        <v>64.069999999999993</v>
      </c>
      <c r="I127" s="213">
        <v>95241</v>
      </c>
      <c r="S127" s="331"/>
      <c r="T127" s="342"/>
    </row>
    <row r="128" spans="1:20" s="213" customFormat="1" ht="51" x14ac:dyDescent="0.25">
      <c r="A128" s="398" t="s">
        <v>1120</v>
      </c>
      <c r="B128" s="208">
        <v>95805</v>
      </c>
      <c r="C128" s="548" t="str">
        <f>IF(A128="SERVIÇO",VLOOKUP(B128,SERVIÇOS!$A$6:$D$7697,2,0),IF(A128="INSUMO",VLOOKUP(B128,INSUMOS!$A$6:$D$4845,2,0),IF(A128="COTAÇÃO",VLOOKUP(B128,'014-22-cotação'!$A$9:$I$138,2,0),IF(A128="AUX",VLOOKUP('014-22-CCU''s'!B128,'014-22-CCU''s AUX'!$B$1:$H$130,2,0)))))</f>
        <v>CONDULETE DE PVC, TIPO B, PARA ELETRODUTO DE PVC SOLDÁVEL DN 25 MM (3/4''), APARENTE - FORNECIMENTO E INSTALAÇÃO. AF_10/2022</v>
      </c>
      <c r="D128" s="549" t="str">
        <f>IF(A128="SERVIÇO",VLOOKUP(B128,SERVIÇOS!$A$6:$E$7697,5,0),IF(A128="INSUMO",VLOOKUP(B128,INSUMOS!$A$6:$E$4845,5,0),IF(A128="COTAÇÃO",VLOOKUP(B128,'014-22-cotação'!$A$9:$J$138,10,0),IF(A128="AUX",VLOOKUP('014-22-CCU''s'!B128,'014-22-CCU''s AUX'!$B$1:$H$130,3,0)))))</f>
        <v>SER.CG</v>
      </c>
      <c r="E128" s="549" t="str">
        <f>IF(A128="SERVIÇO",VLOOKUP(B128,SERVIÇOS!$A$6:$D$7697,3,0),IF(A128="INSUMO",VLOOKUP(B128,INSUMOS!$A$6:$D$4845,3,0),IF(A128="COTAÇÃO",VLOOKUP(B128,'014-22-cotação'!$A$9:$I$138,4,0),IF(A128="AUX",VLOOKUP('014-22-CCU''s'!B128,'014-22-CCU''s AUX'!$B$1:$H$130,4,0)))))</f>
        <v>UN</v>
      </c>
      <c r="F128" s="176">
        <v>0.18790000000000001</v>
      </c>
      <c r="G128" s="550">
        <f>IF(A128="SERVIÇO",VLOOKUP(B128,SERVIÇOS!$A$6:$D$7697,4,0),IF(A128="INSUMO",VLOOKUP(B128,INSUMOS!$A$6:$D$4845,4,0),IF(A128="COTAÇÃO",VLOOKUP(B128,'014-22-cotação'!$A$9:$I$138,3,0),IF(A128="AUX",VLOOKUP('014-22-CCU''s'!B128,'014-22-CCU''s AUX'!$B$1:$H$130,7,0)))))</f>
        <v>25.24</v>
      </c>
      <c r="H128" s="561">
        <f t="shared" si="9"/>
        <v>4.74</v>
      </c>
      <c r="I128" s="213">
        <v>95805</v>
      </c>
      <c r="S128" s="331"/>
      <c r="T128" s="342"/>
    </row>
    <row r="129" spans="1:20" s="213" customFormat="1" ht="51" x14ac:dyDescent="0.25">
      <c r="A129" s="398" t="s">
        <v>1120</v>
      </c>
      <c r="B129" s="208">
        <v>95811</v>
      </c>
      <c r="C129" s="548" t="str">
        <f>IF(A129="SERVIÇO",VLOOKUP(B129,SERVIÇOS!$A$6:$D$7697,2,0),IF(A129="INSUMO",VLOOKUP(B129,INSUMOS!$A$6:$D$4845,2,0),IF(A129="COTAÇÃO",VLOOKUP(B129,'014-22-cotação'!$A$9:$I$138,2,0),IF(A129="AUX",VLOOKUP('014-22-CCU''s'!B129,'014-22-CCU''s AUX'!$B$1:$H$130,2,0)))))</f>
        <v>CONDULETE DE PVC, TIPO LB, PARA ELETRODUTO DE PVC SOLDÁVEL DN 25 MM (3/4''), APARENTE - FORNECIMENTO E INSTALAÇÃO. AF_10/2022</v>
      </c>
      <c r="D129" s="549" t="str">
        <f>IF(A129="SERVIÇO",VLOOKUP(B129,SERVIÇOS!$A$6:$E$7697,5,0),IF(A129="INSUMO",VLOOKUP(B129,INSUMOS!$A$6:$E$4845,5,0),IF(A129="COTAÇÃO",VLOOKUP(B129,'014-22-cotação'!$A$9:$J$138,10,0),IF(A129="AUX",VLOOKUP('014-22-CCU''s'!B129,'014-22-CCU''s AUX'!$B$1:$H$130,3,0)))))</f>
        <v>SER.CG</v>
      </c>
      <c r="E129" s="549" t="str">
        <f>IF(A129="SERVIÇO",VLOOKUP(B129,SERVIÇOS!$A$6:$D$7697,3,0),IF(A129="INSUMO",VLOOKUP(B129,INSUMOS!$A$6:$D$4845,3,0),IF(A129="COTAÇÃO",VLOOKUP(B129,'014-22-cotação'!$A$9:$I$138,4,0),IF(A129="AUX",VLOOKUP('014-22-CCU''s'!B129,'014-22-CCU''s AUX'!$B$1:$H$130,4,0)))))</f>
        <v>UN</v>
      </c>
      <c r="F129" s="176">
        <v>2.6800000000000001E-2</v>
      </c>
      <c r="G129" s="550">
        <f>IF(A129="SERVIÇO",VLOOKUP(B129,SERVIÇOS!$A$6:$D$7697,4,0),IF(A129="INSUMO",VLOOKUP(B129,INSUMOS!$A$6:$D$4845,4,0),IF(A129="COTAÇÃO",VLOOKUP(B129,'014-22-cotação'!$A$9:$I$138,3,0),IF(A129="AUX",VLOOKUP('014-22-CCU''s'!B129,'014-22-CCU''s AUX'!$B$1:$H$130,7,0)))))</f>
        <v>20.95</v>
      </c>
      <c r="H129" s="561">
        <f t="shared" si="9"/>
        <v>0.56000000000000005</v>
      </c>
      <c r="I129" s="213">
        <v>95811</v>
      </c>
      <c r="S129" s="331"/>
      <c r="T129" s="342"/>
    </row>
    <row r="130" spans="1:20" s="476" customFormat="1" ht="51" x14ac:dyDescent="0.25">
      <c r="A130" s="475" t="s">
        <v>1120</v>
      </c>
      <c r="B130" s="208">
        <v>97584</v>
      </c>
      <c r="C130" s="548" t="str">
        <f>IF(A130="SERVIÇO",VLOOKUP(B130,SERVIÇOS!$A$6:$D$7697,2,0),IF(A130="INSUMO",VLOOKUP(B130,INSUMOS!$A$6:$D$4845,2,0),IF(A130="COTAÇÃO",VLOOKUP(B130,'014-22-cotação'!$A$9:$I$138,2,0),IF(A130="AUX",VLOOKUP('014-22-CCU''s'!B130,'014-22-CCU''s AUX'!$B$1:$H$130,2,0)))))</f>
        <v>LUMINÁRIA TIPO CALHA, DE SOBREPOR, COM 1 LÂMPADA TUBULAR FLUORESCENTE DE 36 W, COM REATOR DE PARTIDA RÁPIDA - FORNECIMENTO E INSTALAÇÃO. AF_02/2020</v>
      </c>
      <c r="D130" s="549" t="str">
        <f>IF(A130="SERVIÇO",VLOOKUP(B130,SERVIÇOS!$A$6:$E$7697,5,0),IF(A130="INSUMO",VLOOKUP(B130,INSUMOS!$A$6:$E$4845,5,0),IF(A130="COTAÇÃO",VLOOKUP(B130,'014-22-cotação'!$A$9:$J$138,10,0),IF(A130="AUX",VLOOKUP('014-22-CCU''s'!B130,'014-22-CCU''s AUX'!$B$1:$H$130,3,0)))))</f>
        <v>SER.CG</v>
      </c>
      <c r="E130" s="549" t="str">
        <f>IF(A130="SERVIÇO",VLOOKUP(B130,SERVIÇOS!$A$6:$D$7697,3,0),IF(A130="INSUMO",VLOOKUP(B130,INSUMOS!$A$6:$D$4845,3,0),IF(A130="COTAÇÃO",VLOOKUP(B130,'014-22-cotação'!$A$9:$I$138,4,0),IF(A130="AUX",VLOOKUP('014-22-CCU''s'!B130,'014-22-CCU''s AUX'!$B$1:$H$130,4,0)))))</f>
        <v>UN</v>
      </c>
      <c r="F130" s="176">
        <v>0.16109999999999999</v>
      </c>
      <c r="G130" s="550">
        <f>IF(A130="SERVIÇO",VLOOKUP(B130,SERVIÇOS!$A$6:$D$7697,4,0),IF(A130="INSUMO",VLOOKUP(B130,INSUMOS!$A$6:$D$4845,4,0),IF(A130="COTAÇÃO",VLOOKUP(B130,'014-22-cotação'!$A$9:$I$138,3,0),IF(A130="AUX",VLOOKUP('014-22-CCU''s'!B130,'014-22-CCU''s AUX'!$B$1:$H$130,7,0)))))</f>
        <v>77.14</v>
      </c>
      <c r="H130" s="561">
        <f t="shared" si="9"/>
        <v>12.42</v>
      </c>
      <c r="I130" s="476">
        <v>97586</v>
      </c>
      <c r="S130" s="478"/>
      <c r="T130" s="479"/>
    </row>
    <row r="131" spans="1:20" s="213" customFormat="1" ht="51" x14ac:dyDescent="0.25">
      <c r="A131" s="398" t="s">
        <v>1120</v>
      </c>
      <c r="B131" s="208">
        <v>97906</v>
      </c>
      <c r="C131" s="548" t="str">
        <f>IF(A131="SERVIÇO",VLOOKUP(B131,SERVIÇOS!$A$6:$D$7697,2,0),IF(A131="INSUMO",VLOOKUP(B131,INSUMOS!$A$6:$D$4845,2,0),IF(A131="COTAÇÃO",VLOOKUP(B131,'014-22-cotação'!$A$9:$I$138,2,0),IF(A131="AUX",VLOOKUP('014-22-CCU''s'!B131,'014-22-CCU''s AUX'!$B$1:$H$130,2,0)))))</f>
        <v>CAIXA ENTERRADA HIDRÁULICA RETANGULAR, EM ALVENARIA COM BLOCOS DE CONCRETO, DIMENSÕES INTERNAS: 0,6X0,6X0,6 M PARA REDE DE ESGOTO. AF_12/2020</v>
      </c>
      <c r="D131" s="549" t="str">
        <f>IF(A131="SERVIÇO",VLOOKUP(B131,SERVIÇOS!$A$6:$E$7697,5,0),IF(A131="INSUMO",VLOOKUP(B131,INSUMOS!$A$6:$E$4845,5,0),IF(A131="COTAÇÃO",VLOOKUP(B131,'014-22-cotação'!$A$9:$J$138,10,0),IF(A131="AUX",VLOOKUP('014-22-CCU''s'!B131,'014-22-CCU''s AUX'!$B$1:$H$130,3,0)))))</f>
        <v>SER.CG</v>
      </c>
      <c r="E131" s="549" t="str">
        <f>IF(A131="SERVIÇO",VLOOKUP(B131,SERVIÇOS!$A$6:$D$7697,3,0),IF(A131="INSUMO",VLOOKUP(B131,INSUMOS!$A$6:$D$4845,3,0),IF(A131="COTAÇÃO",VLOOKUP(B131,'014-22-cotação'!$A$9:$I$138,4,0),IF(A131="AUX",VLOOKUP('014-22-CCU''s'!B131,'014-22-CCU''s AUX'!$B$1:$H$130,4,0)))))</f>
        <v>UN</v>
      </c>
      <c r="F131" s="176">
        <v>2.6800000000000001E-2</v>
      </c>
      <c r="G131" s="550">
        <f>IF(A131="SERVIÇO",VLOOKUP(B131,SERVIÇOS!$A$6:$D$7697,4,0),IF(A131="INSUMO",VLOOKUP(B131,INSUMOS!$A$6:$D$4845,4,0),IF(A131="COTAÇÃO",VLOOKUP(B131,'014-22-cotação'!$A$9:$I$138,3,0),IF(A131="AUX",VLOOKUP('014-22-CCU''s'!B131,'014-22-CCU''s AUX'!$B$1:$H$130,7,0)))))</f>
        <v>485.1</v>
      </c>
      <c r="H131" s="561">
        <f t="shared" si="9"/>
        <v>13</v>
      </c>
      <c r="I131" s="213">
        <v>97906</v>
      </c>
      <c r="S131" s="331"/>
      <c r="T131" s="342"/>
    </row>
    <row r="132" spans="1:20" s="213" customFormat="1" ht="51" x14ac:dyDescent="0.25">
      <c r="A132" s="398" t="s">
        <v>1120</v>
      </c>
      <c r="B132" s="208">
        <v>98102</v>
      </c>
      <c r="C132" s="548" t="str">
        <f>IF(A132="SERVIÇO",VLOOKUP(B132,SERVIÇOS!$A$6:$D$7697,2,0),IF(A132="INSUMO",VLOOKUP(B132,INSUMOS!$A$6:$D$4845,2,0),IF(A132="COTAÇÃO",VLOOKUP(B132,'014-22-cotação'!$A$9:$I$138,2,0),IF(A132="AUX",VLOOKUP('014-22-CCU''s'!B132,'014-22-CCU''s AUX'!$B$1:$H$130,2,0)))))</f>
        <v>CAIXA DE GORDURA SIMPLES, CIRCULAR, EM CONCRETO PRÉ-MOLDADO, DIÂMETRO INTERNO = 0,4 M, ALTURA INTERNA = 0,4 M. AF_12/2020</v>
      </c>
      <c r="D132" s="549" t="str">
        <f>IF(A132="SERVIÇO",VLOOKUP(B132,SERVIÇOS!$A$6:$E$7697,5,0),IF(A132="INSUMO",VLOOKUP(B132,INSUMOS!$A$6:$E$4845,5,0),IF(A132="COTAÇÃO",VLOOKUP(B132,'014-22-cotação'!$A$9:$J$138,10,0),IF(A132="AUX",VLOOKUP('014-22-CCU''s'!B132,'014-22-CCU''s AUX'!$B$1:$H$130,3,0)))))</f>
        <v>SER.CG</v>
      </c>
      <c r="E132" s="549" t="str">
        <f>IF(A132="SERVIÇO",VLOOKUP(B132,SERVIÇOS!$A$6:$D$7697,3,0),IF(A132="INSUMO",VLOOKUP(B132,INSUMOS!$A$6:$D$4845,3,0),IF(A132="COTAÇÃO",VLOOKUP(B132,'014-22-cotação'!$A$9:$I$138,4,0),IF(A132="AUX",VLOOKUP('014-22-CCU''s'!B132,'014-22-CCU''s AUX'!$B$1:$H$130,4,0)))))</f>
        <v>UN</v>
      </c>
      <c r="F132" s="176">
        <v>2.6800000000000001E-2</v>
      </c>
      <c r="G132" s="550">
        <f>IF(A132="SERVIÇO",VLOOKUP(B132,SERVIÇOS!$A$6:$D$7697,4,0),IF(A132="INSUMO",VLOOKUP(B132,INSUMOS!$A$6:$D$4845,4,0),IF(A132="COTAÇÃO",VLOOKUP(B132,'014-22-cotação'!$A$9:$I$138,3,0),IF(A132="AUX",VLOOKUP('014-22-CCU''s'!B132,'014-22-CCU''s AUX'!$B$1:$H$130,7,0)))))</f>
        <v>180.62</v>
      </c>
      <c r="H132" s="561">
        <f t="shared" si="9"/>
        <v>4.84</v>
      </c>
      <c r="I132" s="213">
        <v>98102</v>
      </c>
      <c r="S132" s="331"/>
      <c r="T132" s="342"/>
    </row>
    <row r="133" spans="1:20" s="213" customFormat="1" ht="38.25" x14ac:dyDescent="0.25">
      <c r="A133" s="398" t="s">
        <v>1120</v>
      </c>
      <c r="B133" s="208">
        <v>98441</v>
      </c>
      <c r="C133" s="548" t="str">
        <f>IF(A133="SERVIÇO",VLOOKUP(B133,SERVIÇOS!$A$6:$D$7697,2,0),IF(A133="INSUMO",VLOOKUP(B133,INSUMOS!$A$6:$D$4845,2,0),IF(A133="COTAÇÃO",VLOOKUP(B133,'014-22-cotação'!$A$9:$I$138,2,0),IF(A133="AUX",VLOOKUP('014-22-CCU''s'!B133,'014-22-CCU''s AUX'!$B$1:$H$130,2,0)))))</f>
        <v>PAREDE DE MADEIRA COMPENSADA PARA CONSTRUÇÃO TEMPORÁRIA EM CHAPA SIMPLES, EXTERNA, SEM VÃO. AF_03/2024</v>
      </c>
      <c r="D133" s="549" t="str">
        <f>IF(A133="SERVIÇO",VLOOKUP(B133,SERVIÇOS!$A$6:$E$7697,5,0),IF(A133="INSUMO",VLOOKUP(B133,INSUMOS!$A$6:$E$4845,5,0),IF(A133="COTAÇÃO",VLOOKUP(B133,'014-22-cotação'!$A$9:$J$138,10,0),IF(A133="AUX",VLOOKUP('014-22-CCU''s'!B133,'014-22-CCU''s AUX'!$B$1:$H$130,3,0)))))</f>
        <v>SER.CG</v>
      </c>
      <c r="E133" s="549" t="str">
        <f>IF(A133="SERVIÇO",VLOOKUP(B133,SERVIÇOS!$A$6:$D$7697,3,0),IF(A133="INSUMO",VLOOKUP(B133,INSUMOS!$A$6:$D$4845,3,0),IF(A133="COTAÇÃO",VLOOKUP(B133,'014-22-cotação'!$A$9:$I$138,4,0),IF(A133="AUX",VLOOKUP('014-22-CCU''s'!B133,'014-22-CCU''s AUX'!$B$1:$H$130,4,0)))))</f>
        <v>M2</v>
      </c>
      <c r="F133" s="176">
        <v>0.1449</v>
      </c>
      <c r="G133" s="550">
        <f>IF(A133="SERVIÇO",VLOOKUP(B133,SERVIÇOS!$A$6:$D$7697,4,0),IF(A133="INSUMO",VLOOKUP(B133,INSUMOS!$A$6:$D$4845,4,0),IF(A133="COTAÇÃO",VLOOKUP(B133,'014-22-cotação'!$A$9:$I$138,3,0),IF(A133="AUX",VLOOKUP('014-22-CCU''s'!B133,'014-22-CCU''s AUX'!$B$1:$H$130,7,0)))))</f>
        <v>90.59</v>
      </c>
      <c r="H133" s="561">
        <f t="shared" si="9"/>
        <v>13.12</v>
      </c>
      <c r="I133" s="213">
        <v>98441</v>
      </c>
      <c r="S133" s="331"/>
      <c r="T133" s="342"/>
    </row>
    <row r="134" spans="1:20" s="476" customFormat="1" ht="38.25" x14ac:dyDescent="0.25">
      <c r="A134" s="475" t="s">
        <v>1120</v>
      </c>
      <c r="B134" s="208">
        <v>98441</v>
      </c>
      <c r="C134" s="548" t="str">
        <f>IF(A134="SERVIÇO",VLOOKUP(B134,SERVIÇOS!$A$6:$D$7697,2,0),IF(A134="INSUMO",VLOOKUP(B134,INSUMOS!$A$6:$D$4845,2,0),IF(A134="COTAÇÃO",VLOOKUP(B134,'014-22-cotação'!$A$9:$I$138,2,0),IF(A134="AUX",VLOOKUP('014-22-CCU''s'!B134,'014-22-CCU''s AUX'!$B$1:$H$130,2,0)))))</f>
        <v>PAREDE DE MADEIRA COMPENSADA PARA CONSTRUÇÃO TEMPORÁRIA EM CHAPA SIMPLES, EXTERNA, SEM VÃO. AF_03/2024</v>
      </c>
      <c r="D134" s="549" t="str">
        <f>IF(A134="SERVIÇO",VLOOKUP(B134,SERVIÇOS!$A$6:$E$7697,5,0),IF(A134="INSUMO",VLOOKUP(B134,INSUMOS!$A$6:$E$4845,5,0),IF(A134="COTAÇÃO",VLOOKUP(B134,'014-22-cotação'!$A$9:$J$138,10,0),IF(A134="AUX",VLOOKUP('014-22-CCU''s'!B134,'014-22-CCU''s AUX'!$B$1:$H$130,3,0)))))</f>
        <v>SER.CG</v>
      </c>
      <c r="E134" s="549" t="str">
        <f>IF(A134="SERVIÇO",VLOOKUP(B134,SERVIÇOS!$A$6:$D$7697,3,0),IF(A134="INSUMO",VLOOKUP(B134,INSUMOS!$A$6:$D$4845,3,0),IF(A134="COTAÇÃO",VLOOKUP(B134,'014-22-cotação'!$A$9:$I$138,4,0),IF(A134="AUX",VLOOKUP('014-22-CCU''s'!B134,'014-22-CCU''s AUX'!$B$1:$H$130,4,0)))))</f>
        <v>M2</v>
      </c>
      <c r="F134" s="176">
        <v>0.1668</v>
      </c>
      <c r="G134" s="550">
        <f>IF(A134="SERVIÇO",VLOOKUP(B134,SERVIÇOS!$A$6:$D$7697,4,0),IF(A134="INSUMO",VLOOKUP(B134,INSUMOS!$A$6:$D$4845,4,0),IF(A134="COTAÇÃO",VLOOKUP(B134,'014-22-cotação'!$A$9:$I$138,3,0),IF(A134="AUX",VLOOKUP('014-22-CCU''s'!B134,'014-22-CCU''s AUX'!$B$1:$H$130,7,0)))))</f>
        <v>90.59</v>
      </c>
      <c r="H134" s="561">
        <f t="shared" si="9"/>
        <v>15.11</v>
      </c>
      <c r="I134" s="476">
        <v>98442</v>
      </c>
      <c r="S134" s="478"/>
      <c r="T134" s="479"/>
    </row>
    <row r="135" spans="1:20" s="213" customFormat="1" ht="63.75" x14ac:dyDescent="0.25">
      <c r="A135" s="398" t="s">
        <v>1120</v>
      </c>
      <c r="B135" s="208">
        <v>98445</v>
      </c>
      <c r="C135" s="548" t="str">
        <f>IF(A135="SERVIÇO",VLOOKUP(B135,SERVIÇOS!$A$6:$D$7697,2,0),IF(A135="INSUMO",VLOOKUP(B135,INSUMOS!$A$6:$D$4845,2,0),IF(A135="COTAÇÃO",VLOOKUP(B135,'014-22-cotação'!$A$9:$I$138,2,0),IF(A135="AUX",VLOOKUP('014-22-CCU''s'!B135,'014-22-CCU''s AUX'!$B$1:$H$130,2,0)))))</f>
        <v>PAREDE DE MADEIRA COMPENSADA PARA CONSTRUÇÃO TEMPORÁRIA EM CHAPA SIMPLES, EXTERNA, COM ÁREA LÍQUIDA MAIOR OU IGUAL A 6 M², COM VÃO. AF_03/2024</v>
      </c>
      <c r="D135" s="549" t="str">
        <f>IF(A135="SERVIÇO",VLOOKUP(B135,SERVIÇOS!$A$6:$E$7697,5,0),IF(A135="INSUMO",VLOOKUP(B135,INSUMOS!$A$6:$E$4845,5,0),IF(A135="COTAÇÃO",VLOOKUP(B135,'014-22-cotação'!$A$9:$J$138,10,0),IF(A135="AUX",VLOOKUP('014-22-CCU''s'!B135,'014-22-CCU''s AUX'!$B$1:$H$130,3,0)))))</f>
        <v>SER.CG</v>
      </c>
      <c r="E135" s="549" t="str">
        <f>IF(A135="SERVIÇO",VLOOKUP(B135,SERVIÇOS!$A$6:$D$7697,3,0),IF(A135="INSUMO",VLOOKUP(B135,INSUMOS!$A$6:$D$4845,3,0),IF(A135="COTAÇÃO",VLOOKUP(B135,'014-22-cotação'!$A$9:$I$138,4,0),IF(A135="AUX",VLOOKUP('014-22-CCU''s'!B135,'014-22-CCU''s AUX'!$B$1:$H$130,4,0)))))</f>
        <v>M2</v>
      </c>
      <c r="F135" s="176">
        <v>0.22639999999999999</v>
      </c>
      <c r="G135" s="550">
        <f>IF(A135="SERVIÇO",VLOOKUP(B135,SERVIÇOS!$A$6:$D$7697,4,0),IF(A135="INSUMO",VLOOKUP(B135,INSUMOS!$A$6:$D$4845,4,0),IF(A135="COTAÇÃO",VLOOKUP(B135,'014-22-cotação'!$A$9:$I$138,3,0),IF(A135="AUX",VLOOKUP('014-22-CCU''s'!B135,'014-22-CCU''s AUX'!$B$1:$H$130,7,0)))))</f>
        <v>107.07</v>
      </c>
      <c r="H135" s="561">
        <f t="shared" si="9"/>
        <v>24.24</v>
      </c>
      <c r="I135" s="213">
        <v>98445</v>
      </c>
      <c r="S135" s="331"/>
      <c r="T135" s="342"/>
    </row>
    <row r="136" spans="1:20" s="213" customFormat="1" ht="51" x14ac:dyDescent="0.25">
      <c r="A136" s="398" t="s">
        <v>1120</v>
      </c>
      <c r="B136" s="208">
        <v>98446</v>
      </c>
      <c r="C136" s="548" t="str">
        <f>IF(A136="SERVIÇO",VLOOKUP(B136,SERVIÇOS!$A$6:$D$7697,2,0),IF(A136="INSUMO",VLOOKUP(B136,INSUMOS!$A$6:$D$4845,2,0),IF(A136="COTAÇÃO",VLOOKUP(B136,'014-22-cotação'!$A$9:$I$138,2,0),IF(A136="AUX",VLOOKUP('014-22-CCU''s'!B136,'014-22-CCU''s AUX'!$B$1:$H$130,2,0)))))</f>
        <v>PAREDE DE MADEIRA COMPENSADA PARA CONSTRUÇÃO TEMPORÁRIA EM CHAPA SIMPLES, EXTERNA, COM ÁREA LÍQUIDA MENOR QUE 6 M², COM VÃO. AF_03/2024</v>
      </c>
      <c r="D136" s="549" t="str">
        <f>IF(A136="SERVIÇO",VLOOKUP(B136,SERVIÇOS!$A$6:$E$7697,5,0),IF(A136="INSUMO",VLOOKUP(B136,INSUMOS!$A$6:$E$4845,5,0),IF(A136="COTAÇÃO",VLOOKUP(B136,'014-22-cotação'!$A$9:$J$138,10,0),IF(A136="AUX",VLOOKUP('014-22-CCU''s'!B136,'014-22-CCU''s AUX'!$B$1:$H$130,3,0)))))</f>
        <v>SER.CG</v>
      </c>
      <c r="E136" s="549" t="str">
        <f>IF(A136="SERVIÇO",VLOOKUP(B136,SERVIÇOS!$A$6:$D$7697,3,0),IF(A136="INSUMO",VLOOKUP(B136,INSUMOS!$A$6:$D$4845,3,0),IF(A136="COTAÇÃO",VLOOKUP(B136,'014-22-cotação'!$A$9:$I$138,4,0),IF(A136="AUX",VLOOKUP('014-22-CCU''s'!B136,'014-22-CCU''s AUX'!$B$1:$H$130,4,0)))))</f>
        <v>M2</v>
      </c>
      <c r="F136" s="176">
        <v>0.17649999999999999</v>
      </c>
      <c r="G136" s="550">
        <f>IF(A136="SERVIÇO",VLOOKUP(B136,SERVIÇOS!$A$6:$D$7697,4,0),IF(A136="INSUMO",VLOOKUP(B136,INSUMOS!$A$6:$D$4845,4,0),IF(A136="COTAÇÃO",VLOOKUP(B136,'014-22-cotação'!$A$9:$I$138,3,0),IF(A136="AUX",VLOOKUP('014-22-CCU''s'!B136,'014-22-CCU''s AUX'!$B$1:$H$130,7,0)))))</f>
        <v>138</v>
      </c>
      <c r="H136" s="561">
        <f t="shared" si="9"/>
        <v>24.35</v>
      </c>
      <c r="I136" s="213">
        <v>98446</v>
      </c>
      <c r="S136" s="331"/>
      <c r="T136" s="342"/>
    </row>
    <row r="137" spans="1:20" s="213" customFormat="1" ht="51" x14ac:dyDescent="0.25">
      <c r="A137" s="398" t="s">
        <v>1120</v>
      </c>
      <c r="B137" s="208">
        <v>101165</v>
      </c>
      <c r="C137" s="548" t="str">
        <f>IF(A137="SERVIÇO",VLOOKUP(B137,SERVIÇOS!$A$6:$D$7697,2,0),IF(A137="INSUMO",VLOOKUP(B137,INSUMOS!$A$6:$D$4845,2,0),IF(A137="COTAÇÃO",VLOOKUP(B137,'014-22-cotação'!$A$9:$I$138,2,0),IF(A137="AUX",VLOOKUP('014-22-CCU''s'!B137,'014-22-CCU''s AUX'!$B$1:$H$130,2,0)))))</f>
        <v>ALVENARIA DE EMBASAMENTO COM BLOCO ESTRUTURAL DE CONCRETO, DE 14X19X29CM E ARGAMASSA DE ASSENTAMENTO COM PREPARO EM BETONEIRA. AF_05/2020</v>
      </c>
      <c r="D137" s="549" t="str">
        <f>IF(A137="SERVIÇO",VLOOKUP(B137,SERVIÇOS!$A$6:$E$7697,5,0),IF(A137="INSUMO",VLOOKUP(B137,INSUMOS!$A$6:$E$4845,5,0),IF(A137="COTAÇÃO",VLOOKUP(B137,'014-22-cotação'!$A$9:$J$138,10,0),IF(A137="AUX",VLOOKUP('014-22-CCU''s'!B137,'014-22-CCU''s AUX'!$B$1:$H$130,3,0)))))</f>
        <v>SER.CG</v>
      </c>
      <c r="E137" s="549" t="str">
        <f>IF(A137="SERVIÇO",VLOOKUP(B137,SERVIÇOS!$A$6:$D$7697,3,0),IF(A137="INSUMO",VLOOKUP(B137,INSUMOS!$A$6:$D$4845,3,0),IF(A137="COTAÇÃO",VLOOKUP(B137,'014-22-cotação'!$A$9:$I$138,4,0),IF(A137="AUX",VLOOKUP('014-22-CCU''s'!B137,'014-22-CCU''s AUX'!$B$1:$H$130,4,0)))))</f>
        <v>M3</v>
      </c>
      <c r="F137" s="176">
        <v>0.04</v>
      </c>
      <c r="G137" s="550">
        <f>IF(A137="SERVIÇO",VLOOKUP(B137,SERVIÇOS!$A$6:$D$7697,4,0),IF(A137="INSUMO",VLOOKUP(B137,INSUMOS!$A$6:$D$4845,4,0),IF(A137="COTAÇÃO",VLOOKUP(B137,'014-22-cotação'!$A$9:$I$138,3,0),IF(A137="AUX",VLOOKUP('014-22-CCU''s'!B137,'014-22-CCU''s AUX'!$B$1:$H$130,7,0)))))</f>
        <v>1070.6500000000001</v>
      </c>
      <c r="H137" s="561">
        <f t="shared" si="9"/>
        <v>42.82</v>
      </c>
      <c r="I137" s="213">
        <v>101165</v>
      </c>
      <c r="S137" s="331"/>
      <c r="T137" s="342"/>
    </row>
    <row r="138" spans="1:20" s="213" customFormat="1" ht="51" x14ac:dyDescent="0.25">
      <c r="A138" s="398" t="s">
        <v>1120</v>
      </c>
      <c r="B138" s="208">
        <v>101876</v>
      </c>
      <c r="C138" s="548" t="str">
        <f>IF(A138="SERVIÇO",VLOOKUP(B138,SERVIÇOS!$A$6:$D$7697,2,0),IF(A138="INSUMO",VLOOKUP(B138,INSUMOS!$A$6:$D$4845,2,0),IF(A138="COTAÇÃO",VLOOKUP(B138,'014-22-cotação'!$A$9:$I$138,2,0),IF(A138="AUX",VLOOKUP('014-22-CCU''s'!B138,'014-22-CCU''s AUX'!$B$1:$H$130,2,0)))))</f>
        <v>QUADRO DE DISTRIBUIÇÃO DE ENERGIA EM PVC, DE EMBUTIR, SEM BARRAMENTO, PARA 6 DISJUNTORES - FORNECIMENTO E INSTALAÇÃO. AF_10/2020</v>
      </c>
      <c r="D138" s="549" t="str">
        <f>IF(A138="SERVIÇO",VLOOKUP(B138,SERVIÇOS!$A$6:$E$7697,5,0),IF(A138="INSUMO",VLOOKUP(B138,INSUMOS!$A$6:$E$4845,5,0),IF(A138="COTAÇÃO",VLOOKUP(B138,'014-22-cotação'!$A$9:$J$138,10,0),IF(A138="AUX",VLOOKUP('014-22-CCU''s'!B138,'014-22-CCU''s AUX'!$B$1:$H$130,3,0)))))</f>
        <v>SER.CG</v>
      </c>
      <c r="E138" s="549" t="str">
        <f>IF(A138="SERVIÇO",VLOOKUP(B138,SERVIÇOS!$A$6:$D$7697,3,0),IF(A138="INSUMO",VLOOKUP(B138,INSUMOS!$A$6:$D$4845,3,0),IF(A138="COTAÇÃO",VLOOKUP(B138,'014-22-cotação'!$A$9:$I$138,4,0),IF(A138="AUX",VLOOKUP('014-22-CCU''s'!B138,'014-22-CCU''s AUX'!$B$1:$H$130,4,0)))))</f>
        <v>UN</v>
      </c>
      <c r="F138" s="176">
        <v>2.6800000000000001E-2</v>
      </c>
      <c r="G138" s="550">
        <f>IF(A138="SERVIÇO",VLOOKUP(B138,SERVIÇOS!$A$6:$D$7697,4,0),IF(A138="INSUMO",VLOOKUP(B138,INSUMOS!$A$6:$D$4845,4,0),IF(A138="COTAÇÃO",VLOOKUP(B138,'014-22-cotação'!$A$9:$I$138,3,0),IF(A138="AUX",VLOOKUP('014-22-CCU''s'!B138,'014-22-CCU''s AUX'!$B$1:$H$130,7,0)))))</f>
        <v>104.78</v>
      </c>
      <c r="H138" s="561">
        <f t="shared" si="9"/>
        <v>2.8</v>
      </c>
      <c r="I138" s="213">
        <v>101876</v>
      </c>
      <c r="S138" s="331"/>
      <c r="T138" s="342"/>
    </row>
    <row r="139" spans="1:20" s="213" customFormat="1" ht="38.25" x14ac:dyDescent="0.25">
      <c r="A139" s="398" t="s">
        <v>1120</v>
      </c>
      <c r="B139" s="208">
        <v>101891</v>
      </c>
      <c r="C139" s="548" t="str">
        <f>IF(A139="SERVIÇO",VLOOKUP(B139,SERVIÇOS!$A$6:$D$7697,2,0),IF(A139="INSUMO",VLOOKUP(B139,INSUMOS!$A$6:$D$4845,2,0),IF(A139="COTAÇÃO",VLOOKUP(B139,'014-22-cotação'!$A$9:$I$138,2,0),IF(A139="AUX",VLOOKUP('014-22-CCU''s'!B139,'014-22-CCU''s AUX'!$B$1:$H$130,2,0)))))</f>
        <v>DISJUNTOR MONOPOLAR TIPO NEMA, CORRENTE NOMINAL DE 35 ATÉ 50A - FORNECIMENTO E INSTALAÇÃO. AF_10/2020</v>
      </c>
      <c r="D139" s="549" t="str">
        <f>IF(A139="SERVIÇO",VLOOKUP(B139,SERVIÇOS!$A$6:$E$7697,5,0),IF(A139="INSUMO",VLOOKUP(B139,INSUMOS!$A$6:$E$4845,5,0),IF(A139="COTAÇÃO",VLOOKUP(B139,'014-22-cotação'!$A$9:$J$138,10,0),IF(A139="AUX",VLOOKUP('014-22-CCU''s'!B139,'014-22-CCU''s AUX'!$B$1:$H$130,3,0)))))</f>
        <v>SER.CG</v>
      </c>
      <c r="E139" s="549" t="str">
        <f>IF(A139="SERVIÇO",VLOOKUP(B139,SERVIÇOS!$A$6:$D$7697,3,0),IF(A139="INSUMO",VLOOKUP(B139,INSUMOS!$A$6:$D$4845,3,0),IF(A139="COTAÇÃO",VLOOKUP(B139,'014-22-cotação'!$A$9:$I$138,4,0),IF(A139="AUX",VLOOKUP('014-22-CCU''s'!B139,'014-22-CCU''s AUX'!$B$1:$H$130,4,0)))))</f>
        <v>UN</v>
      </c>
      <c r="F139" s="176">
        <v>0.1074</v>
      </c>
      <c r="G139" s="550">
        <f>IF(A139="SERVIÇO",VLOOKUP(B139,SERVIÇOS!$A$6:$D$7697,4,0),IF(A139="INSUMO",VLOOKUP(B139,INSUMOS!$A$6:$D$4845,4,0),IF(A139="COTAÇÃO",VLOOKUP(B139,'014-22-cotação'!$A$9:$I$138,3,0),IF(A139="AUX",VLOOKUP('014-22-CCU''s'!B139,'014-22-CCU''s AUX'!$B$1:$H$130,7,0)))))</f>
        <v>36.15</v>
      </c>
      <c r="H139" s="561">
        <f t="shared" si="9"/>
        <v>3.88</v>
      </c>
      <c r="I139" s="213">
        <v>101891</v>
      </c>
      <c r="S139" s="331"/>
      <c r="T139" s="342"/>
    </row>
    <row r="140" spans="1:20" s="62" customFormat="1" ht="12.75" x14ac:dyDescent="0.2">
      <c r="A140" s="199"/>
      <c r="B140" s="207" t="s">
        <v>109</v>
      </c>
      <c r="C140" s="640" t="s">
        <v>12716</v>
      </c>
      <c r="D140" s="641"/>
      <c r="E140" s="641"/>
      <c r="F140" s="641"/>
      <c r="G140" s="641"/>
      <c r="H140" s="642"/>
      <c r="J140" s="128"/>
    </row>
    <row r="141" spans="1:20" s="213" customFormat="1" ht="12.75" x14ac:dyDescent="0.25">
      <c r="A141" s="398"/>
      <c r="B141" s="480"/>
      <c r="C141" s="470"/>
      <c r="D141" s="471"/>
      <c r="E141" s="481"/>
      <c r="F141" s="481"/>
      <c r="G141" s="473"/>
      <c r="H141" s="474"/>
      <c r="S141" s="331"/>
      <c r="T141" s="342"/>
    </row>
    <row r="142" spans="1:20" s="463" customFormat="1" ht="51" x14ac:dyDescent="0.25">
      <c r="A142" s="462"/>
      <c r="B142" s="263" t="s">
        <v>12717</v>
      </c>
      <c r="C142" s="177" t="s">
        <v>12718</v>
      </c>
      <c r="D142" s="178" t="s">
        <v>101</v>
      </c>
      <c r="E142" s="178" t="s">
        <v>107</v>
      </c>
      <c r="F142" s="179"/>
      <c r="G142" s="180"/>
      <c r="H142" s="181">
        <f>ROUND(SUM(H143:H150),2)</f>
        <v>6435.22</v>
      </c>
      <c r="J142" s="464"/>
      <c r="S142" s="465"/>
      <c r="T142" s="466"/>
    </row>
    <row r="143" spans="1:20" s="399" customFormat="1" ht="25.5" customHeight="1" x14ac:dyDescent="0.25">
      <c r="A143" s="398" t="s">
        <v>1122</v>
      </c>
      <c r="B143" s="207">
        <v>34636</v>
      </c>
      <c r="C143" s="548" t="str">
        <f>IF(A143="SERVIÇO",VLOOKUP(B143,SERVIÇOS!$A$6:$D$7697,2,0),IF(A143="INSUMO",VLOOKUP(B143,INSUMOS!$A$6:$D$4845,2,0),IF(A143="COTAÇÃO",VLOOKUP(B143,'014-22-cotação'!$A$9:$I$138,2,0),IF(A143="AUX",VLOOKUP('014-22-CCU''s'!B143,'014-22-CCU''s AUX'!$B$1:$H$130,2,0)))))</f>
        <v xml:space="preserve">CAIXA D'AGUA / RESERVATORIO EM POLIETILENO, 1000 LITROS, COM TAMPA                                                                                                                                                                                                                                                                                                                                                                                                                                        </v>
      </c>
      <c r="D143" s="549" t="str">
        <f>IF(A143="SERVIÇO",VLOOKUP(B143,SERVIÇOS!$A$6:$E$7697,5,0),IF(A143="INSUMO",VLOOKUP(B143,INSUMOS!$A$6:$E$4845,5,0),IF(A143="COTAÇÃO",VLOOKUP(B143,'014-22-cotação'!$A$9:$J$138,10,0),IF(A143="AUX",VLOOKUP('014-22-CCU''s'!B143,'014-22-CCU''s AUX'!$B$1:$H$130,3,0)))))</f>
        <v>MAT.</v>
      </c>
      <c r="E143" s="549" t="str">
        <f>IF(A143="SERVIÇO",VLOOKUP(B143,SERVIÇOS!$A$6:$D$7697,3,0),IF(A143="INSUMO",VLOOKUP(B143,INSUMOS!$A$6:$D$4845,3,0),IF(A143="COTAÇÃO",VLOOKUP(B143,'014-22-cotação'!$A$9:$I$138,4,0),IF(A143="AUX",VLOOKUP('014-22-CCU''s'!B143,'014-22-CCU''s AUX'!$B$1:$H$130,4,0)))))</f>
        <v xml:space="preserve">UN    </v>
      </c>
      <c r="F143" s="563">
        <v>1</v>
      </c>
      <c r="G143" s="550">
        <f>IF(A143="SERVIÇO",VLOOKUP(B143,SERVIÇOS!$A$6:$D$7697,4,0),IF(A143="INSUMO",VLOOKUP(B143,INSUMOS!$A$6:$D$4845,4,0),IF(A143="COTAÇÃO",VLOOKUP(B143,'014-22-cotação'!$A$9:$I$138,3,0),IF(A143="AUX",VLOOKUP('014-22-CCU''s'!B143,'014-22-CCU''s AUX'!$B$1:$H$130,7,0)))))</f>
        <v>454.43</v>
      </c>
      <c r="H143" s="561">
        <f>TRUNC((F143*G143),2)</f>
        <v>454.43</v>
      </c>
      <c r="J143" s="401"/>
      <c r="S143" s="402"/>
      <c r="T143" s="400"/>
    </row>
    <row r="144" spans="1:20" s="399" customFormat="1" ht="51" x14ac:dyDescent="0.25">
      <c r="A144" s="398" t="s">
        <v>1120</v>
      </c>
      <c r="B144" s="207">
        <v>89408</v>
      </c>
      <c r="C144" s="548" t="str">
        <f>IF(A144="SERVIÇO",VLOOKUP(B144,SERVIÇOS!$A$6:$D$7697,2,0),IF(A144="INSUMO",VLOOKUP(B144,INSUMOS!$A$6:$D$4845,2,0),IF(A144="COTAÇÃO",VLOOKUP(B144,'014-22-cotação'!$A$9:$I$138,2,0),IF(A144="AUX",VLOOKUP('014-22-CCU''s'!B144,'014-22-CCU''s AUX'!$B$1:$H$130,2,0)))))</f>
        <v>JOELHO 90 GRAUS, PVC, SOLDÁVEL, DN 25MM, INSTALADO EM RAMAL DE DISTRIBUIÇÃO DE ÁGUA - FORNECIMENTO E INSTALAÇÃO. AF_06/2022</v>
      </c>
      <c r="D144" s="549" t="str">
        <f>IF(A144="SERVIÇO",VLOOKUP(B144,SERVIÇOS!$A$6:$E$7697,5,0),IF(A144="INSUMO",VLOOKUP(B144,INSUMOS!$A$6:$E$4845,5,0),IF(A144="COTAÇÃO",VLOOKUP(B144,'014-22-cotação'!$A$9:$J$138,10,0),IF(A144="AUX",VLOOKUP('014-22-CCU''s'!B144,'014-22-CCU''s AUX'!$B$1:$H$130,3,0)))))</f>
        <v>SER.CG</v>
      </c>
      <c r="E144" s="549" t="str">
        <f>IF(A144="SERVIÇO",VLOOKUP(B144,SERVIÇOS!$A$6:$D$7697,3,0),IF(A144="INSUMO",VLOOKUP(B144,INSUMOS!$A$6:$D$4845,3,0),IF(A144="COTAÇÃO",VLOOKUP(B144,'014-22-cotação'!$A$9:$I$138,4,0),IF(A144="AUX",VLOOKUP('014-22-CCU''s'!B144,'014-22-CCU''s AUX'!$B$1:$H$130,4,0)))))</f>
        <v>UN</v>
      </c>
      <c r="F144" s="564">
        <v>3</v>
      </c>
      <c r="G144" s="550">
        <f>IF(A144="SERVIÇO",VLOOKUP(B144,SERVIÇOS!$A$6:$D$7697,4,0),IF(A144="INSUMO",VLOOKUP(B144,INSUMOS!$A$6:$D$4845,4,0),IF(A144="COTAÇÃO",VLOOKUP(B144,'014-22-cotação'!$A$9:$I$138,3,0),IF(A144="AUX",VLOOKUP('014-22-CCU''s'!B144,'014-22-CCU''s AUX'!$B$1:$H$130,7,0)))))</f>
        <v>9.2100000000000009</v>
      </c>
      <c r="H144" s="561">
        <f>TRUNC((F144*G144),2)</f>
        <v>27.63</v>
      </c>
      <c r="J144" s="401"/>
      <c r="S144" s="402"/>
      <c r="T144" s="400"/>
    </row>
    <row r="145" spans="1:20" s="476" customFormat="1" ht="38.25" x14ac:dyDescent="0.25">
      <c r="A145" s="475" t="s">
        <v>1120</v>
      </c>
      <c r="B145" s="207">
        <v>89353</v>
      </c>
      <c r="C145" s="548" t="str">
        <f>IF(A145="SERVIÇO",VLOOKUP(B145,SERVIÇOS!$A$6:$D$7697,2,0),IF(A145="INSUMO",VLOOKUP(B145,INSUMOS!$A$6:$D$4845,2,0),IF(A145="COTAÇÃO",VLOOKUP(B145,'014-22-cotação'!$A$9:$I$138,2,0),IF(A145="AUX",VLOOKUP('014-22-CCU''s'!B145,'014-22-CCU''s AUX'!$B$1:$H$130,2,0)))))</f>
        <v>REGISTRO DE GAVETA BRUTO, LATÃO, ROSCÁVEL, 3/4" - FORNECIMENTO E INSTALAÇÃO. AF_08/2021</v>
      </c>
      <c r="D145" s="549" t="str">
        <f>IF(A145="SERVIÇO",VLOOKUP(B145,SERVIÇOS!$A$6:$E$7697,5,0),IF(A145="INSUMO",VLOOKUP(B145,INSUMOS!$A$6:$E$4845,5,0),IF(A145="COTAÇÃO",VLOOKUP(B145,'014-22-cotação'!$A$9:$J$138,10,0),IF(A145="AUX",VLOOKUP('014-22-CCU''s'!B145,'014-22-CCU''s AUX'!$B$1:$H$130,3,0)))))</f>
        <v>SER.CG</v>
      </c>
      <c r="E145" s="549" t="str">
        <f>IF(A145="SERVIÇO",VLOOKUP(B145,SERVIÇOS!$A$6:$D$7697,3,0),IF(A145="INSUMO",VLOOKUP(B145,INSUMOS!$A$6:$D$4845,3,0),IF(A145="COTAÇÃO",VLOOKUP(B145,'014-22-cotação'!$A$9:$I$138,4,0),IF(A145="AUX",VLOOKUP('014-22-CCU''s'!B145,'014-22-CCU''s AUX'!$B$1:$H$130,4,0)))))</f>
        <v>UN</v>
      </c>
      <c r="F145" s="564">
        <v>1</v>
      </c>
      <c r="G145" s="550">
        <f>IF(A145="SERVIÇO",VLOOKUP(B145,SERVIÇOS!$A$6:$D$7697,4,0),IF(A145="INSUMO",VLOOKUP(B145,INSUMOS!$A$6:$D$4845,4,0),IF(A145="COTAÇÃO",VLOOKUP(B145,'014-22-cotação'!$A$9:$I$138,3,0),IF(A145="AUX",VLOOKUP('014-22-CCU''s'!B145,'014-22-CCU''s AUX'!$B$1:$H$130,7,0)))))</f>
        <v>44.99</v>
      </c>
      <c r="H145" s="561">
        <f>TRUNC((F145*G145),2)</f>
        <v>44.99</v>
      </c>
      <c r="J145" s="477"/>
      <c r="S145" s="478"/>
      <c r="T145" s="479"/>
    </row>
    <row r="146" spans="1:20" s="399" customFormat="1" ht="51" x14ac:dyDescent="0.25">
      <c r="A146" s="398" t="s">
        <v>1120</v>
      </c>
      <c r="B146" s="207">
        <v>94648</v>
      </c>
      <c r="C146" s="548" t="str">
        <f>IF(A146="SERVIÇO",VLOOKUP(B146,SERVIÇOS!$A$6:$D$7697,2,0),IF(A146="INSUMO",VLOOKUP(B146,INSUMOS!$A$6:$D$4845,2,0),IF(A146="COTAÇÃO",VLOOKUP(B146,'014-22-cotação'!$A$9:$I$138,2,0),IF(A146="AUX",VLOOKUP('014-22-CCU''s'!B146,'014-22-CCU''s AUX'!$B$1:$H$130,2,0)))))</f>
        <v>TUBO, PVC, SOLDÁVEL, DN  25 MM, INSTALADO EM RESERVAÇÃO PREDIAL DE ÁGUA - FORNECIMENTO E INSTALAÇÃO. AF_04/2024</v>
      </c>
      <c r="D146" s="549" t="str">
        <f>IF(A146="SERVIÇO",VLOOKUP(B146,SERVIÇOS!$A$6:$E$7697,5,0),IF(A146="INSUMO",VLOOKUP(B146,INSUMOS!$A$6:$E$4845,5,0),IF(A146="COTAÇÃO",VLOOKUP(B146,'014-22-cotação'!$A$9:$J$138,10,0),IF(A146="AUX",VLOOKUP('014-22-CCU''s'!B146,'014-22-CCU''s AUX'!$B$1:$H$130,3,0)))))</f>
        <v>SER.CG</v>
      </c>
      <c r="E146" s="549" t="str">
        <f>IF(A146="SERVIÇO",VLOOKUP(B146,SERVIÇOS!$A$6:$D$7697,3,0),IF(A146="INSUMO",VLOOKUP(B146,INSUMOS!$A$6:$D$4845,3,0),IF(A146="COTAÇÃO",VLOOKUP(B146,'014-22-cotação'!$A$9:$I$138,4,0),IF(A146="AUX",VLOOKUP('014-22-CCU''s'!B146,'014-22-CCU''s AUX'!$B$1:$H$130,4,0)))))</f>
        <v>M</v>
      </c>
      <c r="F146" s="564">
        <v>19</v>
      </c>
      <c r="G146" s="550">
        <f>IF(A146="SERVIÇO",VLOOKUP(B146,SERVIÇOS!$A$6:$D$7697,4,0),IF(A146="INSUMO",VLOOKUP(B146,INSUMOS!$A$6:$D$4845,4,0),IF(A146="COTAÇÃO",VLOOKUP(B146,'014-22-cotação'!$A$9:$I$138,3,0),IF(A146="AUX",VLOOKUP('014-22-CCU''s'!B146,'014-22-CCU''s AUX'!$B$1:$H$130,7,0)))))</f>
        <v>6.78</v>
      </c>
      <c r="H146" s="561">
        <f t="shared" ref="H146:H150" si="10">TRUNC((F146*G146),2)</f>
        <v>128.82</v>
      </c>
      <c r="J146" s="401"/>
      <c r="S146" s="402"/>
      <c r="T146" s="400"/>
    </row>
    <row r="147" spans="1:20" s="399" customFormat="1" ht="38.25" x14ac:dyDescent="0.25">
      <c r="A147" s="398" t="s">
        <v>1120</v>
      </c>
      <c r="B147" s="207">
        <v>94688</v>
      </c>
      <c r="C147" s="548" t="str">
        <f>IF(A147="SERVIÇO",VLOOKUP(B147,SERVIÇOS!$A$6:$D$7697,2,0),IF(A147="INSUMO",VLOOKUP(B147,INSUMOS!$A$6:$D$4845,2,0),IF(A147="COTAÇÃO",VLOOKUP(B147,'014-22-cotação'!$A$9:$I$138,2,0),IF(A147="AUX",VLOOKUP('014-22-CCU''s'!B147,'014-22-CCU''s AUX'!$B$1:$H$130,2,0)))))</f>
        <v>TÊ, PVC, SOLDÁVEL, DN  25 MM INSTALADO EM RESERVAÇÃO PREDIAL DE ÁGUA - FORNECIMENTO E INSTALAÇÃO. AF_04/2024</v>
      </c>
      <c r="D147" s="549" t="str">
        <f>IF(A147="SERVIÇO",VLOOKUP(B147,SERVIÇOS!$A$6:$E$7697,5,0),IF(A147="INSUMO",VLOOKUP(B147,INSUMOS!$A$6:$E$4845,5,0),IF(A147="COTAÇÃO",VLOOKUP(B147,'014-22-cotação'!$A$9:$J$138,10,0),IF(A147="AUX",VLOOKUP('014-22-CCU''s'!B147,'014-22-CCU''s AUX'!$B$1:$H$130,3,0)))))</f>
        <v>SER.CG</v>
      </c>
      <c r="E147" s="549" t="str">
        <f>IF(A147="SERVIÇO",VLOOKUP(B147,SERVIÇOS!$A$6:$D$7697,3,0),IF(A147="INSUMO",VLOOKUP(B147,INSUMOS!$A$6:$D$4845,3,0),IF(A147="COTAÇÃO",VLOOKUP(B147,'014-22-cotação'!$A$9:$I$138,4,0),IF(A147="AUX",VLOOKUP('014-22-CCU''s'!B147,'014-22-CCU''s AUX'!$B$1:$H$130,4,0)))))</f>
        <v>UN</v>
      </c>
      <c r="F147" s="564">
        <v>2</v>
      </c>
      <c r="G147" s="550">
        <f>IF(A147="SERVIÇO",VLOOKUP(B147,SERVIÇOS!$A$6:$D$7697,4,0),IF(A147="INSUMO",VLOOKUP(B147,INSUMOS!$A$6:$D$4845,4,0),IF(A147="COTAÇÃO",VLOOKUP(B147,'014-22-cotação'!$A$9:$I$138,3,0),IF(A147="AUX",VLOOKUP('014-22-CCU''s'!B147,'014-22-CCU''s AUX'!$B$1:$H$130,7,0)))))</f>
        <v>6.99</v>
      </c>
      <c r="H147" s="561">
        <f t="shared" si="10"/>
        <v>13.98</v>
      </c>
      <c r="J147" s="401"/>
      <c r="S147" s="402"/>
      <c r="T147" s="400"/>
    </row>
    <row r="148" spans="1:20" s="399" customFormat="1" ht="63.75" x14ac:dyDescent="0.25">
      <c r="A148" s="398" t="s">
        <v>1120</v>
      </c>
      <c r="B148" s="207">
        <v>94703</v>
      </c>
      <c r="C148" s="548" t="str">
        <f>IF(A148="SERVIÇO",VLOOKUP(B148,SERVIÇOS!$A$6:$D$7697,2,0),IF(A148="INSUMO",VLOOKUP(B148,INSUMOS!$A$6:$D$4845,2,0),IF(A148="COTAÇÃO",VLOOKUP(B148,'014-22-cotação'!$A$9:$I$138,2,0),IF(A148="AUX",VLOOKUP('014-22-CCU''s'!B148,'014-22-CCU''s AUX'!$B$1:$H$130,2,0)))))</f>
        <v>ADAPTADOR COM FLANGE E ANEL DE VEDAÇÃO, PVC, SOLDÁVEL, DN  25 MM X 3/4", INSTALADO EM RESERVAÇÃO PREDIAL DE ÁGUA - FORNECIMENTO E INSTALAÇÃO. AF_04/2024</v>
      </c>
      <c r="D148" s="549" t="str">
        <f>IF(A148="SERVIÇO",VLOOKUP(B148,SERVIÇOS!$A$6:$E$7697,5,0),IF(A148="INSUMO",VLOOKUP(B148,INSUMOS!$A$6:$E$4845,5,0),IF(A148="COTAÇÃO",VLOOKUP(B148,'014-22-cotação'!$A$9:$J$138,10,0),IF(A148="AUX",VLOOKUP('014-22-CCU''s'!B148,'014-22-CCU''s AUX'!$B$1:$H$130,3,0)))))</f>
        <v>SER.CG</v>
      </c>
      <c r="E148" s="549" t="str">
        <f>IF(A148="SERVIÇO",VLOOKUP(B148,SERVIÇOS!$A$6:$D$7697,3,0),IF(A148="INSUMO",VLOOKUP(B148,INSUMOS!$A$6:$D$4845,3,0),IF(A148="COTAÇÃO",VLOOKUP(B148,'014-22-cotação'!$A$9:$I$138,4,0),IF(A148="AUX",VLOOKUP('014-22-CCU''s'!B148,'014-22-CCU''s AUX'!$B$1:$H$130,4,0)))))</f>
        <v>UN</v>
      </c>
      <c r="F148" s="564">
        <v>1</v>
      </c>
      <c r="G148" s="550">
        <f>IF(A148="SERVIÇO",VLOOKUP(B148,SERVIÇOS!$A$6:$D$7697,4,0),IF(A148="INSUMO",VLOOKUP(B148,INSUMOS!$A$6:$D$4845,4,0),IF(A148="COTAÇÃO",VLOOKUP(B148,'014-22-cotação'!$A$9:$I$138,3,0),IF(A148="AUX",VLOOKUP('014-22-CCU''s'!B148,'014-22-CCU''s AUX'!$B$1:$H$130,7,0)))))</f>
        <v>19.86</v>
      </c>
      <c r="H148" s="561">
        <f t="shared" si="10"/>
        <v>19.86</v>
      </c>
      <c r="J148" s="401"/>
      <c r="S148" s="402"/>
      <c r="T148" s="400"/>
    </row>
    <row r="149" spans="1:20" s="399" customFormat="1" ht="38.25" x14ac:dyDescent="0.25">
      <c r="A149" s="398" t="s">
        <v>1120</v>
      </c>
      <c r="B149" s="207">
        <v>94796</v>
      </c>
      <c r="C149" s="548" t="str">
        <f>IF(A149="SERVIÇO",VLOOKUP(B149,SERVIÇOS!$A$6:$D$7697,2,0),IF(A149="INSUMO",VLOOKUP(B149,INSUMOS!$A$6:$D$4845,2,0),IF(A149="COTAÇÃO",VLOOKUP(B149,'014-22-cotação'!$A$9:$I$138,2,0),IF(A149="AUX",VLOOKUP('014-22-CCU''s'!B149,'014-22-CCU''s AUX'!$B$1:$H$130,2,0)))))</f>
        <v>TORNEIRA DE BOIA PARA CAIXA D'ÁGUA, ROSCÁVEL, 3/4" - FORNECIMENTO E INSTALAÇÃO. AF_08/2021</v>
      </c>
      <c r="D149" s="549" t="str">
        <f>IF(A149="SERVIÇO",VLOOKUP(B149,SERVIÇOS!$A$6:$E$7697,5,0),IF(A149="INSUMO",VLOOKUP(B149,INSUMOS!$A$6:$E$4845,5,0),IF(A149="COTAÇÃO",VLOOKUP(B149,'014-22-cotação'!$A$9:$J$138,10,0),IF(A149="AUX",VLOOKUP('014-22-CCU''s'!B149,'014-22-CCU''s AUX'!$B$1:$H$130,3,0)))))</f>
        <v>SER.CG</v>
      </c>
      <c r="E149" s="549" t="str">
        <f>IF(A149="SERVIÇO",VLOOKUP(B149,SERVIÇOS!$A$6:$D$7697,3,0),IF(A149="INSUMO",VLOOKUP(B149,INSUMOS!$A$6:$D$4845,3,0),IF(A149="COTAÇÃO",VLOOKUP(B149,'014-22-cotação'!$A$9:$I$138,4,0),IF(A149="AUX",VLOOKUP('014-22-CCU''s'!B149,'014-22-CCU''s AUX'!$B$1:$H$130,4,0)))))</f>
        <v>UN</v>
      </c>
      <c r="F149" s="564">
        <v>1</v>
      </c>
      <c r="G149" s="550">
        <f>IF(A149="SERVIÇO",VLOOKUP(B149,SERVIÇOS!$A$6:$D$7697,4,0),IF(A149="INSUMO",VLOOKUP(B149,INSUMOS!$A$6:$D$4845,4,0),IF(A149="COTAÇÃO",VLOOKUP(B149,'014-22-cotação'!$A$9:$I$138,3,0),IF(A149="AUX",VLOOKUP('014-22-CCU''s'!B149,'014-22-CCU''s AUX'!$B$1:$H$130,7,0)))))</f>
        <v>70.64</v>
      </c>
      <c r="H149" s="561">
        <f t="shared" si="10"/>
        <v>70.64</v>
      </c>
      <c r="J149" s="401"/>
      <c r="S149" s="402"/>
      <c r="T149" s="400"/>
    </row>
    <row r="150" spans="1:20" s="399" customFormat="1" ht="38.25" x14ac:dyDescent="0.25">
      <c r="A150" s="398" t="s">
        <v>1120</v>
      </c>
      <c r="B150" s="207">
        <v>98461</v>
      </c>
      <c r="C150" s="548" t="str">
        <f>IF(A150="SERVIÇO",VLOOKUP(B150,SERVIÇOS!$A$6:$D$7697,2,0),IF(A150="INSUMO",VLOOKUP(B150,INSUMOS!$A$6:$D$4845,2,0),IF(A150="COTAÇÃO",VLOOKUP(B150,'014-22-cotação'!$A$9:$I$138,2,0),IF(A150="AUX",VLOOKUP('014-22-CCU''s'!B150,'014-22-CCU''s AUX'!$B$1:$H$130,2,0)))))</f>
        <v>ESTRUTURA DE MADEIRA PROVISÓRIA PARA SUPORTE DE CAIXA DÁGUA ELEVADA DE 1000 LITROS. AF_03/2024_PS</v>
      </c>
      <c r="D150" s="549" t="str">
        <f>IF(A150="SERVIÇO",VLOOKUP(B150,SERVIÇOS!$A$6:$E$7697,5,0),IF(A150="INSUMO",VLOOKUP(B150,INSUMOS!$A$6:$E$4845,5,0),IF(A150="COTAÇÃO",VLOOKUP(B150,'014-22-cotação'!$A$9:$J$138,10,0),IF(A150="AUX",VLOOKUP('014-22-CCU''s'!B150,'014-22-CCU''s AUX'!$B$1:$H$130,3,0)))))</f>
        <v>SER.CG</v>
      </c>
      <c r="E150" s="549" t="str">
        <f>IF(A150="SERVIÇO",VLOOKUP(B150,SERVIÇOS!$A$6:$D$7697,3,0),IF(A150="INSUMO",VLOOKUP(B150,INSUMOS!$A$6:$D$4845,3,0),IF(A150="COTAÇÃO",VLOOKUP(B150,'014-22-cotação'!$A$9:$I$138,4,0),IF(A150="AUX",VLOOKUP('014-22-CCU''s'!B150,'014-22-CCU''s AUX'!$B$1:$H$130,4,0)))))</f>
        <v>UN</v>
      </c>
      <c r="F150" s="564">
        <v>1</v>
      </c>
      <c r="G150" s="550">
        <f>IF(A150="SERVIÇO",VLOOKUP(B150,SERVIÇOS!$A$6:$D$7697,4,0),IF(A150="INSUMO",VLOOKUP(B150,INSUMOS!$A$6:$D$4845,4,0),IF(A150="COTAÇÃO",VLOOKUP(B150,'014-22-cotação'!$A$9:$I$138,3,0),IF(A150="AUX",VLOOKUP('014-22-CCU''s'!B150,'014-22-CCU''s AUX'!$B$1:$H$130,7,0)))))</f>
        <v>5674.87</v>
      </c>
      <c r="H150" s="561">
        <f t="shared" si="10"/>
        <v>5674.87</v>
      </c>
      <c r="J150" s="401"/>
      <c r="S150" s="402"/>
      <c r="T150" s="400"/>
    </row>
    <row r="151" spans="1:20" s="62" customFormat="1" ht="12.75" x14ac:dyDescent="0.2">
      <c r="A151" s="199"/>
      <c r="B151" s="207" t="s">
        <v>109</v>
      </c>
      <c r="C151" s="640" t="s">
        <v>12719</v>
      </c>
      <c r="D151" s="641"/>
      <c r="E151" s="641"/>
      <c r="F151" s="641"/>
      <c r="G151" s="641"/>
      <c r="H151" s="642"/>
      <c r="J151" s="128"/>
    </row>
    <row r="152" spans="1:20" s="483" customFormat="1" ht="12.75" x14ac:dyDescent="0.25">
      <c r="A152" s="482"/>
      <c r="B152" s="480"/>
      <c r="C152" s="470"/>
      <c r="D152" s="471"/>
      <c r="E152" s="481"/>
      <c r="F152" s="481"/>
      <c r="G152" s="473"/>
      <c r="H152" s="474"/>
      <c r="S152" s="484"/>
      <c r="T152" s="342"/>
    </row>
    <row r="153" spans="1:20" s="463" customFormat="1" ht="25.5" x14ac:dyDescent="0.25">
      <c r="A153" s="462"/>
      <c r="B153" s="263" t="s">
        <v>12720</v>
      </c>
      <c r="C153" s="177" t="s">
        <v>12721</v>
      </c>
      <c r="D153" s="178" t="s">
        <v>101</v>
      </c>
      <c r="E153" s="178" t="s">
        <v>107</v>
      </c>
      <c r="F153" s="179"/>
      <c r="G153" s="180"/>
      <c r="H153" s="181">
        <f>ROUND(SUM(H154:H157),2)</f>
        <v>8.1</v>
      </c>
      <c r="J153" s="464"/>
      <c r="S153" s="465"/>
      <c r="T153" s="466"/>
    </row>
    <row r="154" spans="1:20" s="399" customFormat="1" ht="25.5" customHeight="1" x14ac:dyDescent="0.25">
      <c r="A154" s="398" t="s">
        <v>1122</v>
      </c>
      <c r="B154" s="207">
        <v>32</v>
      </c>
      <c r="C154" s="548" t="str">
        <f>IF(A154="SERVIÇO",VLOOKUP(B154,SERVIÇOS!$A$6:$D$7697,2,0),IF(A154="INSUMO",VLOOKUP(B154,INSUMOS!$A$6:$D$4845,2,0),IF(A154="COTAÇÃO",VLOOKUP(B154,'014-22-cotação'!$A$9:$I$138,2,0),IF(A154="AUX",VLOOKUP('014-22-CCU''s'!B154,'014-22-CCU''s AUX'!$B$1:$H$130,2,0)))))</f>
        <v xml:space="preserve">ACO CA-50, 6,3 MM, VERGALHAO                                                                                                                                                                                                                                                                                                                                                                                                                                                                              </v>
      </c>
      <c r="D154" s="549" t="str">
        <f>IF(A154="SERVIÇO",VLOOKUP(B154,SERVIÇOS!$A$6:$E$7697,5,0),IF(A154="INSUMO",VLOOKUP(B154,INSUMOS!$A$6:$E$4845,5,0),IF(A154="COTAÇÃO",VLOOKUP(B154,'014-22-cotação'!$A$9:$J$138,10,0),IF(A154="AUX",VLOOKUP('014-22-CCU''s'!B154,'014-22-CCU''s AUX'!$B$1:$H$130,3,0)))))</f>
        <v>MAT.</v>
      </c>
      <c r="E154" s="549" t="str">
        <f>IF(A154="SERVIÇO",VLOOKUP(B154,SERVIÇOS!$A$6:$D$7697,3,0),IF(A154="INSUMO",VLOOKUP(B154,INSUMOS!$A$6:$D$4845,3,0),IF(A154="COTAÇÃO",VLOOKUP(B154,'014-22-cotação'!$A$9:$I$138,4,0),IF(A154="AUX",VLOOKUP('014-22-CCU''s'!B154,'014-22-CCU''s AUX'!$B$1:$H$130,4,0)))))</f>
        <v xml:space="preserve">KG    </v>
      </c>
      <c r="F154" s="549">
        <v>7.3499999999999996E-2</v>
      </c>
      <c r="G154" s="550">
        <f>IF(A154="SERVIÇO",VLOOKUP(B154,SERVIÇOS!$A$6:$D$7697,4,0),IF(A154="INSUMO",VLOOKUP(B154,INSUMOS!$A$6:$D$4845,4,0),IF(A154="COTAÇÃO",VLOOKUP(B154,'014-22-cotação'!$A$9:$I$138,3,0),IF(A154="AUX",VLOOKUP('014-22-CCU''s'!B154,'014-22-CCU''s AUX'!$B$1:$H$130,7,0)))))</f>
        <v>8.33</v>
      </c>
      <c r="H154" s="561">
        <f>TRUNC((F154*G154),2)</f>
        <v>0.61</v>
      </c>
      <c r="J154" s="401"/>
      <c r="S154" s="402"/>
      <c r="T154" s="400"/>
    </row>
    <row r="155" spans="1:20" s="399" customFormat="1" ht="38.25" x14ac:dyDescent="0.25">
      <c r="A155" s="398" t="s">
        <v>1122</v>
      </c>
      <c r="B155" s="207">
        <v>7247</v>
      </c>
      <c r="C155" s="548" t="str">
        <f>IF(A155="SERVIÇO",VLOOKUP(B155,SERVIÇOS!$A$6:$D$7697,2,0),IF(A155="INSUMO",VLOOKUP(B155,INSUMOS!$A$6:$D$4845,2,0),IF(A155="COTAÇÃO",VLOOKUP(B155,'014-22-cotação'!$A$9:$I$138,2,0),IF(A155="AUX",VLOOKUP('014-22-CCU''s'!B155,'014-22-CCU''s AUX'!$B$1:$H$130,2,0)))))</f>
        <v xml:space="preserve">LOCACAO DE TEODOLITO ELETRONICO, PRECISAO ANGULAR DE 5 A 7 SEGUNDOS, INCLUINDO TRIPE                                                                                                                                                                                                                                                                                                                                                                                                                      </v>
      </c>
      <c r="D155" s="549" t="str">
        <f>IF(A155="SERVIÇO",VLOOKUP(B155,SERVIÇOS!$A$6:$E$7697,5,0),IF(A155="INSUMO",VLOOKUP(B155,INSUMOS!$A$6:$E$4845,5,0),IF(A155="COTAÇÃO",VLOOKUP(B155,'014-22-cotação'!$A$9:$J$138,10,0),IF(A155="AUX",VLOOKUP('014-22-CCU''s'!B155,'014-22-CCU''s AUX'!$B$1:$H$130,3,0)))))</f>
        <v>EQUIP.</v>
      </c>
      <c r="E155" s="549" t="str">
        <f>IF(A155="SERVIÇO",VLOOKUP(B155,SERVIÇOS!$A$6:$D$7697,3,0),IF(A155="INSUMO",VLOOKUP(B155,INSUMOS!$A$6:$D$4845,3,0),IF(A155="COTAÇÃO",VLOOKUP(B155,'014-22-cotação'!$A$9:$I$138,4,0),IF(A155="AUX",VLOOKUP('014-22-CCU''s'!B155,'014-22-CCU''s AUX'!$B$1:$H$130,4,0)))))</f>
        <v xml:space="preserve">H     </v>
      </c>
      <c r="F155" s="549">
        <v>0.1759</v>
      </c>
      <c r="G155" s="550">
        <f>IF(A155="SERVIÇO",VLOOKUP(B155,SERVIÇOS!$A$6:$D$7697,4,0),IF(A155="INSUMO",VLOOKUP(B155,INSUMOS!$A$6:$D$4845,4,0),IF(A155="COTAÇÃO",VLOOKUP(B155,'014-22-cotação'!$A$9:$I$138,3,0),IF(A155="AUX",VLOOKUP('014-22-CCU''s'!B155,'014-22-CCU''s AUX'!$B$1:$H$130,7,0)))))</f>
        <v>2.34</v>
      </c>
      <c r="H155" s="561">
        <f>TRUNC((F155*G155),2)</f>
        <v>0.41</v>
      </c>
      <c r="J155" s="401"/>
      <c r="S155" s="402"/>
      <c r="T155" s="400"/>
    </row>
    <row r="156" spans="1:20" s="213" customFormat="1" ht="25.5" x14ac:dyDescent="0.25">
      <c r="A156" s="398" t="s">
        <v>1120</v>
      </c>
      <c r="B156" s="208">
        <v>88253</v>
      </c>
      <c r="C156" s="548" t="str">
        <f>IF(A156="SERVIÇO",VLOOKUP(B156,SERVIÇOS!$A$6:$D$7697,2,0),IF(A156="INSUMO",VLOOKUP(B156,INSUMOS!$A$6:$D$4845,2,0),IF(A156="COTAÇÃO",VLOOKUP(B156,'014-22-cotação'!$A$9:$I$138,2,0),IF(A156="AUX",VLOOKUP('014-22-CCU''s'!B156,'014-22-CCU''s AUX'!$B$1:$H$130,2,0)))))</f>
        <v>AUXILIAR DE TOPÓGRAFO COM ENCARGOS COMPLEMENTARES</v>
      </c>
      <c r="D156" s="549" t="str">
        <f>IF(A156="SERVIÇO",VLOOKUP(B156,SERVIÇOS!$A$6:$E$7697,5,0),IF(A156="INSUMO",VLOOKUP(B156,INSUMOS!$A$6:$E$4845,5,0),IF(A156="COTAÇÃO",VLOOKUP(B156,'014-22-cotação'!$A$9:$J$138,10,0),IF(A156="AUX",VLOOKUP('014-22-CCU''s'!B156,'014-22-CCU''s AUX'!$B$1:$H$130,3,0)))))</f>
        <v>M.O</v>
      </c>
      <c r="E156" s="549" t="str">
        <f>IF(A156="SERVIÇO",VLOOKUP(B156,SERVIÇOS!$A$6:$D$7697,3,0),IF(A156="INSUMO",VLOOKUP(B156,INSUMOS!$A$6:$D$4845,3,0),IF(A156="COTAÇÃO",VLOOKUP(B156,'014-22-cotação'!$A$9:$I$138,4,0),IF(A156="AUX",VLOOKUP('014-22-CCU''s'!B156,'014-22-CCU''s AUX'!$B$1:$H$130,4,0)))))</f>
        <v>H</v>
      </c>
      <c r="F156" s="176">
        <v>0.1172</v>
      </c>
      <c r="G156" s="550">
        <f>IF(A156="SERVIÇO",VLOOKUP(B156,SERVIÇOS!$A$6:$D$7697,4,0),IF(A156="INSUMO",VLOOKUP(B156,INSUMOS!$A$6:$D$4845,4,0),IF(A156="COTAÇÃO",VLOOKUP(B156,'014-22-cotação'!$A$9:$I$138,3,0),IF(A156="AUX",VLOOKUP('014-22-CCU''s'!B156,'014-22-CCU''s AUX'!$B$1:$H$130,7,0)))))</f>
        <v>12.06</v>
      </c>
      <c r="H156" s="561">
        <f t="shared" ref="H156:H157" si="11">TRUNC((F156*G156),2)</f>
        <v>1.41</v>
      </c>
      <c r="S156" s="331"/>
      <c r="T156" s="342"/>
    </row>
    <row r="157" spans="1:20" s="476" customFormat="1" ht="25.5" x14ac:dyDescent="0.25">
      <c r="A157" s="475" t="s">
        <v>1120</v>
      </c>
      <c r="B157" s="208">
        <v>90781</v>
      </c>
      <c r="C157" s="548" t="str">
        <f>IF(A157="SERVIÇO",VLOOKUP(B157,SERVIÇOS!$A$6:$D$7697,2,0),IF(A157="INSUMO",VLOOKUP(B157,INSUMOS!$A$6:$D$4845,2,0),IF(A157="COTAÇÃO",VLOOKUP(B157,'014-22-cotação'!$A$9:$I$138,2,0),IF(A157="AUX",VLOOKUP('014-22-CCU''s'!B157,'014-22-CCU''s AUX'!$B$1:$H$130,2,0)))))</f>
        <v>TOPOGRAFO COM ENCARGOS COMPLEMENTARES</v>
      </c>
      <c r="D157" s="549" t="str">
        <f>IF(A157="SERVIÇO",VLOOKUP(B157,SERVIÇOS!$A$6:$E$7697,5,0),IF(A157="INSUMO",VLOOKUP(B157,INSUMOS!$A$6:$E$4845,5,0),IF(A157="COTAÇÃO",VLOOKUP(B157,'014-22-cotação'!$A$9:$J$138,10,0),IF(A157="AUX",VLOOKUP('014-22-CCU''s'!B157,'014-22-CCU''s AUX'!$B$1:$H$130,3,0)))))</f>
        <v>M.O</v>
      </c>
      <c r="E157" s="549" t="str">
        <f>IF(A157="SERVIÇO",VLOOKUP(B157,SERVIÇOS!$A$6:$D$7697,3,0),IF(A157="INSUMO",VLOOKUP(B157,INSUMOS!$A$6:$D$4845,3,0),IF(A157="COTAÇÃO",VLOOKUP(B157,'014-22-cotação'!$A$9:$I$138,4,0),IF(A157="AUX",VLOOKUP('014-22-CCU''s'!B157,'014-22-CCU''s AUX'!$B$1:$H$130,4,0)))))</f>
        <v>H</v>
      </c>
      <c r="F157" s="176">
        <v>0.23449999999999999</v>
      </c>
      <c r="G157" s="550">
        <f>IF(A157="SERVIÇO",VLOOKUP(B157,SERVIÇOS!$A$6:$D$7697,4,0),IF(A157="INSUMO",VLOOKUP(B157,INSUMOS!$A$6:$D$4845,4,0),IF(A157="COTAÇÃO",VLOOKUP(B157,'014-22-cotação'!$A$9:$I$138,3,0),IF(A157="AUX",VLOOKUP('014-22-CCU''s'!B157,'014-22-CCU''s AUX'!$B$1:$H$130,7,0)))))</f>
        <v>24.19</v>
      </c>
      <c r="H157" s="561">
        <f t="shared" si="11"/>
        <v>5.67</v>
      </c>
      <c r="S157" s="478"/>
      <c r="T157" s="479"/>
    </row>
    <row r="158" spans="1:20" s="62" customFormat="1" ht="12.75" x14ac:dyDescent="0.2">
      <c r="A158" s="199"/>
      <c r="B158" s="207" t="s">
        <v>109</v>
      </c>
      <c r="C158" s="640" t="s">
        <v>12722</v>
      </c>
      <c r="D158" s="641"/>
      <c r="E158" s="641"/>
      <c r="F158" s="641"/>
      <c r="G158" s="641"/>
      <c r="H158" s="642"/>
      <c r="J158" s="128"/>
    </row>
    <row r="159" spans="1:20" s="483" customFormat="1" ht="12.75" x14ac:dyDescent="0.25">
      <c r="A159" s="482"/>
      <c r="B159" s="480"/>
      <c r="C159" s="470"/>
      <c r="D159" s="471"/>
      <c r="E159" s="481"/>
      <c r="F159" s="481"/>
      <c r="G159" s="473"/>
      <c r="H159" s="474"/>
      <c r="S159" s="484"/>
      <c r="T159" s="342"/>
    </row>
    <row r="160" spans="1:20" s="213" customFormat="1" ht="38.25" x14ac:dyDescent="0.25">
      <c r="A160" s="398"/>
      <c r="B160" s="263" t="s">
        <v>1495</v>
      </c>
      <c r="C160" s="177" t="s">
        <v>4278</v>
      </c>
      <c r="D160" s="178" t="s">
        <v>101</v>
      </c>
      <c r="E160" s="178" t="s">
        <v>5</v>
      </c>
      <c r="F160" s="179"/>
      <c r="G160" s="180"/>
      <c r="H160" s="181">
        <f>ROUND(SUM(H161:H163),2)</f>
        <v>150.25</v>
      </c>
      <c r="I160" s="213" t="s">
        <v>12742</v>
      </c>
      <c r="S160" s="331"/>
      <c r="T160" s="342"/>
    </row>
    <row r="161" spans="1:20" s="213" customFormat="1" ht="25.5" x14ac:dyDescent="0.25">
      <c r="A161" s="475" t="s">
        <v>1120</v>
      </c>
      <c r="B161" s="207">
        <v>88309</v>
      </c>
      <c r="C161" s="548" t="str">
        <f>IF(A161="SERVIÇO",VLOOKUP(B161,SERVIÇOS!$A$6:$D$7697,2,0),IF(A161="INSUMO",VLOOKUP(B161,INSUMOS!$A$6:$D$4845,2,0),IF(A161="COTAÇÃO",VLOOKUP(B161,'014-22-cotação'!$A$9:$I$138,2,0),IF(A161="AUX",VLOOKUP('014-22-CCU''s'!B161,'014-22-CCU''s AUX'!$B$1:$H$130,2,0)))))</f>
        <v>PEDREIRO COM ENCARGOS COMPLEMENTARES</v>
      </c>
      <c r="D161" s="549" t="str">
        <f>IF(A161="SERVIÇO",VLOOKUP(B161,SERVIÇOS!$A$6:$E$7697,5,0),IF(A161="INSUMO",VLOOKUP(B161,INSUMOS!$A$6:$E$4845,5,0),IF(A161="COTAÇÃO",VLOOKUP(B161,'014-22-cotação'!$A$9:$J$138,10,0),IF(A161="AUX",VLOOKUP('014-22-CCU''s'!B161,'014-22-CCU''s AUX'!$B$1:$H$130,3,0)))))</f>
        <v>M.O</v>
      </c>
      <c r="E161" s="549" t="str">
        <f>IF(A161="SERVIÇO",VLOOKUP(B161,SERVIÇOS!$A$6:$D$7697,3,0),IF(A161="INSUMO",VLOOKUP(B161,INSUMOS!$A$6:$D$4845,3,0),IF(A161="COTAÇÃO",VLOOKUP(B161,'014-22-cotação'!$A$9:$I$138,4,0),IF(A161="AUX",VLOOKUP('014-22-CCU''s'!B161,'014-22-CCU''s AUX'!$B$1:$H$130,4,0)))))</f>
        <v>H</v>
      </c>
      <c r="F161" s="565">
        <f>(1.103/0.3)*0.4</f>
        <v>1.4706666666666668</v>
      </c>
      <c r="G161" s="550">
        <f>IF(A161="SERVIÇO",VLOOKUP(B161,SERVIÇOS!$A$6:$D$7697,4,0),IF(A161="INSUMO",VLOOKUP(B161,INSUMOS!$A$6:$D$4845,4,0),IF(A161="COTAÇÃO",VLOOKUP(B161,'014-22-cotação'!$A$9:$I$138,3,0),IF(A161="AUX",VLOOKUP('014-22-CCU''s'!B161,'014-22-CCU''s AUX'!$B$1:$H$130,7,0)))))</f>
        <v>31.1</v>
      </c>
      <c r="H161" s="561">
        <f t="shared" ref="H161:H163" si="12">TRUNC((F161*G161),2)</f>
        <v>45.73</v>
      </c>
      <c r="S161" s="331"/>
      <c r="T161" s="342"/>
    </row>
    <row r="162" spans="1:20" s="213" customFormat="1" ht="25.5" x14ac:dyDescent="0.25">
      <c r="A162" s="475" t="s">
        <v>1120</v>
      </c>
      <c r="B162" s="207">
        <v>88316</v>
      </c>
      <c r="C162" s="548" t="str">
        <f>IF(A162="SERVIÇO",VLOOKUP(B162,SERVIÇOS!$A$6:$D$7697,2,0),IF(A162="INSUMO",VLOOKUP(B162,INSUMOS!$A$6:$D$4845,2,0),IF(A162="COTAÇÃO",VLOOKUP(B162,'014-22-cotação'!$A$9:$I$138,2,0),IF(A162="AUX",VLOOKUP('014-22-CCU''s'!B162,'014-22-CCU''s AUX'!$B$1:$H$130,2,0)))))</f>
        <v>SERVENTE COM ENCARGOS COMPLEMENTARES</v>
      </c>
      <c r="D162" s="549" t="str">
        <f>IF(A162="SERVIÇO",VLOOKUP(B162,SERVIÇOS!$A$6:$E$7697,5,0),IF(A162="INSUMO",VLOOKUP(B162,INSUMOS!$A$6:$E$4845,5,0),IF(A162="COTAÇÃO",VLOOKUP(B162,'014-22-cotação'!$A$9:$J$138,10,0),IF(A162="AUX",VLOOKUP('014-22-CCU''s'!B162,'014-22-CCU''s AUX'!$B$1:$H$130,3,0)))))</f>
        <v>M.O</v>
      </c>
      <c r="E162" s="549" t="str">
        <f>IF(A162="SERVIÇO",VLOOKUP(B162,SERVIÇOS!$A$6:$D$7697,3,0),IF(A162="INSUMO",VLOOKUP(B162,INSUMOS!$A$6:$D$4845,3,0),IF(A162="COTAÇÃO",VLOOKUP(B162,'014-22-cotação'!$A$9:$I$138,4,0),IF(A162="AUX",VLOOKUP('014-22-CCU''s'!B162,'014-22-CCU''s AUX'!$B$1:$H$130,4,0)))))</f>
        <v>H</v>
      </c>
      <c r="F162" s="565">
        <f>(1.33/0.3)*0.4</f>
        <v>1.7733333333333334</v>
      </c>
      <c r="G162" s="550">
        <f>IF(A162="SERVIÇO",VLOOKUP(B162,SERVIÇOS!$A$6:$D$7697,4,0),IF(A162="INSUMO",VLOOKUP(B162,INSUMOS!$A$6:$D$4845,4,0),IF(A162="COTAÇÃO",VLOOKUP(B162,'014-22-cotação'!$A$9:$I$138,3,0),IF(A162="AUX",VLOOKUP('014-22-CCU''s'!B162,'014-22-CCU''s AUX'!$B$1:$H$130,7,0)))))</f>
        <v>23.4</v>
      </c>
      <c r="H162" s="561">
        <f t="shared" si="12"/>
        <v>41.49</v>
      </c>
      <c r="S162" s="331"/>
      <c r="T162" s="342"/>
    </row>
    <row r="163" spans="1:20" s="213" customFormat="1" ht="51" x14ac:dyDescent="0.25">
      <c r="A163" s="475" t="s">
        <v>1120</v>
      </c>
      <c r="B163" s="207">
        <v>94970</v>
      </c>
      <c r="C163" s="548" t="str">
        <f>IF(A163="SERVIÇO",VLOOKUP(B163,SERVIÇOS!$A$6:$D$7697,2,0),IF(A163="INSUMO",VLOOKUP(B163,INSUMOS!$A$6:$D$4845,2,0),IF(A163="COTAÇÃO",VLOOKUP(B163,'014-22-cotação'!$A$9:$I$138,2,0),IF(A163="AUX",VLOOKUP('014-22-CCU''s'!B163,'014-22-CCU''s AUX'!$B$1:$H$130,2,0)))))</f>
        <v>CONCRETO FCK = 20MPA, TRAÇO 1:2,7:3 (EM MASSA SECA DE CIMENTO/ AREIA MÉDIA/ BRITA 1) - PREPARO MECÂNICO COM BETONEIRA 600 L. AF_05/2021</v>
      </c>
      <c r="D163" s="549" t="str">
        <f>IF(A163="SERVIÇO",VLOOKUP(B163,SERVIÇOS!$A$6:$E$7697,5,0),IF(A163="INSUMO",VLOOKUP(B163,INSUMOS!$A$6:$E$4845,5,0),IF(A163="COTAÇÃO",VLOOKUP(B163,'014-22-cotação'!$A$9:$J$138,10,0),IF(A163="AUX",VLOOKUP('014-22-CCU''s'!B163,'014-22-CCU''s AUX'!$B$1:$H$130,3,0)))))</f>
        <v>SER.CG</v>
      </c>
      <c r="E163" s="549" t="str">
        <f>IF(A163="SERVIÇO",VLOOKUP(B163,SERVIÇOS!$A$6:$D$7697,3,0),IF(A163="INSUMO",VLOOKUP(B163,INSUMOS!$A$6:$D$4845,3,0),IF(A163="COTAÇÃO",VLOOKUP(B163,'014-22-cotação'!$A$9:$I$138,4,0),IF(A163="AUX",VLOOKUP('014-22-CCU''s'!B163,'014-22-CCU''s AUX'!$B$1:$H$130,4,0)))))</f>
        <v>M3</v>
      </c>
      <c r="F163" s="565">
        <f>(0.086/0.3)*0.4</f>
        <v>0.11466666666666668</v>
      </c>
      <c r="G163" s="550">
        <f>IF(A163="SERVIÇO",VLOOKUP(B163,SERVIÇOS!$A$6:$D$7697,4,0),IF(A163="INSUMO",VLOOKUP(B163,INSUMOS!$A$6:$D$4845,4,0),IF(A163="COTAÇÃO",VLOOKUP(B163,'014-22-cotação'!$A$9:$I$138,3,0),IF(A163="AUX",VLOOKUP('014-22-CCU''s'!B163,'014-22-CCU''s AUX'!$B$1:$H$130,7,0)))))</f>
        <v>549.73</v>
      </c>
      <c r="H163" s="561">
        <f t="shared" si="12"/>
        <v>63.03</v>
      </c>
      <c r="S163" s="331"/>
      <c r="T163" s="342"/>
    </row>
    <row r="164" spans="1:20" s="213" customFormat="1" ht="12.75" x14ac:dyDescent="0.25">
      <c r="A164" s="398"/>
      <c r="B164" s="207" t="s">
        <v>109</v>
      </c>
      <c r="C164" s="382" t="s">
        <v>4279</v>
      </c>
      <c r="D164" s="383"/>
      <c r="E164" s="383"/>
      <c r="F164" s="383"/>
      <c r="G164" s="383"/>
      <c r="H164" s="384"/>
      <c r="S164" s="331"/>
      <c r="T164" s="342"/>
    </row>
    <row r="165" spans="1:20" s="213" customFormat="1" ht="12.75" x14ac:dyDescent="0.25">
      <c r="A165" s="398"/>
      <c r="B165" s="208"/>
      <c r="C165" s="175"/>
      <c r="D165" s="176"/>
      <c r="E165" s="176"/>
      <c r="F165" s="176"/>
      <c r="G165" s="176"/>
      <c r="H165" s="176"/>
      <c r="S165" s="331"/>
      <c r="T165" s="342"/>
    </row>
    <row r="166" spans="1:20" s="213" customFormat="1" ht="38.25" x14ac:dyDescent="0.25">
      <c r="A166" s="398"/>
      <c r="B166" s="263" t="s">
        <v>3900</v>
      </c>
      <c r="C166" s="177" t="s">
        <v>4280</v>
      </c>
      <c r="D166" s="178" t="s">
        <v>101</v>
      </c>
      <c r="E166" s="178" t="s">
        <v>5</v>
      </c>
      <c r="F166" s="179"/>
      <c r="G166" s="180"/>
      <c r="H166" s="181">
        <f>ROUND(SUM(H167:H169),2)</f>
        <v>82.15</v>
      </c>
      <c r="I166" s="213" t="s">
        <v>12742</v>
      </c>
      <c r="S166" s="331"/>
      <c r="T166" s="342"/>
    </row>
    <row r="167" spans="1:20" s="213" customFormat="1" ht="25.5" x14ac:dyDescent="0.25">
      <c r="A167" s="475" t="s">
        <v>1120</v>
      </c>
      <c r="B167" s="207">
        <v>88309</v>
      </c>
      <c r="C167" s="548" t="str">
        <f>IF(A167="SERVIÇO",VLOOKUP(B167,SERVIÇOS!$A$6:$D$7697,2,0),IF(A167="INSUMO",VLOOKUP(B167,INSUMOS!$A$6:$D$4845,2,0),IF(A167="COTAÇÃO",VLOOKUP(B167,'014-22-cotação'!$A$9:$I$138,2,0),IF(A167="AUX",VLOOKUP('014-22-CCU''s'!B167,'014-22-CCU''s AUX'!$B$1:$H$130,2,0)))))</f>
        <v>PEDREIRO COM ENCARGOS COMPLEMENTARES</v>
      </c>
      <c r="D167" s="549" t="str">
        <f>IF(A167="SERVIÇO",VLOOKUP(B167,SERVIÇOS!$A$6:$E$7697,5,0),IF(A167="INSUMO",VLOOKUP(B167,INSUMOS!$A$6:$E$4845,5,0),IF(A167="COTAÇÃO",VLOOKUP(B167,'014-22-cotação'!$A$9:$J$138,10,0),IF(A167="AUX",VLOOKUP('014-22-CCU''s'!B167,'014-22-CCU''s AUX'!$B$1:$H$130,3,0)))))</f>
        <v>M.O</v>
      </c>
      <c r="E167" s="549" t="str">
        <f>IF(A167="SERVIÇO",VLOOKUP(B167,SERVIÇOS!$A$6:$D$7697,3,0),IF(A167="INSUMO",VLOOKUP(B167,INSUMOS!$A$6:$D$4845,3,0),IF(A167="COTAÇÃO",VLOOKUP(B167,'014-22-cotação'!$A$9:$I$138,4,0),IF(A167="AUX",VLOOKUP('014-22-CCU''s'!B167,'014-22-CCU''s AUX'!$B$1:$H$130,4,0)))))</f>
        <v>H</v>
      </c>
      <c r="F167" s="565" t="s">
        <v>4281</v>
      </c>
      <c r="G167" s="550">
        <f>IF(A167="SERVIÇO",VLOOKUP(B167,SERVIÇOS!$A$6:$D$7697,4,0),IF(A167="INSUMO",VLOOKUP(B167,INSUMOS!$A$6:$D$4845,4,0),IF(A167="COTAÇÃO",VLOOKUP(B167,'014-22-cotação'!$A$9:$I$138,3,0),IF(A167="AUX",VLOOKUP('014-22-CCU''s'!B167,'014-22-CCU''s AUX'!$B$1:$H$130,7,0)))))</f>
        <v>31.1</v>
      </c>
      <c r="H167" s="561">
        <f t="shared" ref="H167:H169" si="13">TRUNC((F167*G167),2)</f>
        <v>24.72</v>
      </c>
      <c r="S167" s="331"/>
      <c r="T167" s="342"/>
    </row>
    <row r="168" spans="1:20" s="213" customFormat="1" ht="25.5" x14ac:dyDescent="0.25">
      <c r="A168" s="475" t="s">
        <v>1120</v>
      </c>
      <c r="B168" s="207">
        <v>88316</v>
      </c>
      <c r="C168" s="548" t="str">
        <f>IF(A168="SERVIÇO",VLOOKUP(B168,SERVIÇOS!$A$6:$D$7697,2,0),IF(A168="INSUMO",VLOOKUP(B168,INSUMOS!$A$6:$D$4845,2,0),IF(A168="COTAÇÃO",VLOOKUP(B168,'014-22-cotação'!$A$9:$I$138,2,0),IF(A168="AUX",VLOOKUP('014-22-CCU''s'!B168,'014-22-CCU''s AUX'!$B$1:$H$130,2,0)))))</f>
        <v>SERVENTE COM ENCARGOS COMPLEMENTARES</v>
      </c>
      <c r="D168" s="549" t="str">
        <f>IF(A168="SERVIÇO",VLOOKUP(B168,SERVIÇOS!$A$6:$E$7697,5,0),IF(A168="INSUMO",VLOOKUP(B168,INSUMOS!$A$6:$E$4845,5,0),IF(A168="COTAÇÃO",VLOOKUP(B168,'014-22-cotação'!$A$9:$J$138,10,0),IF(A168="AUX",VLOOKUP('014-22-CCU''s'!B168,'014-22-CCU''s AUX'!$B$1:$H$130,3,0)))))</f>
        <v>M.O</v>
      </c>
      <c r="E168" s="549" t="str">
        <f>IF(A168="SERVIÇO",VLOOKUP(B168,SERVIÇOS!$A$6:$D$7697,3,0),IF(A168="INSUMO",VLOOKUP(B168,INSUMOS!$A$6:$D$4845,3,0),IF(A168="COTAÇÃO",VLOOKUP(B168,'014-22-cotação'!$A$9:$I$138,4,0),IF(A168="AUX",VLOOKUP('014-22-CCU''s'!B168,'014-22-CCU''s AUX'!$B$1:$H$130,4,0)))))</f>
        <v>H</v>
      </c>
      <c r="F168" s="565" t="s">
        <v>4282</v>
      </c>
      <c r="G168" s="550">
        <f>IF(A168="SERVIÇO",VLOOKUP(B168,SERVIÇOS!$A$6:$D$7697,4,0),IF(A168="INSUMO",VLOOKUP(B168,INSUMOS!$A$6:$D$4845,4,0),IF(A168="COTAÇÃO",VLOOKUP(B168,'014-22-cotação'!$A$9:$I$138,3,0),IF(A168="AUX",VLOOKUP('014-22-CCU''s'!B168,'014-22-CCU''s AUX'!$B$1:$H$130,7,0)))))</f>
        <v>23.4</v>
      </c>
      <c r="H168" s="561">
        <f t="shared" si="13"/>
        <v>23.35</v>
      </c>
      <c r="S168" s="331"/>
      <c r="T168" s="342"/>
    </row>
    <row r="169" spans="1:20" s="213" customFormat="1" ht="51" x14ac:dyDescent="0.25">
      <c r="A169" s="475" t="s">
        <v>1120</v>
      </c>
      <c r="B169" s="207">
        <v>94970</v>
      </c>
      <c r="C169" s="548" t="str">
        <f>IF(A169="SERVIÇO",VLOOKUP(B169,SERVIÇOS!$A$6:$D$7697,2,0),IF(A169="INSUMO",VLOOKUP(B169,INSUMOS!$A$6:$D$4845,2,0),IF(A169="COTAÇÃO",VLOOKUP(B169,'014-22-cotação'!$A$9:$I$138,2,0),IF(A169="AUX",VLOOKUP('014-22-CCU''s'!B169,'014-22-CCU''s AUX'!$B$1:$H$130,2,0)))))</f>
        <v>CONCRETO FCK = 20MPA, TRAÇO 1:2,7:3 (EM MASSA SECA DE CIMENTO/ AREIA MÉDIA/ BRITA 1) - PREPARO MECÂNICO COM BETONEIRA 600 L. AF_05/2021</v>
      </c>
      <c r="D169" s="549" t="str">
        <f>IF(A169="SERVIÇO",VLOOKUP(B169,SERVIÇOS!$A$6:$E$7697,5,0),IF(A169="INSUMO",VLOOKUP(B169,INSUMOS!$A$6:$E$4845,5,0),IF(A169="COTAÇÃO",VLOOKUP(B169,'014-22-cotação'!$A$9:$J$138,10,0),IF(A169="AUX",VLOOKUP('014-22-CCU''s'!B169,'014-22-CCU''s AUX'!$B$1:$H$130,3,0)))))</f>
        <v>SER.CG</v>
      </c>
      <c r="E169" s="549" t="str">
        <f>IF(A169="SERVIÇO",VLOOKUP(B169,SERVIÇOS!$A$6:$D$7697,3,0),IF(A169="INSUMO",VLOOKUP(B169,INSUMOS!$A$6:$D$4845,3,0),IF(A169="COTAÇÃO",VLOOKUP(B169,'014-22-cotação'!$A$9:$I$138,4,0),IF(A169="AUX",VLOOKUP('014-22-CCU''s'!B169,'014-22-CCU''s AUX'!$B$1:$H$130,4,0)))))</f>
        <v>M3</v>
      </c>
      <c r="F169" s="565" t="s">
        <v>4283</v>
      </c>
      <c r="G169" s="550">
        <f>IF(A169="SERVIÇO",VLOOKUP(B169,SERVIÇOS!$A$6:$D$7697,4,0),IF(A169="INSUMO",VLOOKUP(B169,INSUMOS!$A$6:$D$4845,4,0),IF(A169="COTAÇÃO",VLOOKUP(B169,'014-22-cotação'!$A$9:$I$138,3,0),IF(A169="AUX",VLOOKUP('014-22-CCU''s'!B169,'014-22-CCU''s AUX'!$B$1:$H$130,7,0)))))</f>
        <v>549.73</v>
      </c>
      <c r="H169" s="561">
        <f t="shared" si="13"/>
        <v>34.08</v>
      </c>
      <c r="S169" s="331"/>
      <c r="T169" s="342"/>
    </row>
    <row r="170" spans="1:20" s="213" customFormat="1" ht="12.75" x14ac:dyDescent="0.25">
      <c r="A170" s="398"/>
      <c r="B170" s="207" t="s">
        <v>109</v>
      </c>
      <c r="C170" s="382" t="s">
        <v>4284</v>
      </c>
      <c r="D170" s="383"/>
      <c r="E170" s="383"/>
      <c r="F170" s="383"/>
      <c r="G170" s="383"/>
      <c r="H170" s="384"/>
      <c r="S170" s="331"/>
      <c r="T170" s="342"/>
    </row>
    <row r="171" spans="1:20" s="213" customFormat="1" ht="12.75" x14ac:dyDescent="0.25">
      <c r="A171" s="398"/>
      <c r="B171" s="269"/>
      <c r="C171" s="383"/>
      <c r="D171" s="270"/>
      <c r="E171" s="270"/>
      <c r="F171" s="270"/>
      <c r="G171" s="270"/>
      <c r="H171" s="271"/>
      <c r="S171" s="331"/>
      <c r="T171" s="342"/>
    </row>
    <row r="172" spans="1:20" s="213" customFormat="1" ht="38.25" x14ac:dyDescent="0.25">
      <c r="A172" s="398"/>
      <c r="B172" s="263" t="s">
        <v>2146</v>
      </c>
      <c r="C172" s="177" t="s">
        <v>4623</v>
      </c>
      <c r="D172" s="178" t="s">
        <v>101</v>
      </c>
      <c r="E172" s="178" t="s">
        <v>1105</v>
      </c>
      <c r="F172" s="179"/>
      <c r="G172" s="180"/>
      <c r="H172" s="181">
        <f>ROUND(SUM(H173:H174),2)</f>
        <v>830.5</v>
      </c>
      <c r="I172" s="213" t="s">
        <v>12742</v>
      </c>
      <c r="S172" s="331"/>
      <c r="T172" s="342"/>
    </row>
    <row r="173" spans="1:20" s="213" customFormat="1" ht="51" x14ac:dyDescent="0.25">
      <c r="A173" s="475" t="s">
        <v>1120</v>
      </c>
      <c r="B173" s="207">
        <v>94971</v>
      </c>
      <c r="C173" s="548" t="str">
        <f>IF(A173="SERVIÇO",VLOOKUP(B173,SERVIÇOS!$A$6:$D$7697,2,0),IF(A173="INSUMO",VLOOKUP(B173,INSUMOS!$A$6:$D$4845,2,0),IF(A173="COTAÇÃO",VLOOKUP(B173,'014-22-cotação'!$A$9:$I$138,2,0),IF(A173="AUX",VLOOKUP('014-22-CCU''s'!B173,'014-22-CCU''s AUX'!$B$1:$H$130,2,0)))))</f>
        <v>CONCRETO FCK = 25MPA, TRAÇO 1:2,3:2,7 (EM MASSA SECA DE CIMENTO/ AREIA MÉDIA/ BRITA 1) - PREPARO MECÂNICO COM BETONEIRA 600 L. AF_05/2021</v>
      </c>
      <c r="D173" s="549" t="str">
        <f>IF(A173="SERVIÇO",VLOOKUP(B173,SERVIÇOS!$A$6:$E$7697,5,0),IF(A173="INSUMO",VLOOKUP(B173,INSUMOS!$A$6:$E$4845,5,0),IF(A173="COTAÇÃO",VLOOKUP(B173,'014-22-cotação'!$A$9:$J$138,10,0),IF(A173="AUX",VLOOKUP('014-22-CCU''s'!B173,'014-22-CCU''s AUX'!$B$1:$H$130,3,0)))))</f>
        <v>SER.CG</v>
      </c>
      <c r="E173" s="549" t="str">
        <f>IF(A173="SERVIÇO",VLOOKUP(B173,SERVIÇOS!$A$6:$D$7697,3,0),IF(A173="INSUMO",VLOOKUP(B173,INSUMOS!$A$6:$D$4845,3,0),IF(A173="COTAÇÃO",VLOOKUP(B173,'014-22-cotação'!$A$9:$I$138,4,0),IF(A173="AUX",VLOOKUP('014-22-CCU''s'!B173,'014-22-CCU''s AUX'!$B$1:$H$130,4,0)))))</f>
        <v>M3</v>
      </c>
      <c r="F173" s="565">
        <v>1.1499999999999999</v>
      </c>
      <c r="G173" s="550">
        <f>IF(A173="SERVIÇO",VLOOKUP(B173,SERVIÇOS!$A$6:$D$7697,4,0),IF(A173="INSUMO",VLOOKUP(B173,INSUMOS!$A$6:$D$4845,4,0),IF(A173="COTAÇÃO",VLOOKUP(B173,'014-22-cotação'!$A$9:$I$138,3,0),IF(A173="AUX",VLOOKUP('014-22-CCU''s'!B173,'014-22-CCU''s AUX'!$B$1:$H$130,7,0)))))</f>
        <v>567.69000000000005</v>
      </c>
      <c r="H173" s="561">
        <f>TRUNC((F173*G173),2)</f>
        <v>652.84</v>
      </c>
      <c r="S173" s="331"/>
      <c r="T173" s="342"/>
    </row>
    <row r="174" spans="1:20" s="476" customFormat="1" ht="38.25" x14ac:dyDescent="0.25">
      <c r="A174" s="475" t="s">
        <v>1120</v>
      </c>
      <c r="B174" s="207">
        <v>103670</v>
      </c>
      <c r="C174" s="548" t="str">
        <f>IF(A174="SERVIÇO",VLOOKUP(B174,SERVIÇOS!$A$6:$D$7697,2,0),IF(A174="INSUMO",VLOOKUP(B174,INSUMOS!$A$6:$D$4845,2,0),IF(A174="COTAÇÃO",VLOOKUP(B174,'014-22-cotação'!$A$9:$I$138,2,0),IF(A174="AUX",VLOOKUP('014-22-CCU''s'!B174,'014-22-CCU''s AUX'!$B$1:$H$130,2,0)))))</f>
        <v>LANÇAMENTO COM USO DE BALDES, ADENSAMENTO E ACABAMENTO DE CONCRETO EM ESTRUTURAS. AF_02/2022</v>
      </c>
      <c r="D174" s="549" t="str">
        <f>IF(A174="SERVIÇO",VLOOKUP(B174,SERVIÇOS!$A$6:$E$7697,5,0),IF(A174="INSUMO",VLOOKUP(B174,INSUMOS!$A$6:$E$4845,5,0),IF(A174="COTAÇÃO",VLOOKUP(B174,'014-22-cotação'!$A$9:$J$138,10,0),IF(A174="AUX",VLOOKUP('014-22-CCU''s'!B174,'014-22-CCU''s AUX'!$B$1:$H$130,3,0)))))</f>
        <v>SER.CG</v>
      </c>
      <c r="E174" s="549" t="str">
        <f>IF(A174="SERVIÇO",VLOOKUP(B174,SERVIÇOS!$A$6:$D$7697,3,0),IF(A174="INSUMO",VLOOKUP(B174,INSUMOS!$A$6:$D$4845,3,0),IF(A174="COTAÇÃO",VLOOKUP(B174,'014-22-cotação'!$A$9:$I$138,4,0),IF(A174="AUX",VLOOKUP('014-22-CCU''s'!B174,'014-22-CCU''s AUX'!$B$1:$H$130,4,0)))))</f>
        <v>M3</v>
      </c>
      <c r="F174" s="565">
        <v>0.54400000000000004</v>
      </c>
      <c r="G174" s="550">
        <f>IF(A174="SERVIÇO",VLOOKUP(B174,SERVIÇOS!$A$6:$D$7697,4,0),IF(A174="INSUMO",VLOOKUP(B174,INSUMOS!$A$6:$D$4845,4,0),IF(A174="COTAÇÃO",VLOOKUP(B174,'014-22-cotação'!$A$9:$I$138,3,0),IF(A174="AUX",VLOOKUP('014-22-CCU''s'!B174,'014-22-CCU''s AUX'!$B$1:$H$130,7,0)))))</f>
        <v>326.58999999999997</v>
      </c>
      <c r="H174" s="561">
        <f>TRUNC((F174*G174),2)</f>
        <v>177.66</v>
      </c>
      <c r="S174" s="478"/>
      <c r="T174" s="479"/>
    </row>
    <row r="175" spans="1:20" s="213" customFormat="1" ht="12.75" x14ac:dyDescent="0.25">
      <c r="A175" s="398"/>
      <c r="B175" s="207" t="s">
        <v>109</v>
      </c>
      <c r="C175" s="382" t="s">
        <v>12723</v>
      </c>
      <c r="D175" s="383"/>
      <c r="E175" s="383"/>
      <c r="F175" s="383"/>
      <c r="G175" s="383"/>
      <c r="H175" s="384"/>
      <c r="S175" s="331"/>
      <c r="T175" s="342"/>
    </row>
    <row r="176" spans="1:20" s="213" customFormat="1" ht="12.75" x14ac:dyDescent="0.25">
      <c r="A176" s="398"/>
      <c r="B176" s="208"/>
      <c r="C176" s="383"/>
      <c r="D176" s="383"/>
      <c r="E176" s="383"/>
      <c r="F176" s="383"/>
      <c r="G176" s="383"/>
      <c r="H176" s="384"/>
      <c r="S176" s="331"/>
      <c r="T176" s="342"/>
    </row>
    <row r="177" spans="1:20" s="213" customFormat="1" ht="38.25" x14ac:dyDescent="0.25">
      <c r="A177" s="398"/>
      <c r="B177" s="263" t="s">
        <v>1496</v>
      </c>
      <c r="C177" s="177" t="s">
        <v>4277</v>
      </c>
      <c r="D177" s="178" t="s">
        <v>101</v>
      </c>
      <c r="E177" s="178" t="s">
        <v>150</v>
      </c>
      <c r="F177" s="179"/>
      <c r="G177" s="180"/>
      <c r="H177" s="181">
        <f>ROUND(SUM(H178:H181),2)</f>
        <v>285.82</v>
      </c>
      <c r="I177" s="213" t="s">
        <v>12742</v>
      </c>
      <c r="S177" s="331"/>
      <c r="T177" s="342"/>
    </row>
    <row r="178" spans="1:20" s="213" customFormat="1" ht="25.5" x14ac:dyDescent="0.25">
      <c r="A178" s="398" t="s">
        <v>1122</v>
      </c>
      <c r="B178" s="207">
        <v>1321</v>
      </c>
      <c r="C178" s="548" t="str">
        <f>IF(A178="SERVIÇO",VLOOKUP(B178,SERVIÇOS!$A$6:$D$7697,2,0),IF(A178="INSUMO",VLOOKUP(B178,INSUMOS!$A$6:$D$4845,2,0),IF(A178="COTAÇÃO",VLOOKUP(B178,'014-22-cotação'!$A$9:$I$138,2,0),IF(A178="AUX",VLOOKUP('014-22-CCU''s'!B178,'014-22-CCU''s AUX'!$B$1:$H$130,2,0)))))</f>
        <v xml:space="preserve">CHAPA DE ACO FINA A QUENTE BITOLA MSG 13, E = 2,25 MM (18,00 KG/M2)                                                                                                                                                                                                                                                                                                                                                                                                                                       </v>
      </c>
      <c r="D178" s="549" t="str">
        <f>IF(A178="SERVIÇO",VLOOKUP(B178,SERVIÇOS!$A$6:$E$7697,5,0),IF(A178="INSUMO",VLOOKUP(B178,INSUMOS!$A$6:$E$4845,5,0),IF(A178="COTAÇÃO",VLOOKUP(B178,'014-22-cotação'!$A$9:$J$138,10,0),IF(A178="AUX",VLOOKUP('014-22-CCU''s'!B178,'014-22-CCU''s AUX'!$B$1:$H$130,3,0)))))</f>
        <v>MAT.</v>
      </c>
      <c r="E178" s="549" t="str">
        <f>IF(A178="SERVIÇO",VLOOKUP(B178,SERVIÇOS!$A$6:$D$7697,3,0),IF(A178="INSUMO",VLOOKUP(B178,INSUMOS!$A$6:$D$4845,3,0),IF(A178="COTAÇÃO",VLOOKUP(B178,'014-22-cotação'!$A$9:$I$138,4,0),IF(A178="AUX",VLOOKUP('014-22-CCU''s'!B178,'014-22-CCU''s AUX'!$B$1:$H$130,4,0)))))</f>
        <v xml:space="preserve">KG    </v>
      </c>
      <c r="F178" s="565">
        <v>18</v>
      </c>
      <c r="G178" s="550">
        <f>IF(A178="SERVIÇO",VLOOKUP(B178,SERVIÇOS!$A$6:$D$7697,4,0),IF(A178="INSUMO",VLOOKUP(B178,INSUMOS!$A$6:$D$4845,4,0),IF(A178="COTAÇÃO",VLOOKUP(B178,'014-22-cotação'!$A$9:$I$138,3,0),IF(A178="AUX",VLOOKUP('014-22-CCU''s'!B178,'014-22-CCU''s AUX'!$B$1:$H$130,7,0)))))</f>
        <v>7.74</v>
      </c>
      <c r="H178" s="561">
        <f t="shared" ref="H178:H181" si="14">TRUNC((F178*G178),2)</f>
        <v>139.32</v>
      </c>
      <c r="S178" s="331"/>
      <c r="T178" s="342"/>
    </row>
    <row r="179" spans="1:20" s="213" customFormat="1" ht="25.5" x14ac:dyDescent="0.25">
      <c r="A179" s="398" t="s">
        <v>1122</v>
      </c>
      <c r="B179" s="207">
        <v>10997</v>
      </c>
      <c r="C179" s="548" t="str">
        <f>IF(A179="SERVIÇO",VLOOKUP(B179,SERVIÇOS!$A$6:$D$7697,2,0),IF(A179="INSUMO",VLOOKUP(B179,INSUMOS!$A$6:$D$4845,2,0),IF(A179="COTAÇÃO",VLOOKUP(B179,'014-22-cotação'!$A$9:$I$138,2,0),IF(A179="AUX",VLOOKUP('014-22-CCU''s'!B179,'014-22-CCU''s AUX'!$B$1:$H$130,2,0)))))</f>
        <v xml:space="preserve">ELETRODO REVESTIDO AWS - E7018, DIAMETRO IGUAL A 4,00 MM                                                                                                                                                                                                                                                                                                                                                                                                                                                  </v>
      </c>
      <c r="D179" s="549" t="str">
        <f>IF(A179="SERVIÇO",VLOOKUP(B179,SERVIÇOS!$A$6:$E$7697,5,0),IF(A179="INSUMO",VLOOKUP(B179,INSUMOS!$A$6:$E$4845,5,0),IF(A179="COTAÇÃO",VLOOKUP(B179,'014-22-cotação'!$A$9:$J$138,10,0),IF(A179="AUX",VLOOKUP('014-22-CCU''s'!B179,'014-22-CCU''s AUX'!$B$1:$H$130,3,0)))))</f>
        <v>MAT.</v>
      </c>
      <c r="E179" s="549" t="str">
        <f>IF(A179="SERVIÇO",VLOOKUP(B179,SERVIÇOS!$A$6:$D$7697,3,0),IF(A179="INSUMO",VLOOKUP(B179,INSUMOS!$A$6:$D$4845,3,0),IF(A179="COTAÇÃO",VLOOKUP(B179,'014-22-cotação'!$A$9:$I$138,4,0),IF(A179="AUX",VLOOKUP('014-22-CCU''s'!B179,'014-22-CCU''s AUX'!$B$1:$H$130,4,0)))))</f>
        <v xml:space="preserve">KG    </v>
      </c>
      <c r="F179" s="565">
        <v>2.87</v>
      </c>
      <c r="G179" s="550">
        <f>IF(A179="SERVIÇO",VLOOKUP(B179,SERVIÇOS!$A$6:$D$7697,4,0),IF(A179="INSUMO",VLOOKUP(B179,INSUMOS!$A$6:$D$4845,4,0),IF(A179="COTAÇÃO",VLOOKUP(B179,'014-22-cotação'!$A$9:$I$138,3,0),IF(A179="AUX",VLOOKUP('014-22-CCU''s'!B179,'014-22-CCU''s AUX'!$B$1:$H$130,7,0)))))</f>
        <v>40</v>
      </c>
      <c r="H179" s="561">
        <f t="shared" si="14"/>
        <v>114.8</v>
      </c>
      <c r="S179" s="331"/>
      <c r="T179" s="342"/>
    </row>
    <row r="180" spans="1:20" s="213" customFormat="1" ht="25.5" x14ac:dyDescent="0.25">
      <c r="A180" s="398" t="s">
        <v>1120</v>
      </c>
      <c r="B180" s="207">
        <v>88316</v>
      </c>
      <c r="C180" s="548" t="str">
        <f>IF(A180="SERVIÇO",VLOOKUP(B180,SERVIÇOS!$A$6:$D$7697,2,0),IF(A180="INSUMO",VLOOKUP(B180,INSUMOS!$A$6:$D$4845,2,0),IF(A180="COTAÇÃO",VLOOKUP(B180,'014-22-cotação'!$A$9:$I$138,2,0),IF(A180="AUX",VLOOKUP('014-22-CCU''s'!B180,'014-22-CCU''s AUX'!$B$1:$H$130,2,0)))))</f>
        <v>SERVENTE COM ENCARGOS COMPLEMENTARES</v>
      </c>
      <c r="D180" s="549" t="str">
        <f>IF(A180="SERVIÇO",VLOOKUP(B180,SERVIÇOS!$A$6:$E$7697,5,0),IF(A180="INSUMO",VLOOKUP(B180,INSUMOS!$A$6:$E$4845,5,0),IF(A180="COTAÇÃO",VLOOKUP(B180,'014-22-cotação'!$A$9:$J$138,10,0),IF(A180="AUX",VLOOKUP('014-22-CCU''s'!B180,'014-22-CCU''s AUX'!$B$1:$H$130,3,0)))))</f>
        <v>M.O</v>
      </c>
      <c r="E180" s="549" t="str">
        <f>IF(A180="SERVIÇO",VLOOKUP(B180,SERVIÇOS!$A$6:$D$7697,3,0),IF(A180="INSUMO",VLOOKUP(B180,INSUMOS!$A$6:$D$4845,3,0),IF(A180="COTAÇÃO",VLOOKUP(B180,'014-22-cotação'!$A$9:$I$138,4,0),IF(A180="AUX",VLOOKUP('014-22-CCU''s'!B180,'014-22-CCU''s AUX'!$B$1:$H$130,4,0)))))</f>
        <v>H</v>
      </c>
      <c r="F180" s="565">
        <v>0.3</v>
      </c>
      <c r="G180" s="550">
        <f>IF(A180="SERVIÇO",VLOOKUP(B180,SERVIÇOS!$A$6:$D$7697,4,0),IF(A180="INSUMO",VLOOKUP(B180,INSUMOS!$A$6:$D$4845,4,0),IF(A180="COTAÇÃO",VLOOKUP(B180,'014-22-cotação'!$A$9:$I$138,3,0),IF(A180="AUX",VLOOKUP('014-22-CCU''s'!B180,'014-22-CCU''s AUX'!$B$1:$H$130,7,0)))))</f>
        <v>23.4</v>
      </c>
      <c r="H180" s="561">
        <f t="shared" si="14"/>
        <v>7.02</v>
      </c>
      <c r="S180" s="331"/>
      <c r="T180" s="342"/>
    </row>
    <row r="181" spans="1:20" s="213" customFormat="1" ht="25.5" x14ac:dyDescent="0.25">
      <c r="A181" s="398" t="s">
        <v>1120</v>
      </c>
      <c r="B181" s="207">
        <v>88315</v>
      </c>
      <c r="C181" s="548" t="str">
        <f>IF(A181="SERVIÇO",VLOOKUP(B181,SERVIÇOS!$A$6:$D$7697,2,0),IF(A181="INSUMO",VLOOKUP(B181,INSUMOS!$A$6:$D$4845,2,0),IF(A181="COTAÇÃO",VLOOKUP(B181,'014-22-cotação'!$A$9:$I$138,2,0),IF(A181="AUX",VLOOKUP('014-22-CCU''s'!B181,'014-22-CCU''s AUX'!$B$1:$H$130,2,0)))))</f>
        <v>SERRALHEIRO COM ENCARGOS COMPLEMENTARES</v>
      </c>
      <c r="D181" s="549" t="str">
        <f>IF(A181="SERVIÇO",VLOOKUP(B181,SERVIÇOS!$A$6:$E$7697,5,0),IF(A181="INSUMO",VLOOKUP(B181,INSUMOS!$A$6:$E$4845,5,0),IF(A181="COTAÇÃO",VLOOKUP(B181,'014-22-cotação'!$A$9:$J$138,10,0),IF(A181="AUX",VLOOKUP('014-22-CCU''s'!B181,'014-22-CCU''s AUX'!$B$1:$H$130,3,0)))))</f>
        <v>M.O</v>
      </c>
      <c r="E181" s="549" t="str">
        <f>IF(A181="SERVIÇO",VLOOKUP(B181,SERVIÇOS!$A$6:$D$7697,3,0),IF(A181="INSUMO",VLOOKUP(B181,INSUMOS!$A$6:$D$4845,3,0),IF(A181="COTAÇÃO",VLOOKUP(B181,'014-22-cotação'!$A$9:$I$138,4,0),IF(A181="AUX",VLOOKUP('014-22-CCU''s'!B181,'014-22-CCU''s AUX'!$B$1:$H$130,4,0)))))</f>
        <v>H</v>
      </c>
      <c r="F181" s="565">
        <v>0.8</v>
      </c>
      <c r="G181" s="550">
        <f>IF(A181="SERVIÇO",VLOOKUP(B181,SERVIÇOS!$A$6:$D$7697,4,0),IF(A181="INSUMO",VLOOKUP(B181,INSUMOS!$A$6:$D$4845,4,0),IF(A181="COTAÇÃO",VLOOKUP(B181,'014-22-cotação'!$A$9:$I$138,3,0),IF(A181="AUX",VLOOKUP('014-22-CCU''s'!B181,'014-22-CCU''s AUX'!$B$1:$H$130,7,0)))))</f>
        <v>30.85</v>
      </c>
      <c r="H181" s="561">
        <f t="shared" si="14"/>
        <v>24.68</v>
      </c>
      <c r="S181" s="331"/>
      <c r="T181" s="342"/>
    </row>
    <row r="182" spans="1:20" s="213" customFormat="1" ht="12.75" x14ac:dyDescent="0.25">
      <c r="A182" s="398"/>
      <c r="B182" s="207" t="s">
        <v>109</v>
      </c>
      <c r="C182" s="382" t="s">
        <v>4276</v>
      </c>
      <c r="D182" s="383"/>
      <c r="E182" s="383"/>
      <c r="F182" s="383"/>
      <c r="G182" s="383"/>
      <c r="H182" s="384"/>
      <c r="S182" s="331"/>
      <c r="T182" s="342"/>
    </row>
    <row r="183" spans="1:20" s="213" customFormat="1" ht="12.75" x14ac:dyDescent="0.25">
      <c r="A183" s="398"/>
      <c r="B183" s="208"/>
      <c r="C183" s="383"/>
      <c r="D183" s="383"/>
      <c r="E183" s="383"/>
      <c r="F183" s="383"/>
      <c r="G183" s="383"/>
      <c r="H183" s="384"/>
      <c r="S183" s="331"/>
      <c r="T183" s="342"/>
    </row>
    <row r="184" spans="1:20" s="213" customFormat="1" ht="25.5" x14ac:dyDescent="0.25">
      <c r="A184" s="398"/>
      <c r="B184" s="263" t="s">
        <v>3906</v>
      </c>
      <c r="C184" s="177" t="s">
        <v>3907</v>
      </c>
      <c r="D184" s="178" t="s">
        <v>101</v>
      </c>
      <c r="E184" s="178" t="s">
        <v>1104</v>
      </c>
      <c r="F184" s="179"/>
      <c r="G184" s="180"/>
      <c r="H184" s="181">
        <f>ROUND(SUM(H185:H187),2)</f>
        <v>26.33</v>
      </c>
      <c r="I184" s="213" t="s">
        <v>12742</v>
      </c>
      <c r="S184" s="331"/>
      <c r="T184" s="342"/>
    </row>
    <row r="185" spans="1:20" s="213" customFormat="1" ht="25.5" x14ac:dyDescent="0.25">
      <c r="A185" s="398" t="s">
        <v>1122</v>
      </c>
      <c r="B185" s="207">
        <v>11975</v>
      </c>
      <c r="C185" s="548" t="str">
        <f>IF(A185="SERVIÇO",VLOOKUP(B185,SERVIÇOS!$A$6:$D$7697,2,0),IF(A185="INSUMO",VLOOKUP(B185,INSUMOS!$A$6:$D$4845,2,0),IF(A185="COTAÇÃO",VLOOKUP(B185,'014-22-cotação'!$A$9:$I$138,2,0),IF(A185="AUX",VLOOKUP('014-22-CCU''s'!B185,'014-22-CCU''s AUX'!$B$1:$H$130,2,0)))))</f>
        <v xml:space="preserve">CHUMBADOR DE ACO ZINCADO, DIAMETRO 5/8", COMPRIMENTO 6", COM PORCA                                                                                                                                                                                                                                                                                                                                                                                                                                        </v>
      </c>
      <c r="D185" s="549" t="str">
        <f>IF(A185="SERVIÇO",VLOOKUP(B185,SERVIÇOS!$A$6:$E$7697,5,0),IF(A185="INSUMO",VLOOKUP(B185,INSUMOS!$A$6:$E$4845,5,0),IF(A185="COTAÇÃO",VLOOKUP(B185,'014-22-cotação'!$A$9:$J$138,10,0),IF(A185="AUX",VLOOKUP('014-22-CCU''s'!B185,'014-22-CCU''s AUX'!$B$1:$H$130,3,0)))))</f>
        <v>MAT.</v>
      </c>
      <c r="E185" s="549" t="str">
        <f>IF(A185="SERVIÇO",VLOOKUP(B185,SERVIÇOS!$A$6:$D$7697,3,0),IF(A185="INSUMO",VLOOKUP(B185,INSUMOS!$A$6:$D$4845,3,0),IF(A185="COTAÇÃO",VLOOKUP(B185,'014-22-cotação'!$A$9:$I$138,4,0),IF(A185="AUX",VLOOKUP('014-22-CCU''s'!B185,'014-22-CCU''s AUX'!$B$1:$H$130,4,0)))))</f>
        <v xml:space="preserve">UN    </v>
      </c>
      <c r="F185" s="565">
        <v>1</v>
      </c>
      <c r="G185" s="550">
        <f>IF(A185="SERVIÇO",VLOOKUP(B185,SERVIÇOS!$A$6:$D$7697,4,0),IF(A185="INSUMO",VLOOKUP(B185,INSUMOS!$A$6:$D$4845,4,0),IF(A185="COTAÇÃO",VLOOKUP(B185,'014-22-cotação'!$A$9:$I$138,3,0),IF(A185="AUX",VLOOKUP('014-22-CCU''s'!B185,'014-22-CCU''s AUX'!$B$1:$H$130,7,0)))))</f>
        <v>25.95</v>
      </c>
      <c r="H185" s="561">
        <f>TRUNC((F185*G185),2)</f>
        <v>25.95</v>
      </c>
      <c r="S185" s="331"/>
      <c r="T185" s="342"/>
    </row>
    <row r="186" spans="1:20" s="213" customFormat="1" ht="25.5" x14ac:dyDescent="0.25">
      <c r="A186" s="398" t="s">
        <v>1120</v>
      </c>
      <c r="B186" s="207">
        <v>88240</v>
      </c>
      <c r="C186" s="548" t="str">
        <f>IF(A186="SERVIÇO",VLOOKUP(B186,SERVIÇOS!$A$6:$D$7697,2,0),IF(A186="INSUMO",VLOOKUP(B186,INSUMOS!$A$6:$D$4845,2,0),IF(A186="COTAÇÃO",VLOOKUP(B186,'014-22-cotação'!$A$9:$I$138,2,0),IF(A186="AUX",VLOOKUP('014-22-CCU''s'!B186,'014-22-CCU''s AUX'!$B$1:$H$130,2,0)))))</f>
        <v>AJUDANTE DE ESTRUTURA METÁLICA COM ENCARGOS COMPLEMENTARES</v>
      </c>
      <c r="D186" s="549" t="str">
        <f>IF(A186="SERVIÇO",VLOOKUP(B186,SERVIÇOS!$A$6:$E$7697,5,0),IF(A186="INSUMO",VLOOKUP(B186,INSUMOS!$A$6:$E$4845,5,0),IF(A186="COTAÇÃO",VLOOKUP(B186,'014-22-cotação'!$A$9:$J$138,10,0),IF(A186="AUX",VLOOKUP('014-22-CCU''s'!B186,'014-22-CCU''s AUX'!$B$1:$H$130,3,0)))))</f>
        <v>M.O</v>
      </c>
      <c r="E186" s="549" t="str">
        <f>IF(A186="SERVIÇO",VLOOKUP(B186,SERVIÇOS!$A$6:$D$7697,3,0),IF(A186="INSUMO",VLOOKUP(B186,INSUMOS!$A$6:$D$4845,3,0),IF(A186="COTAÇÃO",VLOOKUP(B186,'014-22-cotação'!$A$9:$I$138,4,0),IF(A186="AUX",VLOOKUP('014-22-CCU''s'!B186,'014-22-CCU''s AUX'!$B$1:$H$130,4,0)))))</f>
        <v>H</v>
      </c>
      <c r="F186" s="565">
        <v>8.0000000000000002E-3</v>
      </c>
      <c r="G186" s="550">
        <f>IF(A186="SERVIÇO",VLOOKUP(B186,SERVIÇOS!$A$6:$D$7697,4,0),IF(A186="INSUMO",VLOOKUP(B186,INSUMOS!$A$6:$D$4845,4,0),IF(A186="COTAÇÃO",VLOOKUP(B186,'014-22-cotação'!$A$9:$I$138,3,0),IF(A186="AUX",VLOOKUP('014-22-CCU''s'!B186,'014-22-CCU''s AUX'!$B$1:$H$130,7,0)))))</f>
        <v>23.02</v>
      </c>
      <c r="H186" s="561">
        <f>TRUNC((F186*G186),2)</f>
        <v>0.18</v>
      </c>
      <c r="S186" s="331"/>
      <c r="T186" s="342"/>
    </row>
    <row r="187" spans="1:20" s="213" customFormat="1" ht="25.5" x14ac:dyDescent="0.25">
      <c r="A187" s="199" t="s">
        <v>1120</v>
      </c>
      <c r="B187" s="207">
        <v>88278</v>
      </c>
      <c r="C187" s="548" t="str">
        <f>IF(A187="SERVIÇO",VLOOKUP(B187,SERVIÇOS!$A$6:$D$7697,2,0),IF(A187="INSUMO",VLOOKUP(B187,INSUMOS!$A$6:$D$4845,2,0),IF(A187="COTAÇÃO",VLOOKUP(B187,'014-22-cotação'!$A$9:$I$138,2,0),IF(A187="AUX",VLOOKUP('014-22-CCU''s'!B187,'014-22-CCU''s AUX'!$B$1:$H$130,2,0)))))</f>
        <v>MONTADOR DE ESTRUTURA METÁLICA COM ENCARGOS COMPLEMENTARES</v>
      </c>
      <c r="D187" s="549" t="str">
        <f>IF(A187="SERVIÇO",VLOOKUP(B187,SERVIÇOS!$A$6:$E$7697,5,0),IF(A187="INSUMO",VLOOKUP(B187,INSUMOS!$A$6:$E$4845,5,0),IF(A187="COTAÇÃO",VLOOKUP(B187,'014-22-cotação'!$A$9:$J$138,10,0),IF(A187="AUX",VLOOKUP('014-22-CCU''s'!B187,'014-22-CCU''s AUX'!$B$1:$H$130,3,0)))))</f>
        <v>M.O</v>
      </c>
      <c r="E187" s="549" t="str">
        <f>IF(A187="SERVIÇO",VLOOKUP(B187,SERVIÇOS!$A$6:$D$7697,3,0),IF(A187="INSUMO",VLOOKUP(B187,INSUMOS!$A$6:$D$4845,3,0),IF(A187="COTAÇÃO",VLOOKUP(B187,'014-22-cotação'!$A$9:$I$138,4,0),IF(A187="AUX",VLOOKUP('014-22-CCU''s'!B187,'014-22-CCU''s AUX'!$B$1:$H$130,4,0)))))</f>
        <v>H</v>
      </c>
      <c r="F187" s="565">
        <v>8.0000000000000002E-3</v>
      </c>
      <c r="G187" s="550">
        <f>IF(A187="SERVIÇO",VLOOKUP(B187,SERVIÇOS!$A$6:$D$7697,4,0),IF(A187="INSUMO",VLOOKUP(B187,INSUMOS!$A$6:$D$4845,4,0),IF(A187="COTAÇÃO",VLOOKUP(B187,'014-22-cotação'!$A$9:$I$138,3,0),IF(A187="AUX",VLOOKUP('014-22-CCU''s'!B187,'014-22-CCU''s AUX'!$B$1:$H$130,7,0)))))</f>
        <v>25.36</v>
      </c>
      <c r="H187" s="561">
        <f>TRUNC((F187*G187),2)</f>
        <v>0.2</v>
      </c>
      <c r="S187" s="331"/>
      <c r="T187" s="342"/>
    </row>
    <row r="188" spans="1:20" s="213" customFormat="1" ht="12.75" x14ac:dyDescent="0.25">
      <c r="A188" s="199"/>
      <c r="B188" s="207" t="s">
        <v>109</v>
      </c>
      <c r="C188" s="382" t="s">
        <v>4275</v>
      </c>
      <c r="D188" s="383"/>
      <c r="E188" s="383"/>
      <c r="F188" s="383"/>
      <c r="G188" s="383"/>
      <c r="H188" s="384"/>
      <c r="S188" s="331"/>
      <c r="T188" s="342"/>
    </row>
    <row r="189" spans="1:20" s="213" customFormat="1" ht="12.75" x14ac:dyDescent="0.25">
      <c r="A189" s="199"/>
      <c r="B189" s="208"/>
      <c r="C189" s="175"/>
      <c r="D189" s="176"/>
      <c r="E189" s="176"/>
      <c r="F189" s="176"/>
      <c r="G189" s="176"/>
      <c r="H189" s="176"/>
      <c r="S189" s="331"/>
      <c r="T189" s="342"/>
    </row>
    <row r="190" spans="1:20" s="213" customFormat="1" ht="63.75" x14ac:dyDescent="0.25">
      <c r="A190" s="199"/>
      <c r="B190" s="263" t="s">
        <v>3464</v>
      </c>
      <c r="C190" s="177" t="s">
        <v>4292</v>
      </c>
      <c r="D190" s="178" t="s">
        <v>101</v>
      </c>
      <c r="E190" s="178" t="s">
        <v>150</v>
      </c>
      <c r="F190" s="179"/>
      <c r="G190" s="180"/>
      <c r="H190" s="181">
        <f>SUM(H191:H195)</f>
        <v>92.899999999999991</v>
      </c>
      <c r="S190" s="331"/>
      <c r="T190" s="342"/>
    </row>
    <row r="191" spans="1:20" s="213" customFormat="1" ht="51" x14ac:dyDescent="0.25">
      <c r="A191" s="199" t="s">
        <v>1122</v>
      </c>
      <c r="B191" s="207">
        <v>34492</v>
      </c>
      <c r="C191" s="548" t="str">
        <f>IF(A191="SERVIÇO",VLOOKUP(B191,SERVIÇOS!$A$6:$D$7697,2,0),IF(A191="INSUMO",VLOOKUP(B191,INSUMOS!$A$6:$D$4845,2,0),IF(A191="COTAÇÃO",VLOOKUP(B191,'014-22-cotação'!$A$9:$I$138,2,0),IF(A191="AUX",VLOOKUP('014-22-CCU''s'!B191,'014-22-CCU''s AUX'!$B$1:$H$130,2,0)))))</f>
        <v xml:space="preserve">CONCRETO USINADO BOMBEAVEL, CLASSE DE RESISTENCIA C20, COM BRITA 0 E 1, SLUMP = 100 +/- 20 MM, EXCLUI SERVICO DE BOMBEAMENTO (NBR 8953)                                                                                                                                                                                                                                                                                                                                                                   </v>
      </c>
      <c r="D191" s="549" t="str">
        <f>IF(A191="SERVIÇO",VLOOKUP(B191,SERVIÇOS!$A$6:$E$7697,5,0),IF(A191="INSUMO",VLOOKUP(B191,INSUMOS!$A$6:$E$4845,5,0),IF(A191="COTAÇÃO",VLOOKUP(B191,'014-22-cotação'!$A$9:$J$138,10,0),IF(A191="AUX",VLOOKUP('014-22-CCU''s'!B191,'014-22-CCU''s AUX'!$B$1:$H$130,3,0)))))</f>
        <v>MAT.</v>
      </c>
      <c r="E191" s="549" t="str">
        <f>IF(A191="SERVIÇO",VLOOKUP(B191,SERVIÇOS!$A$6:$D$7697,3,0),IF(A191="INSUMO",VLOOKUP(B191,INSUMOS!$A$6:$D$4845,3,0),IF(A191="COTAÇÃO",VLOOKUP(B191,'014-22-cotação'!$A$9:$I$138,4,0),IF(A191="AUX",VLOOKUP('014-22-CCU''s'!B191,'014-22-CCU''s AUX'!$B$1:$H$130,4,0)))))</f>
        <v xml:space="preserve">M3    </v>
      </c>
      <c r="F191" s="562">
        <f>(0.0814/0.07)*0.08</f>
        <v>9.3028571428571433E-2</v>
      </c>
      <c r="G191" s="550">
        <f>IF(A191="SERVIÇO",VLOOKUP(B191,SERVIÇOS!$A$6:$D$7697,4,0),IF(A191="INSUMO",VLOOKUP(B191,INSUMOS!$A$6:$D$4845,4,0),IF(A191="COTAÇÃO",VLOOKUP(B191,'014-22-cotação'!$A$9:$I$138,3,0),IF(A191="AUX",VLOOKUP('014-22-CCU''s'!B191,'014-22-CCU''s AUX'!$B$1:$H$130,7,0)))))</f>
        <v>457.5</v>
      </c>
      <c r="H191" s="561">
        <f t="shared" ref="H191:H195" si="15">TRUNC((F191*G191),2)</f>
        <v>42.56</v>
      </c>
      <c r="S191" s="331"/>
      <c r="T191" s="342"/>
    </row>
    <row r="192" spans="1:20" s="213" customFormat="1" ht="25.5" x14ac:dyDescent="0.25">
      <c r="A192" s="199" t="s">
        <v>1122</v>
      </c>
      <c r="B192" s="207">
        <v>43146</v>
      </c>
      <c r="C192" s="548" t="str">
        <f>IF(A192="SERVIÇO",VLOOKUP(B192,SERVIÇOS!$A$6:$D$7697,2,0),IF(A192="INSUMO",VLOOKUP(B192,INSUMOS!$A$6:$D$4845,2,0),IF(A192="COTAÇÃO",VLOOKUP(B192,'014-22-cotação'!$A$9:$I$138,2,0),IF(A192="AUX",VLOOKUP('014-22-CCU''s'!B192,'014-22-CCU''s AUX'!$B$1:$H$130,2,0)))))</f>
        <v xml:space="preserve">ENDURECEDOR MINERAL DE BASE CIMENTICIA PARA PISO DE CONCRETO                                                                                                                                                                                                                                                                                                                                                                                                                                              </v>
      </c>
      <c r="D192" s="549" t="str">
        <f>IF(A192="SERVIÇO",VLOOKUP(B192,SERVIÇOS!$A$6:$E$7697,5,0),IF(A192="INSUMO",VLOOKUP(B192,INSUMOS!$A$6:$E$4845,5,0),IF(A192="COTAÇÃO",VLOOKUP(B192,'014-22-cotação'!$A$9:$J$138,10,0),IF(A192="AUX",VLOOKUP('014-22-CCU''s'!B192,'014-22-CCU''s AUX'!$B$1:$H$130,3,0)))))</f>
        <v>MAT.</v>
      </c>
      <c r="E192" s="549" t="str">
        <f>IF(A192="SERVIÇO",VLOOKUP(B192,SERVIÇOS!$A$6:$D$7697,3,0),IF(A192="INSUMO",VLOOKUP(B192,INSUMOS!$A$6:$D$4845,3,0),IF(A192="COTAÇÃO",VLOOKUP(B192,'014-22-cotação'!$A$9:$I$138,4,0),IF(A192="AUX",VLOOKUP('014-22-CCU''s'!B192,'014-22-CCU''s AUX'!$B$1:$H$130,4,0)))))</f>
        <v xml:space="preserve">KG    </v>
      </c>
      <c r="F192" s="562">
        <f>(4/0.07)*0.08</f>
        <v>4.5714285714285712</v>
      </c>
      <c r="G192" s="550">
        <f>IF(A192="SERVIÇO",VLOOKUP(B192,SERVIÇOS!$A$6:$D$7697,4,0),IF(A192="INSUMO",VLOOKUP(B192,INSUMOS!$A$6:$D$4845,4,0),IF(A192="COTAÇÃO",VLOOKUP(B192,'014-22-cotação'!$A$9:$I$138,3,0),IF(A192="AUX",VLOOKUP('014-22-CCU''s'!B192,'014-22-CCU''s AUX'!$B$1:$H$130,7,0)))))</f>
        <v>9.86</v>
      </c>
      <c r="H192" s="561">
        <f t="shared" si="15"/>
        <v>45.07</v>
      </c>
      <c r="S192" s="331"/>
      <c r="T192" s="342"/>
    </row>
    <row r="193" spans="1:20" s="213" customFormat="1" ht="25.5" x14ac:dyDescent="0.25">
      <c r="A193" s="199" t="s">
        <v>1120</v>
      </c>
      <c r="B193" s="207">
        <v>88309</v>
      </c>
      <c r="C193" s="548" t="str">
        <f>IF(A193="SERVIÇO",VLOOKUP(B193,SERVIÇOS!$A$6:$D$7697,2,0),IF(A193="INSUMO",VLOOKUP(B193,INSUMOS!$A$6:$D$4845,2,0),IF(A193="COTAÇÃO",VLOOKUP(B193,'014-22-cotação'!$A$9:$I$138,2,0),IF(A193="AUX",VLOOKUP('014-22-CCU''s'!B193,'014-22-CCU''s AUX'!$B$1:$H$130,2,0)))))</f>
        <v>PEDREIRO COM ENCARGOS COMPLEMENTARES</v>
      </c>
      <c r="D193" s="549" t="str">
        <f>IF(A193="SERVIÇO",VLOOKUP(B193,SERVIÇOS!$A$6:$E$7697,5,0),IF(A193="INSUMO",VLOOKUP(B193,INSUMOS!$A$6:$E$4845,5,0),IF(A193="COTAÇÃO",VLOOKUP(B193,'014-22-cotação'!$A$9:$J$138,10,0),IF(A193="AUX",VLOOKUP('014-22-CCU''s'!B193,'014-22-CCU''s AUX'!$B$1:$H$130,3,0)))))</f>
        <v>M.O</v>
      </c>
      <c r="E193" s="549" t="str">
        <f>IF(A193="SERVIÇO",VLOOKUP(B193,SERVIÇOS!$A$6:$D$7697,3,0),IF(A193="INSUMO",VLOOKUP(B193,INSUMOS!$A$6:$D$4845,3,0),IF(A193="COTAÇÃO",VLOOKUP(B193,'014-22-cotação'!$A$9:$I$138,4,0),IF(A193="AUX",VLOOKUP('014-22-CCU''s'!B193,'014-22-CCU''s AUX'!$B$1:$H$130,4,0)))))</f>
        <v>H</v>
      </c>
      <c r="F193" s="562">
        <f>(0.1119/0.07)*0.08</f>
        <v>0.12788571428571427</v>
      </c>
      <c r="G193" s="550">
        <f>IF(A193="SERVIÇO",VLOOKUP(B193,SERVIÇOS!$A$6:$D$7697,4,0),IF(A193="INSUMO",VLOOKUP(B193,INSUMOS!$A$6:$D$4845,4,0),IF(A193="COTAÇÃO",VLOOKUP(B193,'014-22-cotação'!$A$9:$I$138,3,0),IF(A193="AUX",VLOOKUP('014-22-CCU''s'!B193,'014-22-CCU''s AUX'!$B$1:$H$130,7,0)))))</f>
        <v>31.1</v>
      </c>
      <c r="H193" s="561">
        <f t="shared" si="15"/>
        <v>3.97</v>
      </c>
      <c r="S193" s="331"/>
      <c r="T193" s="342"/>
    </row>
    <row r="194" spans="1:20" s="213" customFormat="1" ht="25.5" x14ac:dyDescent="0.25">
      <c r="A194" s="199" t="s">
        <v>1120</v>
      </c>
      <c r="B194" s="207">
        <v>88316</v>
      </c>
      <c r="C194" s="548" t="str">
        <f>IF(A194="SERVIÇO",VLOOKUP(B194,SERVIÇOS!$A$6:$D$7697,2,0),IF(A194="INSUMO",VLOOKUP(B194,INSUMOS!$A$6:$D$4845,2,0),IF(A194="COTAÇÃO",VLOOKUP(B194,'014-22-cotação'!$A$9:$I$138,2,0),IF(A194="AUX",VLOOKUP('014-22-CCU''s'!B194,'014-22-CCU''s AUX'!$B$1:$H$130,2,0)))))</f>
        <v>SERVENTE COM ENCARGOS COMPLEMENTARES</v>
      </c>
      <c r="D194" s="549" t="str">
        <f>IF(A194="SERVIÇO",VLOOKUP(B194,SERVIÇOS!$A$6:$E$7697,5,0),IF(A194="INSUMO",VLOOKUP(B194,INSUMOS!$A$6:$E$4845,5,0),IF(A194="COTAÇÃO",VLOOKUP(B194,'014-22-cotação'!$A$9:$J$138,10,0),IF(A194="AUX",VLOOKUP('014-22-CCU''s'!B194,'014-22-CCU''s AUX'!$B$1:$H$130,3,0)))))</f>
        <v>M.O</v>
      </c>
      <c r="E194" s="549" t="str">
        <f>IF(A194="SERVIÇO",VLOOKUP(B194,SERVIÇOS!$A$6:$D$7697,3,0),IF(A194="INSUMO",VLOOKUP(B194,INSUMOS!$A$6:$D$4845,3,0),IF(A194="COTAÇÃO",VLOOKUP(B194,'014-22-cotação'!$A$9:$I$138,4,0),IF(A194="AUX",VLOOKUP('014-22-CCU''s'!B194,'014-22-CCU''s AUX'!$B$1:$H$130,4,0)))))</f>
        <v>H</v>
      </c>
      <c r="F194" s="562">
        <f>(0.0466/0.07)*0.08</f>
        <v>5.3257142857142857E-2</v>
      </c>
      <c r="G194" s="550">
        <f>IF(A194="SERVIÇO",VLOOKUP(B194,SERVIÇOS!$A$6:$D$7697,4,0),IF(A194="INSUMO",VLOOKUP(B194,INSUMOS!$A$6:$D$4845,4,0),IF(A194="COTAÇÃO",VLOOKUP(B194,'014-22-cotação'!$A$9:$I$138,3,0),IF(A194="AUX",VLOOKUP('014-22-CCU''s'!B194,'014-22-CCU''s AUX'!$B$1:$H$130,7,0)))))</f>
        <v>23.4</v>
      </c>
      <c r="H194" s="561">
        <f t="shared" si="15"/>
        <v>1.24</v>
      </c>
      <c r="S194" s="331"/>
      <c r="T194" s="342"/>
    </row>
    <row r="195" spans="1:20" s="213" customFormat="1" ht="38.25" x14ac:dyDescent="0.25">
      <c r="A195" s="199" t="s">
        <v>1120</v>
      </c>
      <c r="B195" s="207">
        <v>95282</v>
      </c>
      <c r="C195" s="548" t="str">
        <f>IF(A195="SERVIÇO",VLOOKUP(B195,SERVIÇOS!$A$6:$D$7697,2,0),IF(A195="INSUMO",VLOOKUP(B195,INSUMOS!$A$6:$D$4845,2,0),IF(A195="COTAÇÃO",VLOOKUP(B195,'014-22-cotação'!$A$9:$I$138,2,0),IF(A195="AUX",VLOOKUP('014-22-CCU''s'!B195,'014-22-CCU''s AUX'!$B$1:$H$130,2,0)))))</f>
        <v>DESEMPENADEIRA DE CONCRETO, PESO DE 78 KG, 4 PÁS, MOTOR A GASOLINA, POTÊNCIA 5,5 HP - CHP DIURNO. AF_05/2023</v>
      </c>
      <c r="D195" s="549" t="str">
        <f>IF(A195="SERVIÇO",VLOOKUP(B195,SERVIÇOS!$A$6:$E$7697,5,0),IF(A195="INSUMO",VLOOKUP(B195,INSUMOS!$A$6:$E$4845,5,0),IF(A195="COTAÇÃO",VLOOKUP(B195,'014-22-cotação'!$A$9:$J$138,10,0),IF(A195="AUX",VLOOKUP('014-22-CCU''s'!B195,'014-22-CCU''s AUX'!$B$1:$H$130,3,0)))))</f>
        <v>EQUIP.</v>
      </c>
      <c r="E195" s="549" t="str">
        <f>IF(A195="SERVIÇO",VLOOKUP(B195,SERVIÇOS!$A$6:$D$7697,3,0),IF(A195="INSUMO",VLOOKUP(B195,INSUMOS!$A$6:$D$4845,3,0),IF(A195="COTAÇÃO",VLOOKUP(B195,'014-22-cotação'!$A$9:$I$138,4,0),IF(A195="AUX",VLOOKUP('014-22-CCU''s'!B195,'014-22-CCU''s AUX'!$B$1:$H$130,4,0)))))</f>
        <v>CHP</v>
      </c>
      <c r="F195" s="562">
        <v>7.0000000000000001E-3</v>
      </c>
      <c r="G195" s="550">
        <f>IF(A195="SERVIÇO",VLOOKUP(B195,SERVIÇOS!$A$6:$D$7697,4,0),IF(A195="INSUMO",VLOOKUP(B195,INSUMOS!$A$6:$D$4845,4,0),IF(A195="COTAÇÃO",VLOOKUP(B195,'014-22-cotação'!$A$9:$I$138,3,0),IF(A195="AUX",VLOOKUP('014-22-CCU''s'!B195,'014-22-CCU''s AUX'!$B$1:$H$130,7,0)))))</f>
        <v>9.5</v>
      </c>
      <c r="H195" s="561">
        <f t="shared" si="15"/>
        <v>0.06</v>
      </c>
      <c r="S195" s="331"/>
      <c r="T195" s="342"/>
    </row>
    <row r="196" spans="1:20" s="213" customFormat="1" ht="12.75" x14ac:dyDescent="0.25">
      <c r="A196" s="199"/>
      <c r="B196" s="207" t="s">
        <v>109</v>
      </c>
      <c r="C196" s="382" t="s">
        <v>4293</v>
      </c>
      <c r="D196" s="270"/>
      <c r="E196" s="270"/>
      <c r="F196" s="270"/>
      <c r="G196" s="270"/>
      <c r="H196" s="271"/>
      <c r="S196" s="331"/>
      <c r="T196" s="342"/>
    </row>
    <row r="197" spans="1:20" s="213" customFormat="1" ht="12.75" x14ac:dyDescent="0.25">
      <c r="A197" s="199"/>
      <c r="B197" s="208"/>
      <c r="C197" s="175"/>
      <c r="D197" s="176"/>
      <c r="E197" s="176"/>
      <c r="F197" s="176"/>
      <c r="G197" s="176"/>
      <c r="H197" s="176"/>
      <c r="S197" s="331"/>
      <c r="T197" s="342"/>
    </row>
    <row r="198" spans="1:20" s="213" customFormat="1" ht="63.75" x14ac:dyDescent="0.25">
      <c r="A198" s="199"/>
      <c r="B198" s="263" t="s">
        <v>3465</v>
      </c>
      <c r="C198" s="177" t="s">
        <v>4295</v>
      </c>
      <c r="D198" s="178" t="s">
        <v>101</v>
      </c>
      <c r="E198" s="178" t="s">
        <v>1106</v>
      </c>
      <c r="F198" s="179"/>
      <c r="G198" s="180"/>
      <c r="H198" s="181">
        <f>ROUND(SUM(H199:H206),2)</f>
        <v>102.01</v>
      </c>
      <c r="S198" s="331"/>
      <c r="T198" s="342"/>
    </row>
    <row r="199" spans="1:20" s="213" customFormat="1" ht="25.5" x14ac:dyDescent="0.25">
      <c r="A199" s="199" t="s">
        <v>1122</v>
      </c>
      <c r="B199" s="207">
        <v>3777</v>
      </c>
      <c r="C199" s="548" t="str">
        <f>IF(A199="SERVIÇO",VLOOKUP(B199,SERVIÇOS!$A$6:$D$7697,2,0),IF(A199="INSUMO",VLOOKUP(B199,INSUMOS!$A$6:$D$4845,2,0),IF(A199="COTAÇÃO",VLOOKUP(B199,'014-22-cotação'!$A$9:$I$138,2,0),IF(A199="AUX",VLOOKUP('014-22-CCU''s'!B199,'014-22-CCU''s AUX'!$B$1:$H$130,2,0)))))</f>
        <v xml:space="preserve">LONA PLASTICA PESADA PRETA, E = 150 MICRA                                                                                                                                                                                                                                                                                                                                                                                                                                                                 </v>
      </c>
      <c r="D199" s="549" t="str">
        <f>IF(A199="SERVIÇO",VLOOKUP(B199,SERVIÇOS!$A$6:$E$7697,5,0),IF(A199="INSUMO",VLOOKUP(B199,INSUMOS!$A$6:$E$4845,5,0),IF(A199="COTAÇÃO",VLOOKUP(B199,'014-22-cotação'!$A$9:$J$138,10,0),IF(A199="AUX",VLOOKUP('014-22-CCU''s'!B199,'014-22-CCU''s AUX'!$B$1:$H$130,3,0)))))</f>
        <v>MAT.</v>
      </c>
      <c r="E199" s="549" t="str">
        <f>IF(A199="SERVIÇO",VLOOKUP(B199,SERVIÇOS!$A$6:$D$7697,3,0),IF(A199="INSUMO",VLOOKUP(B199,INSUMOS!$A$6:$D$4845,3,0),IF(A199="COTAÇÃO",VLOOKUP(B199,'014-22-cotação'!$A$9:$I$138,4,0),IF(A199="AUX",VLOOKUP('014-22-CCU''s'!B199,'014-22-CCU''s AUX'!$B$1:$H$130,4,0)))))</f>
        <v xml:space="preserve">M2    </v>
      </c>
      <c r="F199" s="566">
        <v>1.1279999999999999</v>
      </c>
      <c r="G199" s="550">
        <f>IF(A199="SERVIÇO",VLOOKUP(B199,SERVIÇOS!$A$6:$D$7697,4,0),IF(A199="INSUMO",VLOOKUP(B199,INSUMOS!$A$6:$D$4845,4,0),IF(A199="COTAÇÃO",VLOOKUP(B199,'014-22-cotação'!$A$9:$I$138,3,0),IF(A199="AUX",VLOOKUP('014-22-CCU''s'!B199,'014-22-CCU''s AUX'!$B$1:$H$130,7,0)))))</f>
        <v>1.49</v>
      </c>
      <c r="H199" s="561">
        <f>TRUNC((F199*G199),2)</f>
        <v>1.68</v>
      </c>
      <c r="S199" s="331"/>
      <c r="T199" s="342"/>
    </row>
    <row r="200" spans="1:20" s="213" customFormat="1" ht="51" x14ac:dyDescent="0.25">
      <c r="A200" s="199" t="s">
        <v>1122</v>
      </c>
      <c r="B200" s="207">
        <v>4460</v>
      </c>
      <c r="C200" s="548" t="str">
        <f>IF(A200="SERVIÇO",VLOOKUP(B200,SERVIÇOS!$A$6:$D$7697,2,0),IF(A200="INSUMO",VLOOKUP(B200,INSUMOS!$A$6:$D$4845,2,0),IF(A200="COTAÇÃO",VLOOKUP(B200,'014-22-cotação'!$A$9:$I$138,2,0),IF(A200="AUX",VLOOKUP('014-22-CCU''s'!B200,'014-22-CCU''s AUX'!$B$1:$H$130,2,0)))))</f>
        <v xml:space="preserve">SARRAFO NAO APARELHADO *2,5 X 10* CM, EM MACARANDUBA/MASSARANDUBA, ANGELIM OU EQUIVALENTE DA REGIAO - BRUTA                                                                                                                                                                                                                                                                                                                                                                                               </v>
      </c>
      <c r="D200" s="549" t="str">
        <f>IF(A200="SERVIÇO",VLOOKUP(B200,SERVIÇOS!$A$6:$E$7697,5,0),IF(A200="INSUMO",VLOOKUP(B200,INSUMOS!$A$6:$E$4845,5,0),IF(A200="COTAÇÃO",VLOOKUP(B200,'014-22-cotação'!$A$9:$J$138,10,0),IF(A200="AUX",VLOOKUP('014-22-CCU''s'!B200,'014-22-CCU''s AUX'!$B$1:$H$130,3,0)))))</f>
        <v>MAT.</v>
      </c>
      <c r="E200" s="549" t="str">
        <f>IF(A200="SERVIÇO",VLOOKUP(B200,SERVIÇOS!$A$6:$D$7697,3,0),IF(A200="INSUMO",VLOOKUP(B200,INSUMOS!$A$6:$D$4845,3,0),IF(A200="COTAÇÃO",VLOOKUP(B200,'014-22-cotação'!$A$9:$I$138,4,0),IF(A200="AUX",VLOOKUP('014-22-CCU''s'!B200,'014-22-CCU''s AUX'!$B$1:$H$130,4,0)))))</f>
        <v xml:space="preserve">M     </v>
      </c>
      <c r="F200" s="566">
        <v>0.25</v>
      </c>
      <c r="G200" s="550">
        <f>IF(A200="SERVIÇO",VLOOKUP(B200,SERVIÇOS!$A$6:$D$7697,4,0),IF(A200="INSUMO",VLOOKUP(B200,INSUMOS!$A$6:$D$4845,4,0),IF(A200="COTAÇÃO",VLOOKUP(B200,'014-22-cotação'!$A$9:$I$138,3,0),IF(A200="AUX",VLOOKUP('014-22-CCU''s'!B200,'014-22-CCU''s AUX'!$B$1:$H$130,7,0)))))</f>
        <v>10.19</v>
      </c>
      <c r="H200" s="561">
        <f t="shared" ref="H200:H206" si="16">TRUNC((F200*G200),2)</f>
        <v>2.54</v>
      </c>
      <c r="S200" s="331"/>
      <c r="T200" s="342"/>
    </row>
    <row r="201" spans="1:20" s="213" customFormat="1" ht="25.5" x14ac:dyDescent="0.25">
      <c r="A201" s="199" t="s">
        <v>1122</v>
      </c>
      <c r="B201" s="207">
        <v>4517</v>
      </c>
      <c r="C201" s="548" t="str">
        <f>IF(A201="SERVIÇO",VLOOKUP(B201,SERVIÇOS!$A$6:$D$7697,2,0),IF(A201="INSUMO",VLOOKUP(B201,INSUMOS!$A$6:$D$4845,2,0),IF(A201="COTAÇÃO",VLOOKUP(B201,'014-22-cotação'!$A$9:$I$138,2,0),IF(A201="AUX",VLOOKUP('014-22-CCU''s'!B201,'014-22-CCU''s AUX'!$B$1:$H$130,2,0)))))</f>
        <v xml:space="preserve">SARRAFO *2,5 X 7,5* CM EM PINUS, MISTA OU EQUIVALENTE DA REGIAO - BRUTA                                                                                                                                                                                                                                                                                                                                                                                                                                   </v>
      </c>
      <c r="D201" s="549" t="str">
        <f>IF(A201="SERVIÇO",VLOOKUP(B201,SERVIÇOS!$A$6:$E$7697,5,0),IF(A201="INSUMO",VLOOKUP(B201,INSUMOS!$A$6:$E$4845,5,0),IF(A201="COTAÇÃO",VLOOKUP(B201,'014-22-cotação'!$A$9:$J$138,10,0),IF(A201="AUX",VLOOKUP('014-22-CCU''s'!B201,'014-22-CCU''s AUX'!$B$1:$H$130,3,0)))))</f>
        <v>MAT.</v>
      </c>
      <c r="E201" s="549" t="str">
        <f>IF(A201="SERVIÇO",VLOOKUP(B201,SERVIÇOS!$A$6:$D$7697,3,0),IF(A201="INSUMO",VLOOKUP(B201,INSUMOS!$A$6:$D$4845,3,0),IF(A201="COTAÇÃO",VLOOKUP(B201,'014-22-cotação'!$A$9:$I$138,4,0),IF(A201="AUX",VLOOKUP('014-22-CCU''s'!B201,'014-22-CCU''s AUX'!$B$1:$H$130,4,0)))))</f>
        <v xml:space="preserve">M     </v>
      </c>
      <c r="F201" s="566">
        <v>0.2</v>
      </c>
      <c r="G201" s="550">
        <f>IF(A201="SERVIÇO",VLOOKUP(B201,SERVIÇOS!$A$6:$D$7697,4,0),IF(A201="INSUMO",VLOOKUP(B201,INSUMOS!$A$6:$D$4845,4,0),IF(A201="COTAÇÃO",VLOOKUP(B201,'014-22-cotação'!$A$9:$I$138,3,0),IF(A201="AUX",VLOOKUP('014-22-CCU''s'!B201,'014-22-CCU''s AUX'!$B$1:$H$130,7,0)))))</f>
        <v>2.66</v>
      </c>
      <c r="H201" s="561">
        <f>TRUNC((F201*G201),2)</f>
        <v>0.53</v>
      </c>
      <c r="S201" s="331"/>
      <c r="T201" s="342"/>
    </row>
    <row r="202" spans="1:20" s="213" customFormat="1" ht="51" x14ac:dyDescent="0.25">
      <c r="A202" s="199" t="s">
        <v>1122</v>
      </c>
      <c r="B202" s="207">
        <v>7156</v>
      </c>
      <c r="C202" s="548" t="str">
        <f>IF(A202="SERVIÇO",VLOOKUP(B202,SERVIÇOS!$A$6:$D$7697,2,0),IF(A202="INSUMO",VLOOKUP(B202,INSUMOS!$A$6:$D$4845,2,0),IF(A202="COTAÇÃO",VLOOKUP(B202,'014-22-cotação'!$A$9:$I$138,2,0),IF(A202="AUX",VLOOKUP('014-22-CCU''s'!B202,'014-22-CCU''s AUX'!$B$1:$H$130,2,0)))))</f>
        <v xml:space="preserve">TELA DE ACO SOLDADA NERVURADA, CA-60, Q-196, (3,11 KG/M2), DIAMETRO DO FIO = 5,0 MM, LARGURA = 2,45 M, ESPACAMENTO DA MALHA = 10 X 10 CM                                                                                                                                                                                                                                                                                                                                                                  </v>
      </c>
      <c r="D202" s="549" t="str">
        <f>IF(A202="SERVIÇO",VLOOKUP(B202,SERVIÇOS!$A$6:$E$7697,5,0),IF(A202="INSUMO",VLOOKUP(B202,INSUMOS!$A$6:$E$4845,5,0),IF(A202="COTAÇÃO",VLOOKUP(B202,'014-22-cotação'!$A$9:$J$138,10,0),IF(A202="AUX",VLOOKUP('014-22-CCU''s'!B202,'014-22-CCU''s AUX'!$B$1:$H$130,3,0)))))</f>
        <v>MAT.</v>
      </c>
      <c r="E202" s="549" t="str">
        <f>IF(A202="SERVIÇO",VLOOKUP(B202,SERVIÇOS!$A$6:$D$7697,3,0),IF(A202="INSUMO",VLOOKUP(B202,INSUMOS!$A$6:$D$4845,3,0),IF(A202="COTAÇÃO",VLOOKUP(B202,'014-22-cotação'!$A$9:$I$138,4,0),IF(A202="AUX",VLOOKUP('014-22-CCU''s'!B202,'014-22-CCU''s AUX'!$B$1:$H$130,4,0)))))</f>
        <v xml:space="preserve">M2    </v>
      </c>
      <c r="F202" s="566">
        <v>1.1224000000000001</v>
      </c>
      <c r="G202" s="550">
        <f>IF(A202="SERVIÇO",VLOOKUP(B202,SERVIÇOS!$A$6:$D$7697,4,0),IF(A202="INSUMO",VLOOKUP(B202,INSUMOS!$A$6:$D$4845,4,0),IF(A202="COTAÇÃO",VLOOKUP(B202,'014-22-cotação'!$A$9:$I$138,3,0),IF(A202="AUX",VLOOKUP('014-22-CCU''s'!B202,'014-22-CCU''s AUX'!$B$1:$H$130,7,0)))))</f>
        <v>23.72</v>
      </c>
      <c r="H202" s="561">
        <f>TRUNC((F202*G202),2)</f>
        <v>26.62</v>
      </c>
      <c r="S202" s="331"/>
      <c r="T202" s="342"/>
    </row>
    <row r="203" spans="1:20" s="213" customFormat="1" ht="51" x14ac:dyDescent="0.25">
      <c r="A203" s="199" t="s">
        <v>1120</v>
      </c>
      <c r="B203" s="207">
        <v>94970</v>
      </c>
      <c r="C203" s="548" t="str">
        <f>IF(A203="SERVIÇO",VLOOKUP(B203,SERVIÇOS!$A$6:$D$7697,2,0),IF(A203="INSUMO",VLOOKUP(B203,INSUMOS!$A$6:$D$4845,2,0),IF(A203="COTAÇÃO",VLOOKUP(B203,'014-22-cotação'!$A$9:$I$138,2,0),IF(A203="AUX",VLOOKUP('014-22-CCU''s'!B203,'014-22-CCU''s AUX'!$B$1:$H$130,2,0)))))</f>
        <v>CONCRETO FCK = 20MPA, TRAÇO 1:2,7:3 (EM MASSA SECA DE CIMENTO/ AREIA MÉDIA/ BRITA 1) - PREPARO MECÂNICO COM BETONEIRA 600 L. AF_05/2021</v>
      </c>
      <c r="D203" s="549" t="str">
        <f>IF(A203="SERVIÇO",VLOOKUP(B203,SERVIÇOS!$A$6:$E$7697,5,0),IF(A203="INSUMO",VLOOKUP(B203,INSUMOS!$A$6:$E$4845,5,0),IF(A203="COTAÇÃO",VLOOKUP(B203,'014-22-cotação'!$A$9:$J$138,10,0),IF(A203="AUX",VLOOKUP('014-22-CCU''s'!B203,'014-22-CCU''s AUX'!$B$1:$H$130,3,0)))))</f>
        <v>SER.CG</v>
      </c>
      <c r="E203" s="549" t="str">
        <f>IF(A203="SERVIÇO",VLOOKUP(B203,SERVIÇOS!$A$6:$D$7697,3,0),IF(A203="INSUMO",VLOOKUP(B203,INSUMOS!$A$6:$D$4845,3,0),IF(A203="COTAÇÃO",VLOOKUP(B203,'014-22-cotação'!$A$9:$I$138,4,0),IF(A203="AUX",VLOOKUP('014-22-CCU''s'!B203,'014-22-CCU''s AUX'!$B$1:$H$130,4,0)))))</f>
        <v>M3</v>
      </c>
      <c r="F203" s="566">
        <v>9.7000000000000003E-2</v>
      </c>
      <c r="G203" s="550">
        <f>IF(A203="SERVIÇO",VLOOKUP(B203,SERVIÇOS!$A$6:$D$7697,4,0),IF(A203="INSUMO",VLOOKUP(B203,INSUMOS!$A$6:$D$4845,4,0),IF(A203="COTAÇÃO",VLOOKUP(B203,'014-22-cotação'!$A$9:$I$138,3,0),IF(A203="AUX",VLOOKUP('014-22-CCU''s'!B203,'014-22-CCU''s AUX'!$B$1:$H$130,7,0)))))</f>
        <v>549.73</v>
      </c>
      <c r="H203" s="561">
        <f t="shared" si="16"/>
        <v>53.32</v>
      </c>
      <c r="S203" s="331"/>
      <c r="T203" s="342"/>
    </row>
    <row r="204" spans="1:20" s="213" customFormat="1" ht="25.5" x14ac:dyDescent="0.25">
      <c r="A204" s="199" t="s">
        <v>1120</v>
      </c>
      <c r="B204" s="207">
        <v>88262</v>
      </c>
      <c r="C204" s="548" t="str">
        <f>IF(A204="SERVIÇO",VLOOKUP(B204,SERVIÇOS!$A$6:$D$7697,2,0),IF(A204="INSUMO",VLOOKUP(B204,INSUMOS!$A$6:$D$4845,2,0),IF(A204="COTAÇÃO",VLOOKUP(B204,'014-22-cotação'!$A$9:$I$138,2,0),IF(A204="AUX",VLOOKUP('014-22-CCU''s'!B204,'014-22-CCU''s AUX'!$B$1:$H$130,2,0)))))</f>
        <v>CARPINTEIRO DE FORMAS COM ENCARGOS COMPLEMENTARES</v>
      </c>
      <c r="D204" s="549" t="str">
        <f>IF(A204="SERVIÇO",VLOOKUP(B204,SERVIÇOS!$A$6:$E$7697,5,0),IF(A204="INSUMO",VLOOKUP(B204,INSUMOS!$A$6:$E$4845,5,0),IF(A204="COTAÇÃO",VLOOKUP(B204,'014-22-cotação'!$A$9:$J$138,10,0),IF(A204="AUX",VLOOKUP('014-22-CCU''s'!B204,'014-22-CCU''s AUX'!$B$1:$H$130,3,0)))))</f>
        <v>M.O</v>
      </c>
      <c r="E204" s="549" t="str">
        <f>IF(A204="SERVIÇO",VLOOKUP(B204,SERVIÇOS!$A$6:$D$7697,3,0),IF(A204="INSUMO",VLOOKUP(B204,INSUMOS!$A$6:$D$4845,3,0),IF(A204="COTAÇÃO",VLOOKUP(B204,'014-22-cotação'!$A$9:$I$138,4,0),IF(A204="AUX",VLOOKUP('014-22-CCU''s'!B204,'014-22-CCU''s AUX'!$B$1:$H$130,4,0)))))</f>
        <v>H</v>
      </c>
      <c r="F204" s="566">
        <v>0.18049999999999999</v>
      </c>
      <c r="G204" s="550">
        <f>IF(A204="SERVIÇO",VLOOKUP(B204,SERVIÇOS!$A$6:$D$7697,4,0),IF(A204="INSUMO",VLOOKUP(B204,INSUMOS!$A$6:$D$4845,4,0),IF(A204="COTAÇÃO",VLOOKUP(B204,'014-22-cotação'!$A$9:$I$138,3,0),IF(A204="AUX",VLOOKUP('014-22-CCU''s'!B204,'014-22-CCU''s AUX'!$B$1:$H$130,7,0)))))</f>
        <v>30.71</v>
      </c>
      <c r="H204" s="561">
        <f t="shared" si="16"/>
        <v>5.54</v>
      </c>
      <c r="S204" s="331"/>
      <c r="T204" s="342"/>
    </row>
    <row r="205" spans="1:20" s="213" customFormat="1" ht="25.5" x14ac:dyDescent="0.25">
      <c r="A205" s="199" t="s">
        <v>1120</v>
      </c>
      <c r="B205" s="207">
        <v>88309</v>
      </c>
      <c r="C205" s="548" t="str">
        <f>IF(A205="SERVIÇO",VLOOKUP(B205,SERVIÇOS!$A$6:$D$7697,2,0),IF(A205="INSUMO",VLOOKUP(B205,INSUMOS!$A$6:$D$4845,2,0),IF(A205="COTAÇÃO",VLOOKUP(B205,'014-22-cotação'!$A$9:$I$138,2,0),IF(A205="AUX",VLOOKUP('014-22-CCU''s'!B205,'014-22-CCU''s AUX'!$B$1:$H$130,2,0)))))</f>
        <v>PEDREIRO COM ENCARGOS COMPLEMENTARES</v>
      </c>
      <c r="D205" s="549" t="str">
        <f>IF(A205="SERVIÇO",VLOOKUP(B205,SERVIÇOS!$A$6:$E$7697,5,0),IF(A205="INSUMO",VLOOKUP(B205,INSUMOS!$A$6:$E$4845,5,0),IF(A205="COTAÇÃO",VLOOKUP(B205,'014-22-cotação'!$A$9:$J$138,10,0),IF(A205="AUX",VLOOKUP('014-22-CCU''s'!B205,'014-22-CCU''s AUX'!$B$1:$H$130,3,0)))))</f>
        <v>M.O</v>
      </c>
      <c r="E205" s="549" t="str">
        <f>IF(A205="SERVIÇO",VLOOKUP(B205,SERVIÇOS!$A$6:$D$7697,3,0),IF(A205="INSUMO",VLOOKUP(B205,INSUMOS!$A$6:$D$4845,3,0),IF(A205="COTAÇÃO",VLOOKUP(B205,'014-22-cotação'!$A$9:$I$138,4,0),IF(A205="AUX",VLOOKUP('014-22-CCU''s'!B205,'014-22-CCU''s AUX'!$B$1:$H$130,4,0)))))</f>
        <v>H</v>
      </c>
      <c r="F205" s="566">
        <v>0.13880000000000001</v>
      </c>
      <c r="G205" s="550">
        <f>IF(A205="SERVIÇO",VLOOKUP(B205,SERVIÇOS!$A$6:$D$7697,4,0),IF(A205="INSUMO",VLOOKUP(B205,INSUMOS!$A$6:$D$4845,4,0),IF(A205="COTAÇÃO",VLOOKUP(B205,'014-22-cotação'!$A$9:$I$138,3,0),IF(A205="AUX",VLOOKUP('014-22-CCU''s'!B205,'014-22-CCU''s AUX'!$B$1:$H$130,7,0)))))</f>
        <v>31.1</v>
      </c>
      <c r="H205" s="561">
        <f t="shared" si="16"/>
        <v>4.3099999999999996</v>
      </c>
      <c r="S205" s="331"/>
      <c r="T205" s="342"/>
    </row>
    <row r="206" spans="1:20" s="213" customFormat="1" ht="25.5" x14ac:dyDescent="0.25">
      <c r="A206" s="199" t="s">
        <v>1120</v>
      </c>
      <c r="B206" s="207">
        <v>88316</v>
      </c>
      <c r="C206" s="548" t="str">
        <f>IF(A206="SERVIÇO",VLOOKUP(B206,SERVIÇOS!$A$6:$D$7697,2,0),IF(A206="INSUMO",VLOOKUP(B206,INSUMOS!$A$6:$D$4845,2,0),IF(A206="COTAÇÃO",VLOOKUP(B206,'014-22-cotação'!$A$9:$I$138,2,0),IF(A206="AUX",VLOOKUP('014-22-CCU''s'!B206,'014-22-CCU''s AUX'!$B$1:$H$130,2,0)))))</f>
        <v>SERVENTE COM ENCARGOS COMPLEMENTARES</v>
      </c>
      <c r="D206" s="549" t="str">
        <f>IF(A206="SERVIÇO",VLOOKUP(B206,SERVIÇOS!$A$6:$E$7697,5,0),IF(A206="INSUMO",VLOOKUP(B206,INSUMOS!$A$6:$E$4845,5,0),IF(A206="COTAÇÃO",VLOOKUP(B206,'014-22-cotação'!$A$9:$J$138,10,0),IF(A206="AUX",VLOOKUP('014-22-CCU''s'!B206,'014-22-CCU''s AUX'!$B$1:$H$130,3,0)))))</f>
        <v>M.O</v>
      </c>
      <c r="E206" s="549" t="str">
        <f>IF(A206="SERVIÇO",VLOOKUP(B206,SERVIÇOS!$A$6:$D$7697,3,0),IF(A206="INSUMO",VLOOKUP(B206,INSUMOS!$A$6:$D$4845,3,0),IF(A206="COTAÇÃO",VLOOKUP(B206,'014-22-cotação'!$A$9:$I$138,4,0),IF(A206="AUX",VLOOKUP('014-22-CCU''s'!B206,'014-22-CCU''s AUX'!$B$1:$H$130,4,0)))))</f>
        <v>H</v>
      </c>
      <c r="F206" s="566">
        <v>0.31929999999999997</v>
      </c>
      <c r="G206" s="550">
        <f>IF(A206="SERVIÇO",VLOOKUP(B206,SERVIÇOS!$A$6:$D$7697,4,0),IF(A206="INSUMO",VLOOKUP(B206,INSUMOS!$A$6:$D$4845,4,0),IF(A206="COTAÇÃO",VLOOKUP(B206,'014-22-cotação'!$A$9:$I$138,3,0),IF(A206="AUX",VLOOKUP('014-22-CCU''s'!B206,'014-22-CCU''s AUX'!$B$1:$H$130,7,0)))))</f>
        <v>23.4</v>
      </c>
      <c r="H206" s="561">
        <f t="shared" si="16"/>
        <v>7.47</v>
      </c>
      <c r="S206" s="331"/>
      <c r="T206" s="342"/>
    </row>
    <row r="207" spans="1:20" s="213" customFormat="1" ht="12.75" x14ac:dyDescent="0.25">
      <c r="A207" s="199"/>
      <c r="B207" s="207" t="s">
        <v>109</v>
      </c>
      <c r="C207" s="382" t="s">
        <v>4294</v>
      </c>
      <c r="D207" s="383"/>
      <c r="E207" s="383"/>
      <c r="F207" s="383"/>
      <c r="G207" s="383"/>
      <c r="H207" s="384"/>
      <c r="S207" s="331"/>
      <c r="T207" s="342"/>
    </row>
    <row r="208" spans="1:20" s="213" customFormat="1" ht="12.75" x14ac:dyDescent="0.25">
      <c r="A208" s="199"/>
      <c r="B208" s="208"/>
      <c r="C208" s="175"/>
      <c r="D208" s="176"/>
      <c r="E208" s="176"/>
      <c r="F208" s="176"/>
      <c r="G208" s="176"/>
      <c r="H208" s="176"/>
      <c r="S208" s="331"/>
      <c r="T208" s="342"/>
    </row>
    <row r="209" spans="1:68" s="213" customFormat="1" ht="63.75" x14ac:dyDescent="0.25">
      <c r="A209" s="199"/>
      <c r="B209" s="263" t="s">
        <v>4464</v>
      </c>
      <c r="C209" s="177" t="s">
        <v>4465</v>
      </c>
      <c r="D209" s="178" t="s">
        <v>101</v>
      </c>
      <c r="E209" s="178" t="s">
        <v>1106</v>
      </c>
      <c r="F209" s="179"/>
      <c r="G209" s="180"/>
      <c r="H209" s="181">
        <f>ROUND(SUM(H210:H217),2)</f>
        <v>152.47</v>
      </c>
      <c r="S209" s="331"/>
      <c r="T209" s="342"/>
    </row>
    <row r="210" spans="1:68" s="213" customFormat="1" ht="25.5" x14ac:dyDescent="0.25">
      <c r="A210" s="199" t="s">
        <v>1122</v>
      </c>
      <c r="B210" s="207">
        <v>3777</v>
      </c>
      <c r="C210" s="548" t="str">
        <f>IF(A210="SERVIÇO",VLOOKUP(B210,SERVIÇOS!$A$6:$D$7697,2,0),IF(A210="INSUMO",VLOOKUP(B210,INSUMOS!$A$6:$D$4845,2,0),IF(A210="COTAÇÃO",VLOOKUP(B210,'014-22-cotação'!$A$9:$I$138,2,0),IF(A210="AUX",VLOOKUP('014-22-CCU''s'!B210,'014-22-CCU''s AUX'!$B$1:$H$130,2,0)))))</f>
        <v xml:space="preserve">LONA PLASTICA PESADA PRETA, E = 150 MICRA                                                                                                                                                                                                                                                                                                                                                                                                                                                                 </v>
      </c>
      <c r="D210" s="549" t="str">
        <f>IF(A210="SERVIÇO",VLOOKUP(B210,SERVIÇOS!$A$6:$E$7697,5,0),IF(A210="INSUMO",VLOOKUP(B210,INSUMOS!$A$6:$E$4845,5,0),IF(A210="COTAÇÃO",VLOOKUP(B210,'014-22-cotação'!$A$9:$J$138,10,0),IF(A210="AUX",VLOOKUP('014-22-CCU''s'!B210,'014-22-CCU''s AUX'!$B$1:$H$130,3,0)))))</f>
        <v>MAT.</v>
      </c>
      <c r="E210" s="549" t="str">
        <f>IF(A210="SERVIÇO",VLOOKUP(B210,SERVIÇOS!$A$6:$D$7697,3,0),IF(A210="INSUMO",VLOOKUP(B210,INSUMOS!$A$6:$D$4845,3,0),IF(A210="COTAÇÃO",VLOOKUP(B210,'014-22-cotação'!$A$9:$I$138,4,0),IF(A210="AUX",VLOOKUP('014-22-CCU''s'!B210,'014-22-CCU''s AUX'!$B$1:$H$130,4,0)))))</f>
        <v xml:space="preserve">M2    </v>
      </c>
      <c r="F210" s="566">
        <v>1.1279999999999999</v>
      </c>
      <c r="G210" s="550">
        <f>IF(A210="SERVIÇO",VLOOKUP(B210,SERVIÇOS!$A$6:$D$7697,4,0),IF(A210="INSUMO",VLOOKUP(B210,INSUMOS!$A$6:$D$4845,4,0),IF(A210="COTAÇÃO",VLOOKUP(B210,'014-22-cotação'!$A$9:$I$138,3,0),IF(A210="AUX",VLOOKUP('014-22-CCU''s'!B210,'014-22-CCU''s AUX'!$B$1:$H$130,7,0)))))</f>
        <v>1.49</v>
      </c>
      <c r="H210" s="561">
        <f>TRUNC((F210*G210),2)</f>
        <v>1.68</v>
      </c>
      <c r="S210" s="331"/>
      <c r="T210" s="342"/>
    </row>
    <row r="211" spans="1:68" s="346" customFormat="1" ht="51" x14ac:dyDescent="0.25">
      <c r="A211" s="332" t="s">
        <v>1122</v>
      </c>
      <c r="B211" s="207">
        <v>4460</v>
      </c>
      <c r="C211" s="548" t="str">
        <f>IF(A211="SERVIÇO",VLOOKUP(B211,SERVIÇOS!$A$6:$D$7697,2,0),IF(A211="INSUMO",VLOOKUP(B211,INSUMOS!$A$6:$D$4845,2,0),IF(A211="COTAÇÃO",VLOOKUP(B211,'014-22-cotação'!$A$9:$I$138,2,0),IF(A211="AUX",VLOOKUP('014-22-CCU''s'!B211,'014-22-CCU''s AUX'!$B$1:$H$130,2,0)))))</f>
        <v xml:space="preserve">SARRAFO NAO APARELHADO *2,5 X 10* CM, EM MACARANDUBA/MASSARANDUBA, ANGELIM OU EQUIVALENTE DA REGIAO - BRUTA                                                                                                                                                                                                                                                                                                                                                                                               </v>
      </c>
      <c r="D211" s="549" t="str">
        <f>IF(A211="SERVIÇO",VLOOKUP(B211,SERVIÇOS!$A$6:$E$7697,5,0),IF(A211="INSUMO",VLOOKUP(B211,INSUMOS!$A$6:$E$4845,5,0),IF(A211="COTAÇÃO",VLOOKUP(B211,'014-22-cotação'!$A$9:$J$138,10,0),IF(A211="AUX",VLOOKUP('014-22-CCU''s'!B211,'014-22-CCU''s AUX'!$B$1:$H$130,3,0)))))</f>
        <v>MAT.</v>
      </c>
      <c r="E211" s="549" t="str">
        <f>IF(A211="SERVIÇO",VLOOKUP(B211,SERVIÇOS!$A$6:$D$7697,3,0),IF(A211="INSUMO",VLOOKUP(B211,INSUMOS!$A$6:$D$4845,3,0),IF(A211="COTAÇÃO",VLOOKUP(B211,'014-22-cotação'!$A$9:$I$138,4,0),IF(A211="AUX",VLOOKUP('014-22-CCU''s'!B211,'014-22-CCU''s AUX'!$B$1:$H$130,4,0)))))</f>
        <v xml:space="preserve">M     </v>
      </c>
      <c r="F211" s="566">
        <v>0.25</v>
      </c>
      <c r="G211" s="550">
        <f>IF(A211="SERVIÇO",VLOOKUP(B211,SERVIÇOS!$A$6:$D$7697,4,0),IF(A211="INSUMO",VLOOKUP(B211,INSUMOS!$A$6:$D$4845,4,0),IF(A211="COTAÇÃO",VLOOKUP(B211,'014-22-cotação'!$A$9:$I$138,3,0),IF(A211="AUX",VLOOKUP('014-22-CCU''s'!B211,'014-22-CCU''s AUX'!$B$1:$H$130,7,0)))))</f>
        <v>10.19</v>
      </c>
      <c r="H211" s="561">
        <f t="shared" ref="H211" si="17">TRUNC((F211*G211),2)</f>
        <v>2.54</v>
      </c>
      <c r="I211" s="213"/>
      <c r="J211" s="83"/>
      <c r="K211" s="83"/>
      <c r="L211" s="631"/>
      <c r="M211" s="631"/>
      <c r="N211" s="637"/>
      <c r="O211" s="637"/>
      <c r="P211" s="213"/>
      <c r="Q211" s="213"/>
      <c r="R211" s="213"/>
      <c r="S211" s="331"/>
      <c r="T211" s="342"/>
      <c r="U211" s="213"/>
      <c r="V211" s="213"/>
      <c r="W211" s="213"/>
      <c r="X211" s="213"/>
      <c r="Y211" s="213"/>
      <c r="Z211" s="213"/>
      <c r="AA211" s="213"/>
      <c r="AB211" s="213"/>
      <c r="AC211" s="213"/>
      <c r="AD211" s="213"/>
      <c r="AE211" s="213"/>
      <c r="AF211" s="213"/>
      <c r="AG211" s="213"/>
      <c r="AH211" s="213"/>
      <c r="AI211" s="213"/>
      <c r="AJ211" s="213"/>
      <c r="AK211" s="213"/>
      <c r="AL211" s="213"/>
      <c r="AM211" s="213"/>
      <c r="AN211" s="213"/>
      <c r="AO211" s="213"/>
      <c r="AP211" s="213"/>
      <c r="AQ211" s="213"/>
      <c r="AR211" s="213"/>
      <c r="AS211" s="213"/>
      <c r="AT211" s="213"/>
      <c r="AU211" s="213"/>
      <c r="AV211" s="213"/>
      <c r="AW211" s="213"/>
      <c r="AX211" s="213"/>
      <c r="AY211" s="213"/>
      <c r="AZ211" s="213"/>
      <c r="BA211" s="213"/>
      <c r="BB211" s="213"/>
      <c r="BC211" s="213"/>
      <c r="BD211" s="213"/>
      <c r="BE211" s="213"/>
      <c r="BF211" s="213"/>
      <c r="BG211" s="213"/>
      <c r="BH211" s="213"/>
      <c r="BI211" s="213"/>
      <c r="BJ211" s="213"/>
      <c r="BK211" s="213"/>
      <c r="BL211" s="213"/>
      <c r="BM211" s="213"/>
      <c r="BN211" s="213"/>
      <c r="BO211" s="213"/>
      <c r="BP211" s="213"/>
    </row>
    <row r="212" spans="1:68" s="399" customFormat="1" ht="25.5" x14ac:dyDescent="0.25">
      <c r="A212" s="398" t="s">
        <v>1122</v>
      </c>
      <c r="B212" s="207">
        <v>4517</v>
      </c>
      <c r="C212" s="548" t="str">
        <f>IF(A212="SERVIÇO",VLOOKUP(B212,SERVIÇOS!$A$6:$D$7697,2,0),IF(A212="INSUMO",VLOOKUP(B212,INSUMOS!$A$6:$D$4845,2,0),IF(A212="COTAÇÃO",VLOOKUP(B212,'014-22-cotação'!$A$9:$I$138,2,0),IF(A212="AUX",VLOOKUP('014-22-CCU''s'!B212,'014-22-CCU''s AUX'!$B$1:$H$130,2,0)))))</f>
        <v xml:space="preserve">SARRAFO *2,5 X 7,5* CM EM PINUS, MISTA OU EQUIVALENTE DA REGIAO - BRUTA                                                                                                                                                                                                                                                                                                                                                                                                                                   </v>
      </c>
      <c r="D212" s="549" t="str">
        <f>IF(A212="SERVIÇO",VLOOKUP(B212,SERVIÇOS!$A$6:$E$7697,5,0),IF(A212="INSUMO",VLOOKUP(B212,INSUMOS!$A$6:$E$4845,5,0),IF(A212="COTAÇÃO",VLOOKUP(B212,'014-22-cotação'!$A$9:$J$138,10,0),IF(A212="AUX",VLOOKUP('014-22-CCU''s'!B212,'014-22-CCU''s AUX'!$B$1:$H$130,3,0)))))</f>
        <v>MAT.</v>
      </c>
      <c r="E212" s="549" t="str">
        <f>IF(A212="SERVIÇO",VLOOKUP(B212,SERVIÇOS!$A$6:$D$7697,3,0),IF(A212="INSUMO",VLOOKUP(B212,INSUMOS!$A$6:$D$4845,3,0),IF(A212="COTAÇÃO",VLOOKUP(B212,'014-22-cotação'!$A$9:$I$138,4,0),IF(A212="AUX",VLOOKUP('014-22-CCU''s'!B212,'014-22-CCU''s AUX'!$B$1:$H$130,4,0)))))</f>
        <v xml:space="preserve">M     </v>
      </c>
      <c r="F212" s="566">
        <v>0.2</v>
      </c>
      <c r="G212" s="550">
        <f>IF(A212="SERVIÇO",VLOOKUP(B212,SERVIÇOS!$A$6:$D$7697,4,0),IF(A212="INSUMO",VLOOKUP(B212,INSUMOS!$A$6:$D$4845,4,0),IF(A212="COTAÇÃO",VLOOKUP(B212,'014-22-cotação'!$A$9:$I$138,3,0),IF(A212="AUX",VLOOKUP('014-22-CCU''s'!B212,'014-22-CCU''s AUX'!$B$1:$H$130,7,0)))))</f>
        <v>2.66</v>
      </c>
      <c r="H212" s="561">
        <f>TRUNC((F212*G212),2)</f>
        <v>0.53</v>
      </c>
      <c r="J212" s="401"/>
      <c r="K212" s="401"/>
      <c r="L212" s="398"/>
      <c r="M212" s="401"/>
      <c r="N212" s="398"/>
      <c r="O212" s="398"/>
      <c r="S212" s="402"/>
      <c r="T212" s="400"/>
    </row>
    <row r="213" spans="1:68" s="399" customFormat="1" ht="51" x14ac:dyDescent="0.25">
      <c r="A213" s="398" t="s">
        <v>1122</v>
      </c>
      <c r="B213" s="207">
        <v>7156</v>
      </c>
      <c r="C213" s="548" t="str">
        <f>IF(A213="SERVIÇO",VLOOKUP(B213,SERVIÇOS!$A$6:$D$7697,2,0),IF(A213="INSUMO",VLOOKUP(B213,INSUMOS!$A$6:$D$4845,2,0),IF(A213="COTAÇÃO",VLOOKUP(B213,'014-22-cotação'!$A$9:$I$138,2,0),IF(A213="AUX",VLOOKUP('014-22-CCU''s'!B213,'014-22-CCU''s AUX'!$B$1:$H$130,2,0)))))</f>
        <v xml:space="preserve">TELA DE ACO SOLDADA NERVURADA, CA-60, Q-196, (3,11 KG/M2), DIAMETRO DO FIO = 5,0 MM, LARGURA = 2,45 M, ESPACAMENTO DA MALHA = 10 X 10 CM                                                                                                                                                                                                                                                                                                                                                                  </v>
      </c>
      <c r="D213" s="549" t="str">
        <f>IF(A213="SERVIÇO",VLOOKUP(B213,SERVIÇOS!$A$6:$E$7697,5,0),IF(A213="INSUMO",VLOOKUP(B213,INSUMOS!$A$6:$E$4845,5,0),IF(A213="COTAÇÃO",VLOOKUP(B213,'014-22-cotação'!$A$9:$J$138,10,0),IF(A213="AUX",VLOOKUP('014-22-CCU''s'!B213,'014-22-CCU''s AUX'!$B$1:$H$130,3,0)))))</f>
        <v>MAT.</v>
      </c>
      <c r="E213" s="549" t="str">
        <f>IF(A213="SERVIÇO",VLOOKUP(B213,SERVIÇOS!$A$6:$D$7697,3,0),IF(A213="INSUMO",VLOOKUP(B213,INSUMOS!$A$6:$D$4845,3,0),IF(A213="COTAÇÃO",VLOOKUP(B213,'014-22-cotação'!$A$9:$I$138,4,0),IF(A213="AUX",VLOOKUP('014-22-CCU''s'!B213,'014-22-CCU''s AUX'!$B$1:$H$130,4,0)))))</f>
        <v xml:space="preserve">M2    </v>
      </c>
      <c r="F213" s="566">
        <v>1.1224000000000001</v>
      </c>
      <c r="G213" s="550">
        <f>IF(A213="SERVIÇO",VLOOKUP(B213,SERVIÇOS!$A$6:$D$7697,4,0),IF(A213="INSUMO",VLOOKUP(B213,INSUMOS!$A$6:$D$4845,4,0),IF(A213="COTAÇÃO",VLOOKUP(B213,'014-22-cotação'!$A$9:$I$138,3,0),IF(A213="AUX",VLOOKUP('014-22-CCU''s'!B213,'014-22-CCU''s AUX'!$B$1:$H$130,7,0)))))</f>
        <v>23.72</v>
      </c>
      <c r="H213" s="561">
        <f>TRUNC((F213*G213),2)</f>
        <v>26.62</v>
      </c>
      <c r="J213" s="401"/>
      <c r="K213" s="401"/>
      <c r="L213" s="398"/>
      <c r="M213" s="401"/>
      <c r="N213" s="398"/>
      <c r="O213" s="398"/>
      <c r="S213" s="402"/>
      <c r="T213" s="400"/>
    </row>
    <row r="214" spans="1:68" s="399" customFormat="1" ht="51" x14ac:dyDescent="0.25">
      <c r="A214" s="398" t="s">
        <v>3416</v>
      </c>
      <c r="B214" s="567" t="s">
        <v>3446</v>
      </c>
      <c r="C214" s="548" t="str">
        <f>IF(A214="SERVIÇO",VLOOKUP(B214,SERVIÇOS!$A$6:$D$7697,2,0),IF(A214="INSUMO",VLOOKUP(B214,INSUMOS!$A$6:$D$4845,2,0),IF(A214="COTAÇÃO",VLOOKUP(B214,'014-22-cotação'!$A$9:$I$138,2,0),IF(A214="AUX",VLOOKUP('014-22-CCU''s'!B214,'014-22-CCU''s AUX'!$B$1:$H$130,2,0)))))</f>
        <v>CONCRETO PIGMENTADO NA COR GRAFITE FCK = 20MPA, TRAÇO 1:2,7:3 (EM MASSA SECA DE CIMENTO/ AREIA MÉDIA/ BRITA 1) - PREPARO MECÂNICO COM BETONEIRA 600 L</v>
      </c>
      <c r="D214" s="549" t="str">
        <f>IF(A214="SERVIÇO",VLOOKUP(B214,SERVIÇOS!$A$6:$E$7697,5,0),IF(A214="INSUMO",VLOOKUP(B214,INSUMOS!$A$6:$E$4845,5,0),IF(A214="COTAÇÃO",VLOOKUP(B214,'014-22-cotação'!$A$9:$J$138,10,0),IF(A214="AUX",VLOOKUP('014-22-CCU''s'!B214,'014-22-CCU''s AUX'!$B$1:$H$130,3,0)))))</f>
        <v xml:space="preserve">SER.CG </v>
      </c>
      <c r="E214" s="549" t="str">
        <f>IF(A214="SERVIÇO",VLOOKUP(B214,SERVIÇOS!$A$6:$D$7697,3,0),IF(A214="INSUMO",VLOOKUP(B214,INSUMOS!$A$6:$D$4845,3,0),IF(A214="COTAÇÃO",VLOOKUP(B214,'014-22-cotação'!$A$9:$I$138,4,0),IF(A214="AUX",VLOOKUP('014-22-CCU''s'!B214,'014-22-CCU''s AUX'!$B$1:$H$130,4,0)))))</f>
        <v>M3</v>
      </c>
      <c r="F214" s="566">
        <v>9.7000000000000003E-2</v>
      </c>
      <c r="G214" s="550">
        <f>IF(A214="SERVIÇO",VLOOKUP(B214,SERVIÇOS!$A$6:$D$7697,4,0),IF(A214="INSUMO",VLOOKUP(B214,INSUMOS!$A$6:$D$4845,4,0),IF(A214="COTAÇÃO",VLOOKUP(B214,'014-22-cotação'!$A$9:$I$138,3,0),IF(A214="AUX",VLOOKUP('014-22-CCU''s'!B214,'014-22-CCU''s AUX'!$B$1:$H$130,7,0)))))</f>
        <v>1069.98</v>
      </c>
      <c r="H214" s="561">
        <f t="shared" ref="H214" si="18">TRUNC((F214*G214),2)</f>
        <v>103.78</v>
      </c>
      <c r="J214" s="401"/>
      <c r="K214" s="401"/>
      <c r="L214" s="398"/>
      <c r="M214" s="401"/>
      <c r="N214" s="398"/>
      <c r="O214" s="398"/>
      <c r="S214" s="402"/>
      <c r="T214" s="400"/>
    </row>
    <row r="215" spans="1:68" s="213" customFormat="1" ht="25.5" x14ac:dyDescent="0.25">
      <c r="A215" s="199" t="s">
        <v>1120</v>
      </c>
      <c r="B215" s="207">
        <v>88262</v>
      </c>
      <c r="C215" s="548" t="str">
        <f>IF(A215="SERVIÇO",VLOOKUP(B215,SERVIÇOS!$A$6:$D$7697,2,0),IF(A215="INSUMO",VLOOKUP(B215,INSUMOS!$A$6:$D$4845,2,0),IF(A215="COTAÇÃO",VLOOKUP(B215,'014-22-cotação'!$A$9:$I$138,2,0),IF(A215="AUX",VLOOKUP('014-22-CCU''s'!B215,'014-22-CCU''s AUX'!$B$1:$H$130,2,0)))))</f>
        <v>CARPINTEIRO DE FORMAS COM ENCARGOS COMPLEMENTARES</v>
      </c>
      <c r="D215" s="549" t="str">
        <f>IF(A215="SERVIÇO",VLOOKUP(B215,SERVIÇOS!$A$6:$E$7697,5,0),IF(A215="INSUMO",VLOOKUP(B215,INSUMOS!$A$6:$E$4845,5,0),IF(A215="COTAÇÃO",VLOOKUP(B215,'014-22-cotação'!$A$9:$J$138,10,0),IF(A215="AUX",VLOOKUP('014-22-CCU''s'!B215,'014-22-CCU''s AUX'!$B$1:$H$130,3,0)))))</f>
        <v>M.O</v>
      </c>
      <c r="E215" s="549" t="str">
        <f>IF(A215="SERVIÇO",VLOOKUP(B215,SERVIÇOS!$A$6:$D$7697,3,0),IF(A215="INSUMO",VLOOKUP(B215,INSUMOS!$A$6:$D$4845,3,0),IF(A215="COTAÇÃO",VLOOKUP(B215,'014-22-cotação'!$A$9:$I$138,4,0),IF(A215="AUX",VLOOKUP('014-22-CCU''s'!B215,'014-22-CCU''s AUX'!$B$1:$H$130,4,0)))))</f>
        <v>H</v>
      </c>
      <c r="F215" s="566">
        <v>0.18049999999999999</v>
      </c>
      <c r="G215" s="550">
        <f>IF(A215="SERVIÇO",VLOOKUP(B215,SERVIÇOS!$A$6:$D$7697,4,0),IF(A215="INSUMO",VLOOKUP(B215,INSUMOS!$A$6:$D$4845,4,0),IF(A215="COTAÇÃO",VLOOKUP(B215,'014-22-cotação'!$A$9:$I$138,3,0),IF(A215="AUX",VLOOKUP('014-22-CCU''s'!B215,'014-22-CCU''s AUX'!$B$1:$H$130,7,0)))))</f>
        <v>30.71</v>
      </c>
      <c r="H215" s="561">
        <f t="shared" ref="H215:H217" si="19">TRUNC((F215*G215),2)</f>
        <v>5.54</v>
      </c>
      <c r="J215" s="83"/>
      <c r="K215" s="83"/>
      <c r="L215" s="83"/>
      <c r="M215" s="83"/>
      <c r="S215" s="331"/>
      <c r="T215" s="342"/>
    </row>
    <row r="216" spans="1:68" s="213" customFormat="1" ht="25.5" x14ac:dyDescent="0.25">
      <c r="A216" s="199" t="s">
        <v>1120</v>
      </c>
      <c r="B216" s="207">
        <v>88309</v>
      </c>
      <c r="C216" s="548" t="str">
        <f>IF(A216="SERVIÇO",VLOOKUP(B216,SERVIÇOS!$A$6:$D$7697,2,0),IF(A216="INSUMO",VLOOKUP(B216,INSUMOS!$A$6:$D$4845,2,0),IF(A216="COTAÇÃO",VLOOKUP(B216,'014-22-cotação'!$A$9:$I$138,2,0),IF(A216="AUX",VLOOKUP('014-22-CCU''s'!B216,'014-22-CCU''s AUX'!$B$1:$H$130,2,0)))))</f>
        <v>PEDREIRO COM ENCARGOS COMPLEMENTARES</v>
      </c>
      <c r="D216" s="549" t="str">
        <f>IF(A216="SERVIÇO",VLOOKUP(B216,SERVIÇOS!$A$6:$E$7697,5,0),IF(A216="INSUMO",VLOOKUP(B216,INSUMOS!$A$6:$E$4845,5,0),IF(A216="COTAÇÃO",VLOOKUP(B216,'014-22-cotação'!$A$9:$J$138,10,0),IF(A216="AUX",VLOOKUP('014-22-CCU''s'!B216,'014-22-CCU''s AUX'!$B$1:$H$130,3,0)))))</f>
        <v>M.O</v>
      </c>
      <c r="E216" s="549" t="str">
        <f>IF(A216="SERVIÇO",VLOOKUP(B216,SERVIÇOS!$A$6:$D$7697,3,0),IF(A216="INSUMO",VLOOKUP(B216,INSUMOS!$A$6:$D$4845,3,0),IF(A216="COTAÇÃO",VLOOKUP(B216,'014-22-cotação'!$A$9:$I$138,4,0),IF(A216="AUX",VLOOKUP('014-22-CCU''s'!B216,'014-22-CCU''s AUX'!$B$1:$H$130,4,0)))))</f>
        <v>H</v>
      </c>
      <c r="F216" s="566">
        <v>0.13880000000000001</v>
      </c>
      <c r="G216" s="550">
        <f>IF(A216="SERVIÇO",VLOOKUP(B216,SERVIÇOS!$A$6:$D$7697,4,0),IF(A216="INSUMO",VLOOKUP(B216,INSUMOS!$A$6:$D$4845,4,0),IF(A216="COTAÇÃO",VLOOKUP(B216,'014-22-cotação'!$A$9:$I$138,3,0),IF(A216="AUX",VLOOKUP('014-22-CCU''s'!B216,'014-22-CCU''s AUX'!$B$1:$H$130,7,0)))))</f>
        <v>31.1</v>
      </c>
      <c r="H216" s="561">
        <f t="shared" si="19"/>
        <v>4.3099999999999996</v>
      </c>
      <c r="S216" s="331"/>
      <c r="T216" s="342"/>
    </row>
    <row r="217" spans="1:68" s="346" customFormat="1" ht="25.5" x14ac:dyDescent="0.25">
      <c r="A217" s="332" t="s">
        <v>1120</v>
      </c>
      <c r="B217" s="207">
        <v>88316</v>
      </c>
      <c r="C217" s="548" t="str">
        <f>IF(A217="SERVIÇO",VLOOKUP(B217,SERVIÇOS!$A$6:$D$7697,2,0),IF(A217="INSUMO",VLOOKUP(B217,INSUMOS!$A$6:$D$4845,2,0),IF(A217="COTAÇÃO",VLOOKUP(B217,'014-22-cotação'!$A$9:$I$138,2,0),IF(A217="AUX",VLOOKUP('014-22-CCU''s'!B217,'014-22-CCU''s AUX'!$B$1:$H$130,2,0)))))</f>
        <v>SERVENTE COM ENCARGOS COMPLEMENTARES</v>
      </c>
      <c r="D217" s="549" t="str">
        <f>IF(A217="SERVIÇO",VLOOKUP(B217,SERVIÇOS!$A$6:$E$7697,5,0),IF(A217="INSUMO",VLOOKUP(B217,INSUMOS!$A$6:$E$4845,5,0),IF(A217="COTAÇÃO",VLOOKUP(B217,'014-22-cotação'!$A$9:$J$138,10,0),IF(A217="AUX",VLOOKUP('014-22-CCU''s'!B217,'014-22-CCU''s AUX'!$B$1:$H$130,3,0)))))</f>
        <v>M.O</v>
      </c>
      <c r="E217" s="549" t="str">
        <f>IF(A217="SERVIÇO",VLOOKUP(B217,SERVIÇOS!$A$6:$D$7697,3,0),IF(A217="INSUMO",VLOOKUP(B217,INSUMOS!$A$6:$D$4845,3,0),IF(A217="COTAÇÃO",VLOOKUP(B217,'014-22-cotação'!$A$9:$I$138,4,0),IF(A217="AUX",VLOOKUP('014-22-CCU''s'!B217,'014-22-CCU''s AUX'!$B$1:$H$130,4,0)))))</f>
        <v>H</v>
      </c>
      <c r="F217" s="566">
        <v>0.31929999999999997</v>
      </c>
      <c r="G217" s="550">
        <f>IF(A217="SERVIÇO",VLOOKUP(B217,SERVIÇOS!$A$6:$D$7697,4,0),IF(A217="INSUMO",VLOOKUP(B217,INSUMOS!$A$6:$D$4845,4,0),IF(A217="COTAÇÃO",VLOOKUP(B217,'014-22-cotação'!$A$9:$I$138,3,0),IF(A217="AUX",VLOOKUP('014-22-CCU''s'!B217,'014-22-CCU''s AUX'!$B$1:$H$130,7,0)))))</f>
        <v>23.4</v>
      </c>
      <c r="H217" s="561">
        <f t="shared" si="19"/>
        <v>7.47</v>
      </c>
      <c r="I217" s="213"/>
      <c r="J217" s="83"/>
      <c r="K217" s="83"/>
      <c r="L217" s="631"/>
      <c r="M217" s="631"/>
      <c r="N217" s="637"/>
      <c r="O217" s="637"/>
      <c r="P217" s="213"/>
      <c r="Q217" s="213"/>
      <c r="R217" s="213"/>
      <c r="S217" s="331"/>
      <c r="T217" s="342"/>
      <c r="U217" s="213"/>
      <c r="V217" s="213"/>
      <c r="W217" s="213"/>
      <c r="X217" s="213"/>
      <c r="Y217" s="213"/>
      <c r="Z217" s="213"/>
      <c r="AA217" s="213"/>
      <c r="AB217" s="213"/>
      <c r="AC217" s="213"/>
      <c r="AD217" s="213"/>
      <c r="AE217" s="213"/>
      <c r="AF217" s="213"/>
      <c r="AG217" s="213"/>
      <c r="AH217" s="213"/>
      <c r="AI217" s="213"/>
      <c r="AJ217" s="213"/>
      <c r="AK217" s="213"/>
      <c r="AL217" s="213"/>
      <c r="AM217" s="213"/>
      <c r="AN217" s="213"/>
      <c r="AO217" s="213"/>
      <c r="AP217" s="213"/>
      <c r="AQ217" s="213"/>
      <c r="AR217" s="213"/>
      <c r="AS217" s="213"/>
      <c r="AT217" s="213"/>
      <c r="AU217" s="213"/>
      <c r="AV217" s="213"/>
      <c r="AW217" s="213"/>
      <c r="AX217" s="213"/>
      <c r="AY217" s="213"/>
      <c r="AZ217" s="213"/>
      <c r="BA217" s="213"/>
      <c r="BB217" s="213"/>
      <c r="BC217" s="213"/>
      <c r="BD217" s="213"/>
      <c r="BE217" s="213"/>
      <c r="BF217" s="213"/>
      <c r="BG217" s="213"/>
      <c r="BH217" s="213"/>
      <c r="BI217" s="213"/>
      <c r="BJ217" s="213"/>
      <c r="BK217" s="213"/>
      <c r="BL217" s="213"/>
      <c r="BM217" s="213"/>
      <c r="BN217" s="213"/>
      <c r="BO217" s="213"/>
      <c r="BP217" s="213"/>
    </row>
    <row r="218" spans="1:68" s="399" customFormat="1" ht="12.75" x14ac:dyDescent="0.25">
      <c r="A218" s="398"/>
      <c r="B218" s="207" t="s">
        <v>109</v>
      </c>
      <c r="C218" s="382" t="s">
        <v>4294</v>
      </c>
      <c r="D218" s="383"/>
      <c r="E218" s="383"/>
      <c r="F218" s="383"/>
      <c r="G218" s="383"/>
      <c r="H218" s="384"/>
      <c r="J218" s="401"/>
      <c r="K218" s="401"/>
      <c r="L218" s="398"/>
      <c r="M218" s="401"/>
      <c r="N218" s="398"/>
      <c r="O218" s="398"/>
      <c r="S218" s="402"/>
      <c r="T218" s="400"/>
    </row>
    <row r="219" spans="1:68" s="399" customFormat="1" ht="12.75" x14ac:dyDescent="0.25">
      <c r="A219" s="398"/>
      <c r="B219" s="208"/>
      <c r="C219" s="175"/>
      <c r="D219" s="176"/>
      <c r="E219" s="176"/>
      <c r="F219" s="176"/>
      <c r="G219" s="176"/>
      <c r="H219" s="176"/>
      <c r="J219" s="401"/>
      <c r="K219" s="401"/>
      <c r="L219" s="398"/>
      <c r="M219" s="401"/>
      <c r="N219" s="398"/>
      <c r="O219" s="398"/>
      <c r="S219" s="402"/>
      <c r="T219" s="400"/>
    </row>
    <row r="220" spans="1:68" s="399" customFormat="1" ht="63.75" x14ac:dyDescent="0.25">
      <c r="A220" s="398" t="s">
        <v>1120</v>
      </c>
      <c r="B220" s="263" t="s">
        <v>3466</v>
      </c>
      <c r="C220" s="177" t="s">
        <v>4470</v>
      </c>
      <c r="D220" s="178" t="s">
        <v>101</v>
      </c>
      <c r="E220" s="178" t="s">
        <v>1106</v>
      </c>
      <c r="F220" s="179"/>
      <c r="G220" s="180"/>
      <c r="H220" s="181">
        <f>ROUND(SUM(H221:H228),2)</f>
        <v>146.37</v>
      </c>
      <c r="J220" s="401"/>
      <c r="K220" s="401"/>
      <c r="L220" s="398"/>
      <c r="M220" s="401"/>
      <c r="N220" s="398"/>
      <c r="O220" s="398"/>
      <c r="S220" s="402"/>
      <c r="T220" s="400"/>
    </row>
    <row r="221" spans="1:68" s="213" customFormat="1" ht="25.5" x14ac:dyDescent="0.25">
      <c r="A221" s="199" t="s">
        <v>1122</v>
      </c>
      <c r="B221" s="207">
        <v>3777</v>
      </c>
      <c r="C221" s="548" t="str">
        <f>IF(A221="SERVIÇO",VLOOKUP(B221,SERVIÇOS!$A$6:$D$7697,2,0),IF(A221="INSUMO",VLOOKUP(B221,INSUMOS!$A$6:$D$4845,2,0),IF(A221="COTAÇÃO",VLOOKUP(B221,'014-22-cotação'!$A$9:$I$138,2,0),IF(A221="AUX",VLOOKUP('014-22-CCU''s'!B221,'014-22-CCU''s AUX'!$B$1:$H$130,2,0)))))</f>
        <v xml:space="preserve">LONA PLASTICA PESADA PRETA, E = 150 MICRA                                                                                                                                                                                                                                                                                                                                                                                                                                                                 </v>
      </c>
      <c r="D221" s="549" t="str">
        <f>IF(A221="SERVIÇO",VLOOKUP(B221,SERVIÇOS!$A$6:$E$7697,5,0),IF(A221="INSUMO",VLOOKUP(B221,INSUMOS!$A$6:$E$4845,5,0),IF(A221="COTAÇÃO",VLOOKUP(B221,'014-22-cotação'!$A$9:$J$138,10,0),IF(A221="AUX",VLOOKUP('014-22-CCU''s'!B221,'014-22-CCU''s AUX'!$B$1:$H$130,3,0)))))</f>
        <v>MAT.</v>
      </c>
      <c r="E221" s="549" t="str">
        <f>IF(A221="SERVIÇO",VLOOKUP(B221,SERVIÇOS!$A$6:$D$7697,3,0),IF(A221="INSUMO",VLOOKUP(B221,INSUMOS!$A$6:$D$4845,3,0),IF(A221="COTAÇÃO",VLOOKUP(B221,'014-22-cotação'!$A$9:$I$138,4,0),IF(A221="AUX",VLOOKUP('014-22-CCU''s'!B221,'014-22-CCU''s AUX'!$B$1:$H$130,4,0)))))</f>
        <v xml:space="preserve">M2    </v>
      </c>
      <c r="F221" s="566">
        <v>1.1279999999999999</v>
      </c>
      <c r="G221" s="550">
        <f>IF(A221="SERVIÇO",VLOOKUP(B221,SERVIÇOS!$A$6:$D$7697,4,0),IF(A221="INSUMO",VLOOKUP(B221,INSUMOS!$A$6:$D$4845,4,0),IF(A221="COTAÇÃO",VLOOKUP(B221,'014-22-cotação'!$A$9:$I$138,3,0),IF(A221="AUX",VLOOKUP('014-22-CCU''s'!B221,'014-22-CCU''s AUX'!$B$1:$H$130,7,0)))))</f>
        <v>1.49</v>
      </c>
      <c r="H221" s="561">
        <f>TRUNC((F221*G221),2)</f>
        <v>1.68</v>
      </c>
      <c r="J221" s="83"/>
      <c r="K221" s="83"/>
      <c r="L221" s="83"/>
      <c r="M221" s="83"/>
      <c r="S221" s="331"/>
      <c r="T221" s="342"/>
    </row>
    <row r="222" spans="1:68" s="213" customFormat="1" ht="51" x14ac:dyDescent="0.25">
      <c r="A222" s="199" t="s">
        <v>1122</v>
      </c>
      <c r="B222" s="207">
        <v>4460</v>
      </c>
      <c r="C222" s="548" t="str">
        <f>IF(A222="SERVIÇO",VLOOKUP(B222,SERVIÇOS!$A$6:$D$7697,2,0),IF(A222="INSUMO",VLOOKUP(B222,INSUMOS!$A$6:$D$4845,2,0),IF(A222="COTAÇÃO",VLOOKUP(B222,'014-22-cotação'!$A$9:$I$138,2,0),IF(A222="AUX",VLOOKUP('014-22-CCU''s'!B222,'014-22-CCU''s AUX'!$B$1:$H$130,2,0)))))</f>
        <v xml:space="preserve">SARRAFO NAO APARELHADO *2,5 X 10* CM, EM MACARANDUBA/MASSARANDUBA, ANGELIM OU EQUIVALENTE DA REGIAO - BRUTA                                                                                                                                                                                                                                                                                                                                                                                               </v>
      </c>
      <c r="D222" s="549" t="str">
        <f>IF(A222="SERVIÇO",VLOOKUP(B222,SERVIÇOS!$A$6:$E$7697,5,0),IF(A222="INSUMO",VLOOKUP(B222,INSUMOS!$A$6:$E$4845,5,0),IF(A222="COTAÇÃO",VLOOKUP(B222,'014-22-cotação'!$A$9:$J$138,10,0),IF(A222="AUX",VLOOKUP('014-22-CCU''s'!B222,'014-22-CCU''s AUX'!$B$1:$H$130,3,0)))))</f>
        <v>MAT.</v>
      </c>
      <c r="E222" s="549" t="str">
        <f>IF(A222="SERVIÇO",VLOOKUP(B222,SERVIÇOS!$A$6:$D$7697,3,0),IF(A222="INSUMO",VLOOKUP(B222,INSUMOS!$A$6:$D$4845,3,0),IF(A222="COTAÇÃO",VLOOKUP(B222,'014-22-cotação'!$A$9:$I$138,4,0),IF(A222="AUX",VLOOKUP('014-22-CCU''s'!B222,'014-22-CCU''s AUX'!$B$1:$H$130,4,0)))))</f>
        <v xml:space="preserve">M     </v>
      </c>
      <c r="F222" s="566">
        <v>0.25</v>
      </c>
      <c r="G222" s="550">
        <f>IF(A222="SERVIÇO",VLOOKUP(B222,SERVIÇOS!$A$6:$D$7697,4,0),IF(A222="INSUMO",VLOOKUP(B222,INSUMOS!$A$6:$D$4845,4,0),IF(A222="COTAÇÃO",VLOOKUP(B222,'014-22-cotação'!$A$9:$I$138,3,0),IF(A222="AUX",VLOOKUP('014-22-CCU''s'!B222,'014-22-CCU''s AUX'!$B$1:$H$130,7,0)))))</f>
        <v>10.19</v>
      </c>
      <c r="H222" s="561">
        <f t="shared" ref="H222" si="20">TRUNC((F222*G222),2)</f>
        <v>2.54</v>
      </c>
      <c r="J222" s="83"/>
      <c r="K222" s="83"/>
      <c r="L222" s="83"/>
      <c r="M222" s="83"/>
      <c r="S222" s="331"/>
      <c r="T222" s="342"/>
    </row>
    <row r="223" spans="1:68" s="346" customFormat="1" ht="25.5" x14ac:dyDescent="0.25">
      <c r="A223" s="332" t="s">
        <v>1122</v>
      </c>
      <c r="B223" s="207">
        <v>4517</v>
      </c>
      <c r="C223" s="548" t="str">
        <f>IF(A223="SERVIÇO",VLOOKUP(B223,SERVIÇOS!$A$6:$D$7697,2,0),IF(A223="INSUMO",VLOOKUP(B223,INSUMOS!$A$6:$D$4845,2,0),IF(A223="COTAÇÃO",VLOOKUP(B223,'014-22-cotação'!$A$9:$I$138,2,0),IF(A223="AUX",VLOOKUP('014-22-CCU''s'!B223,'014-22-CCU''s AUX'!$B$1:$H$130,2,0)))))</f>
        <v xml:space="preserve">SARRAFO *2,5 X 7,5* CM EM PINUS, MISTA OU EQUIVALENTE DA REGIAO - BRUTA                                                                                                                                                                                                                                                                                                                                                                                                                                   </v>
      </c>
      <c r="D223" s="549" t="str">
        <f>IF(A223="SERVIÇO",VLOOKUP(B223,SERVIÇOS!$A$6:$E$7697,5,0),IF(A223="INSUMO",VLOOKUP(B223,INSUMOS!$A$6:$E$4845,5,0),IF(A223="COTAÇÃO",VLOOKUP(B223,'014-22-cotação'!$A$9:$J$138,10,0),IF(A223="AUX",VLOOKUP('014-22-CCU''s'!B223,'014-22-CCU''s AUX'!$B$1:$H$130,3,0)))))</f>
        <v>MAT.</v>
      </c>
      <c r="E223" s="549" t="str">
        <f>IF(A223="SERVIÇO",VLOOKUP(B223,SERVIÇOS!$A$6:$D$7697,3,0),IF(A223="INSUMO",VLOOKUP(B223,INSUMOS!$A$6:$D$4845,3,0),IF(A223="COTAÇÃO",VLOOKUP(B223,'014-22-cotação'!$A$9:$I$138,4,0),IF(A223="AUX",VLOOKUP('014-22-CCU''s'!B223,'014-22-CCU''s AUX'!$B$1:$H$130,4,0)))))</f>
        <v xml:space="preserve">M     </v>
      </c>
      <c r="F223" s="566">
        <v>0.2</v>
      </c>
      <c r="G223" s="550">
        <f>IF(A223="SERVIÇO",VLOOKUP(B223,SERVIÇOS!$A$6:$D$7697,4,0),IF(A223="INSUMO",VLOOKUP(B223,INSUMOS!$A$6:$D$4845,4,0),IF(A223="COTAÇÃO",VLOOKUP(B223,'014-22-cotação'!$A$9:$I$138,3,0),IF(A223="AUX",VLOOKUP('014-22-CCU''s'!B223,'014-22-CCU''s AUX'!$B$1:$H$130,7,0)))))</f>
        <v>2.66</v>
      </c>
      <c r="H223" s="561">
        <f>TRUNC((F223*G223),2)</f>
        <v>0.53</v>
      </c>
      <c r="I223" s="213"/>
      <c r="J223" s="83"/>
      <c r="K223" s="83"/>
      <c r="L223" s="83"/>
      <c r="M223" s="83"/>
      <c r="N223" s="213"/>
      <c r="O223" s="213"/>
      <c r="P223" s="213"/>
      <c r="Q223" s="213"/>
      <c r="R223" s="213"/>
      <c r="S223" s="331"/>
      <c r="T223" s="342"/>
      <c r="U223" s="213"/>
      <c r="V223" s="213"/>
      <c r="W223" s="213"/>
      <c r="X223" s="213"/>
      <c r="Y223" s="213"/>
      <c r="Z223" s="213"/>
      <c r="AA223" s="213"/>
      <c r="AB223" s="213"/>
      <c r="AC223" s="213"/>
      <c r="AD223" s="213"/>
      <c r="AE223" s="213"/>
      <c r="AF223" s="213"/>
      <c r="AG223" s="213"/>
      <c r="AH223" s="213"/>
      <c r="AI223" s="213"/>
      <c r="AJ223" s="213"/>
      <c r="AK223" s="213"/>
      <c r="AL223" s="213"/>
      <c r="AM223" s="213"/>
      <c r="AN223" s="213"/>
      <c r="AO223" s="213"/>
      <c r="AP223" s="213"/>
      <c r="AQ223" s="213"/>
      <c r="AR223" s="213"/>
      <c r="AS223" s="213"/>
      <c r="AT223" s="213"/>
      <c r="AU223" s="213"/>
      <c r="AV223" s="213"/>
      <c r="AW223" s="213"/>
      <c r="AX223" s="213"/>
      <c r="AY223" s="213"/>
      <c r="AZ223" s="213"/>
      <c r="BA223" s="213"/>
      <c r="BB223" s="213"/>
      <c r="BC223" s="213"/>
      <c r="BD223" s="213"/>
      <c r="BE223" s="213"/>
      <c r="BF223" s="213"/>
      <c r="BG223" s="213"/>
      <c r="BH223" s="213"/>
      <c r="BI223" s="213"/>
      <c r="BJ223" s="213"/>
      <c r="BK223" s="213"/>
      <c r="BL223" s="213"/>
      <c r="BM223" s="213"/>
      <c r="BN223" s="213"/>
      <c r="BO223" s="213"/>
      <c r="BP223" s="213"/>
    </row>
    <row r="224" spans="1:68" s="399" customFormat="1" ht="51" x14ac:dyDescent="0.25">
      <c r="A224" s="398" t="s">
        <v>1122</v>
      </c>
      <c r="B224" s="207">
        <v>7156</v>
      </c>
      <c r="C224" s="548" t="str">
        <f>IF(A224="SERVIÇO",VLOOKUP(B224,SERVIÇOS!$A$6:$D$7697,2,0),IF(A224="INSUMO",VLOOKUP(B224,INSUMOS!$A$6:$D$4845,2,0),IF(A224="COTAÇÃO",VLOOKUP(B224,'014-22-cotação'!$A$9:$I$138,2,0),IF(A224="AUX",VLOOKUP('014-22-CCU''s'!B224,'014-22-CCU''s AUX'!$B$1:$H$130,2,0)))))</f>
        <v xml:space="preserve">TELA DE ACO SOLDADA NERVURADA, CA-60, Q-196, (3,11 KG/M2), DIAMETRO DO FIO = 5,0 MM, LARGURA = 2,45 M, ESPACAMENTO DA MALHA = 10 X 10 CM                                                                                                                                                                                                                                                                                                                                                                  </v>
      </c>
      <c r="D224" s="549" t="str">
        <f>IF(A224="SERVIÇO",VLOOKUP(B224,SERVIÇOS!$A$6:$E$7697,5,0),IF(A224="INSUMO",VLOOKUP(B224,INSUMOS!$A$6:$E$4845,5,0),IF(A224="COTAÇÃO",VLOOKUP(B224,'014-22-cotação'!$A$9:$J$138,10,0),IF(A224="AUX",VLOOKUP('014-22-CCU''s'!B224,'014-22-CCU''s AUX'!$B$1:$H$130,3,0)))))</f>
        <v>MAT.</v>
      </c>
      <c r="E224" s="549" t="str">
        <f>IF(A224="SERVIÇO",VLOOKUP(B224,SERVIÇOS!$A$6:$D$7697,3,0),IF(A224="INSUMO",VLOOKUP(B224,INSUMOS!$A$6:$D$4845,3,0),IF(A224="COTAÇÃO",VLOOKUP(B224,'014-22-cotação'!$A$9:$I$138,4,0),IF(A224="AUX",VLOOKUP('014-22-CCU''s'!B224,'014-22-CCU''s AUX'!$B$1:$H$130,4,0)))))</f>
        <v xml:space="preserve">M2    </v>
      </c>
      <c r="F224" s="566">
        <v>1.1224000000000001</v>
      </c>
      <c r="G224" s="550">
        <f>IF(A224="SERVIÇO",VLOOKUP(B224,SERVIÇOS!$A$6:$D$7697,4,0),IF(A224="INSUMO",VLOOKUP(B224,INSUMOS!$A$6:$D$4845,4,0),IF(A224="COTAÇÃO",VLOOKUP(B224,'014-22-cotação'!$A$9:$I$138,3,0),IF(A224="AUX",VLOOKUP('014-22-CCU''s'!B224,'014-22-CCU''s AUX'!$B$1:$H$130,7,0)))))</f>
        <v>23.72</v>
      </c>
      <c r="H224" s="561">
        <f>TRUNC((F224*G224),2)</f>
        <v>26.62</v>
      </c>
      <c r="J224" s="401"/>
      <c r="K224" s="401"/>
      <c r="L224" s="401"/>
      <c r="M224" s="401"/>
      <c r="S224" s="402"/>
      <c r="T224" s="400"/>
    </row>
    <row r="225" spans="1:68" s="399" customFormat="1" ht="51" x14ac:dyDescent="0.25">
      <c r="A225" s="398" t="s">
        <v>3416</v>
      </c>
      <c r="B225" s="207" t="s">
        <v>4467</v>
      </c>
      <c r="C225" s="548" t="str">
        <f>IF(A225="SERVIÇO",VLOOKUP(B225,SERVIÇOS!$A$6:$D$7697,2,0),IF(A225="INSUMO",VLOOKUP(B225,INSUMOS!$A$6:$D$4845,2,0),IF(A225="COTAÇÃO",VLOOKUP(B225,'014-22-cotação'!$A$9:$I$138,2,0),IF(A225="AUX",VLOOKUP('014-22-CCU''s'!B225,'014-22-CCU''s AUX'!$B$1:$H$130,2,0)))))</f>
        <v>CONCRETO PIGMENTADO NA COR VERDE FCK = 20MPA, TRAÇO 1:2,7:3 (EM MASSA SECA DE CIMENTO/ AREIA MÉDIA/ BRITA 1) - PREPARO MECÂNICO COM BETONEIRA 600 L</v>
      </c>
      <c r="D225" s="549" t="str">
        <f>IF(A225="SERVIÇO",VLOOKUP(B225,SERVIÇOS!$A$6:$E$7697,5,0),IF(A225="INSUMO",VLOOKUP(B225,INSUMOS!$A$6:$E$4845,5,0),IF(A225="COTAÇÃO",VLOOKUP(B225,'014-22-cotação'!$A$9:$J$138,10,0),IF(A225="AUX",VLOOKUP('014-22-CCU''s'!B225,'014-22-CCU''s AUX'!$B$1:$H$130,3,0)))))</f>
        <v xml:space="preserve">SER.CG </v>
      </c>
      <c r="E225" s="549" t="str">
        <f>IF(A225="SERVIÇO",VLOOKUP(B225,SERVIÇOS!$A$6:$D$7697,3,0),IF(A225="INSUMO",VLOOKUP(B225,INSUMOS!$A$6:$D$4845,3,0),IF(A225="COTAÇÃO",VLOOKUP(B225,'014-22-cotação'!$A$9:$I$138,4,0),IF(A225="AUX",VLOOKUP('014-22-CCU''s'!B225,'014-22-CCU''s AUX'!$B$1:$H$130,4,0)))))</f>
        <v>M3</v>
      </c>
      <c r="F225" s="566">
        <v>9.7000000000000003E-2</v>
      </c>
      <c r="G225" s="550">
        <f>IF(A225="SERVIÇO",VLOOKUP(B225,SERVIÇOS!$A$6:$D$7697,4,0),IF(A225="INSUMO",VLOOKUP(B225,INSUMOS!$A$6:$D$4845,4,0),IF(A225="COTAÇÃO",VLOOKUP(B225,'014-22-cotação'!$A$9:$I$138,3,0),IF(A225="AUX",VLOOKUP('014-22-CCU''s'!B225,'014-22-CCU''s AUX'!$B$1:$H$130,7,0)))))</f>
        <v>1007.03</v>
      </c>
      <c r="H225" s="561">
        <f t="shared" ref="H225:H228" si="21">TRUNC((F225*G225),2)</f>
        <v>97.68</v>
      </c>
      <c r="J225" s="401"/>
      <c r="K225" s="401"/>
      <c r="L225" s="401"/>
      <c r="M225" s="401"/>
      <c r="S225" s="402"/>
      <c r="T225" s="400"/>
    </row>
    <row r="226" spans="1:68" s="213" customFormat="1" ht="25.5" x14ac:dyDescent="0.25">
      <c r="A226" s="199" t="s">
        <v>1120</v>
      </c>
      <c r="B226" s="207">
        <v>88262</v>
      </c>
      <c r="C226" s="548" t="str">
        <f>IF(A226="SERVIÇO",VLOOKUP(B226,SERVIÇOS!$A$6:$D$7697,2,0),IF(A226="INSUMO",VLOOKUP(B226,INSUMOS!$A$6:$D$4845,2,0),IF(A226="COTAÇÃO",VLOOKUP(B226,'014-22-cotação'!$A$9:$I$138,2,0),IF(A226="AUX",VLOOKUP('014-22-CCU''s'!B226,'014-22-CCU''s AUX'!$B$1:$H$130,2,0)))))</f>
        <v>CARPINTEIRO DE FORMAS COM ENCARGOS COMPLEMENTARES</v>
      </c>
      <c r="D226" s="549" t="str">
        <f>IF(A226="SERVIÇO",VLOOKUP(B226,SERVIÇOS!$A$6:$E$7697,5,0),IF(A226="INSUMO",VLOOKUP(B226,INSUMOS!$A$6:$E$4845,5,0),IF(A226="COTAÇÃO",VLOOKUP(B226,'014-22-cotação'!$A$9:$J$138,10,0),IF(A226="AUX",VLOOKUP('014-22-CCU''s'!B226,'014-22-CCU''s AUX'!$B$1:$H$130,3,0)))))</f>
        <v>M.O</v>
      </c>
      <c r="E226" s="549" t="str">
        <f>IF(A226="SERVIÇO",VLOOKUP(B226,SERVIÇOS!$A$6:$D$7697,3,0),IF(A226="INSUMO",VLOOKUP(B226,INSUMOS!$A$6:$D$4845,3,0),IF(A226="COTAÇÃO",VLOOKUP(B226,'014-22-cotação'!$A$9:$I$138,4,0),IF(A226="AUX",VLOOKUP('014-22-CCU''s'!B226,'014-22-CCU''s AUX'!$B$1:$H$130,4,0)))))</f>
        <v>H</v>
      </c>
      <c r="F226" s="566">
        <v>0.18049999999999999</v>
      </c>
      <c r="G226" s="550">
        <f>IF(A226="SERVIÇO",VLOOKUP(B226,SERVIÇOS!$A$6:$D$7697,4,0),IF(A226="INSUMO",VLOOKUP(B226,INSUMOS!$A$6:$D$4845,4,0),IF(A226="COTAÇÃO",VLOOKUP(B226,'014-22-cotação'!$A$9:$I$138,3,0),IF(A226="AUX",VLOOKUP('014-22-CCU''s'!B226,'014-22-CCU''s AUX'!$B$1:$H$130,7,0)))))</f>
        <v>30.71</v>
      </c>
      <c r="H226" s="561">
        <f t="shared" si="21"/>
        <v>5.54</v>
      </c>
      <c r="J226" s="83"/>
      <c r="K226" s="83"/>
      <c r="L226" s="83"/>
      <c r="M226" s="83"/>
      <c r="S226" s="331"/>
      <c r="T226" s="342"/>
    </row>
    <row r="227" spans="1:68" s="213" customFormat="1" ht="25.5" x14ac:dyDescent="0.25">
      <c r="A227" s="199" t="s">
        <v>1120</v>
      </c>
      <c r="B227" s="207">
        <v>88309</v>
      </c>
      <c r="C227" s="548" t="str">
        <f>IF(A227="SERVIÇO",VLOOKUP(B227,SERVIÇOS!$A$6:$D$7697,2,0),IF(A227="INSUMO",VLOOKUP(B227,INSUMOS!$A$6:$D$4845,2,0),IF(A227="COTAÇÃO",VLOOKUP(B227,'014-22-cotação'!$A$9:$I$138,2,0),IF(A227="AUX",VLOOKUP('014-22-CCU''s'!B227,'014-22-CCU''s AUX'!$B$1:$H$130,2,0)))))</f>
        <v>PEDREIRO COM ENCARGOS COMPLEMENTARES</v>
      </c>
      <c r="D227" s="549" t="str">
        <f>IF(A227="SERVIÇO",VLOOKUP(B227,SERVIÇOS!$A$6:$E$7697,5,0),IF(A227="INSUMO",VLOOKUP(B227,INSUMOS!$A$6:$E$4845,5,0),IF(A227="COTAÇÃO",VLOOKUP(B227,'014-22-cotação'!$A$9:$J$138,10,0),IF(A227="AUX",VLOOKUP('014-22-CCU''s'!B227,'014-22-CCU''s AUX'!$B$1:$H$130,3,0)))))</f>
        <v>M.O</v>
      </c>
      <c r="E227" s="549" t="str">
        <f>IF(A227="SERVIÇO",VLOOKUP(B227,SERVIÇOS!$A$6:$D$7697,3,0),IF(A227="INSUMO",VLOOKUP(B227,INSUMOS!$A$6:$D$4845,3,0),IF(A227="COTAÇÃO",VLOOKUP(B227,'014-22-cotação'!$A$9:$I$138,4,0),IF(A227="AUX",VLOOKUP('014-22-CCU''s'!B227,'014-22-CCU''s AUX'!$B$1:$H$130,4,0)))))</f>
        <v>H</v>
      </c>
      <c r="F227" s="566">
        <v>0.13880000000000001</v>
      </c>
      <c r="G227" s="550">
        <f>IF(A227="SERVIÇO",VLOOKUP(B227,SERVIÇOS!$A$6:$D$7697,4,0),IF(A227="INSUMO",VLOOKUP(B227,INSUMOS!$A$6:$D$4845,4,0),IF(A227="COTAÇÃO",VLOOKUP(B227,'014-22-cotação'!$A$9:$I$138,3,0),IF(A227="AUX",VLOOKUP('014-22-CCU''s'!B227,'014-22-CCU''s AUX'!$B$1:$H$130,7,0)))))</f>
        <v>31.1</v>
      </c>
      <c r="H227" s="561">
        <f t="shared" si="21"/>
        <v>4.3099999999999996</v>
      </c>
      <c r="J227" s="83"/>
      <c r="K227" s="83"/>
      <c r="L227" s="83"/>
      <c r="M227" s="83"/>
      <c r="S227" s="331"/>
      <c r="T227" s="342"/>
    </row>
    <row r="228" spans="1:68" s="346" customFormat="1" ht="25.5" x14ac:dyDescent="0.25">
      <c r="A228" s="332" t="s">
        <v>1120</v>
      </c>
      <c r="B228" s="207">
        <v>88316</v>
      </c>
      <c r="C228" s="548" t="str">
        <f>IF(A228="SERVIÇO",VLOOKUP(B228,SERVIÇOS!$A$6:$D$7697,2,0),IF(A228="INSUMO",VLOOKUP(B228,INSUMOS!$A$6:$D$4845,2,0),IF(A228="COTAÇÃO",VLOOKUP(B228,'014-22-cotação'!$A$9:$I$138,2,0),IF(A228="AUX",VLOOKUP('014-22-CCU''s'!B228,'014-22-CCU''s AUX'!$B$1:$H$130,2,0)))))</f>
        <v>SERVENTE COM ENCARGOS COMPLEMENTARES</v>
      </c>
      <c r="D228" s="549" t="str">
        <f>IF(A228="SERVIÇO",VLOOKUP(B228,SERVIÇOS!$A$6:$E$7697,5,0),IF(A228="INSUMO",VLOOKUP(B228,INSUMOS!$A$6:$E$4845,5,0),IF(A228="COTAÇÃO",VLOOKUP(B228,'014-22-cotação'!$A$9:$J$138,10,0),IF(A228="AUX",VLOOKUP('014-22-CCU''s'!B228,'014-22-CCU''s AUX'!$B$1:$H$130,3,0)))))</f>
        <v>M.O</v>
      </c>
      <c r="E228" s="549" t="str">
        <f>IF(A228="SERVIÇO",VLOOKUP(B228,SERVIÇOS!$A$6:$D$7697,3,0),IF(A228="INSUMO",VLOOKUP(B228,INSUMOS!$A$6:$D$4845,3,0),IF(A228="COTAÇÃO",VLOOKUP(B228,'014-22-cotação'!$A$9:$I$138,4,0),IF(A228="AUX",VLOOKUP('014-22-CCU''s'!B228,'014-22-CCU''s AUX'!$B$1:$H$130,4,0)))))</f>
        <v>H</v>
      </c>
      <c r="F228" s="566">
        <v>0.31929999999999997</v>
      </c>
      <c r="G228" s="550">
        <f>IF(A228="SERVIÇO",VLOOKUP(B228,SERVIÇOS!$A$6:$D$7697,4,0),IF(A228="INSUMO",VLOOKUP(B228,INSUMOS!$A$6:$D$4845,4,0),IF(A228="COTAÇÃO",VLOOKUP(B228,'014-22-cotação'!$A$9:$I$138,3,0),IF(A228="AUX",VLOOKUP('014-22-CCU''s'!B228,'014-22-CCU''s AUX'!$B$1:$H$130,7,0)))))</f>
        <v>23.4</v>
      </c>
      <c r="H228" s="561">
        <f t="shared" si="21"/>
        <v>7.47</v>
      </c>
      <c r="I228" s="213"/>
      <c r="J228" s="83"/>
      <c r="K228" s="83"/>
      <c r="L228" s="83"/>
      <c r="M228" s="83"/>
      <c r="N228" s="213"/>
      <c r="O228" s="213"/>
      <c r="P228" s="213"/>
      <c r="Q228" s="213"/>
      <c r="R228" s="213"/>
      <c r="S228" s="331"/>
      <c r="T228" s="342"/>
      <c r="U228" s="213"/>
      <c r="V228" s="213"/>
      <c r="W228" s="213"/>
      <c r="X228" s="213"/>
      <c r="Y228" s="213"/>
      <c r="Z228" s="213"/>
      <c r="AA228" s="213"/>
      <c r="AB228" s="213"/>
      <c r="AC228" s="213"/>
      <c r="AD228" s="213"/>
      <c r="AE228" s="213"/>
      <c r="AF228" s="213"/>
      <c r="AG228" s="213"/>
      <c r="AH228" s="213"/>
      <c r="AI228" s="213"/>
      <c r="AJ228" s="213"/>
      <c r="AK228" s="213"/>
      <c r="AL228" s="213"/>
      <c r="AM228" s="213"/>
      <c r="AN228" s="213"/>
      <c r="AO228" s="213"/>
      <c r="AP228" s="213"/>
      <c r="AQ228" s="213"/>
      <c r="AR228" s="213"/>
      <c r="AS228" s="213"/>
      <c r="AT228" s="213"/>
      <c r="AU228" s="213"/>
      <c r="AV228" s="213"/>
      <c r="AW228" s="213"/>
      <c r="AX228" s="213"/>
      <c r="AY228" s="213"/>
      <c r="AZ228" s="213"/>
      <c r="BA228" s="213"/>
      <c r="BB228" s="213"/>
      <c r="BC228" s="213"/>
      <c r="BD228" s="213"/>
      <c r="BE228" s="213"/>
      <c r="BF228" s="213"/>
      <c r="BG228" s="213"/>
      <c r="BH228" s="213"/>
      <c r="BI228" s="213"/>
      <c r="BJ228" s="213"/>
      <c r="BK228" s="213"/>
      <c r="BL228" s="213"/>
      <c r="BM228" s="213"/>
      <c r="BN228" s="213"/>
      <c r="BO228" s="213"/>
      <c r="BP228" s="213"/>
    </row>
    <row r="229" spans="1:68" s="399" customFormat="1" ht="12.75" x14ac:dyDescent="0.25">
      <c r="A229" s="398"/>
      <c r="B229" s="207" t="s">
        <v>109</v>
      </c>
      <c r="C229" s="382" t="s">
        <v>4294</v>
      </c>
      <c r="D229" s="383"/>
      <c r="E229" s="383"/>
      <c r="F229" s="383"/>
      <c r="G229" s="383"/>
      <c r="H229" s="384"/>
      <c r="J229" s="401"/>
      <c r="K229" s="401"/>
      <c r="L229" s="401"/>
      <c r="M229" s="401"/>
      <c r="S229" s="402"/>
      <c r="T229" s="400"/>
    </row>
    <row r="230" spans="1:68" s="399" customFormat="1" ht="12.75" x14ac:dyDescent="0.25">
      <c r="A230" s="398"/>
      <c r="B230" s="208"/>
      <c r="C230" s="175"/>
      <c r="D230" s="176"/>
      <c r="E230" s="176"/>
      <c r="F230" s="176"/>
      <c r="G230" s="176"/>
      <c r="H230" s="176"/>
      <c r="J230" s="401"/>
      <c r="K230" s="401"/>
      <c r="L230" s="401"/>
      <c r="M230" s="401"/>
      <c r="S230" s="402"/>
      <c r="T230" s="400"/>
    </row>
    <row r="231" spans="1:68" s="399" customFormat="1" ht="63.75" x14ac:dyDescent="0.25">
      <c r="A231" s="398" t="s">
        <v>1120</v>
      </c>
      <c r="B231" s="263" t="s">
        <v>3467</v>
      </c>
      <c r="C231" s="177" t="s">
        <v>4471</v>
      </c>
      <c r="D231" s="178" t="s">
        <v>101</v>
      </c>
      <c r="E231" s="178" t="s">
        <v>1106</v>
      </c>
      <c r="F231" s="179"/>
      <c r="G231" s="180"/>
      <c r="H231" s="181">
        <f>ROUND(SUM(H232:H239),2)</f>
        <v>146.37</v>
      </c>
      <c r="J231" s="401"/>
      <c r="K231" s="405"/>
      <c r="L231" s="398"/>
      <c r="M231" s="401"/>
      <c r="N231" s="398"/>
      <c r="O231" s="398"/>
      <c r="S231" s="402"/>
      <c r="T231" s="400"/>
    </row>
    <row r="232" spans="1:68" s="399" customFormat="1" ht="25.5" x14ac:dyDescent="0.25">
      <c r="A232" s="398" t="s">
        <v>1122</v>
      </c>
      <c r="B232" s="207">
        <v>3777</v>
      </c>
      <c r="C232" s="548" t="str">
        <f>IF(A232="SERVIÇO",VLOOKUP(B232,SERVIÇOS!$A$6:$D$7697,2,0),IF(A232="INSUMO",VLOOKUP(B232,INSUMOS!$A$6:$D$4845,2,0),IF(A232="COTAÇÃO",VLOOKUP(B232,'014-22-cotação'!$A$9:$I$138,2,0),IF(A232="AUX",VLOOKUP('014-22-CCU''s'!B232,'014-22-CCU''s AUX'!$B$1:$H$130,2,0)))))</f>
        <v xml:space="preserve">LONA PLASTICA PESADA PRETA, E = 150 MICRA                                                                                                                                                                                                                                                                                                                                                                                                                                                                 </v>
      </c>
      <c r="D232" s="549" t="str">
        <f>IF(A232="SERVIÇO",VLOOKUP(B232,SERVIÇOS!$A$6:$E$7697,5,0),IF(A232="INSUMO",VLOOKUP(B232,INSUMOS!$A$6:$E$4845,5,0),IF(A232="COTAÇÃO",VLOOKUP(B232,'014-22-cotação'!$A$9:$J$138,10,0),IF(A232="AUX",VLOOKUP('014-22-CCU''s'!B232,'014-22-CCU''s AUX'!$B$1:$H$130,3,0)))))</f>
        <v>MAT.</v>
      </c>
      <c r="E232" s="549" t="str">
        <f>IF(A232="SERVIÇO",VLOOKUP(B232,SERVIÇOS!$A$6:$D$7697,3,0),IF(A232="INSUMO",VLOOKUP(B232,INSUMOS!$A$6:$D$4845,3,0),IF(A232="COTAÇÃO",VLOOKUP(B232,'014-22-cotação'!$A$9:$I$138,4,0),IF(A232="AUX",VLOOKUP('014-22-CCU''s'!B232,'014-22-CCU''s AUX'!$B$1:$H$130,4,0)))))</f>
        <v xml:space="preserve">M2    </v>
      </c>
      <c r="F232" s="566">
        <v>1.1279999999999999</v>
      </c>
      <c r="G232" s="550">
        <f>IF(A232="SERVIÇO",VLOOKUP(B232,SERVIÇOS!$A$6:$D$7697,4,0),IF(A232="INSUMO",VLOOKUP(B232,INSUMOS!$A$6:$D$4845,4,0),IF(A232="COTAÇÃO",VLOOKUP(B232,'014-22-cotação'!$A$9:$I$138,3,0),IF(A232="AUX",VLOOKUP('014-22-CCU''s'!B232,'014-22-CCU''s AUX'!$B$1:$H$130,7,0)))))</f>
        <v>1.49</v>
      </c>
      <c r="H232" s="561">
        <f>TRUNC((F232*G232),2)</f>
        <v>1.68</v>
      </c>
      <c r="J232" s="401"/>
      <c r="K232" s="401"/>
      <c r="L232" s="401"/>
      <c r="M232" s="401"/>
      <c r="S232" s="402"/>
      <c r="T232" s="400"/>
    </row>
    <row r="233" spans="1:68" s="213" customFormat="1" ht="51" x14ac:dyDescent="0.25">
      <c r="A233" s="199" t="s">
        <v>1122</v>
      </c>
      <c r="B233" s="207">
        <v>4460</v>
      </c>
      <c r="C233" s="548" t="str">
        <f>IF(A233="SERVIÇO",VLOOKUP(B233,SERVIÇOS!$A$6:$D$7697,2,0),IF(A233="INSUMO",VLOOKUP(B233,INSUMOS!$A$6:$D$4845,2,0),IF(A233="COTAÇÃO",VLOOKUP(B233,'014-22-cotação'!$A$9:$I$138,2,0),IF(A233="AUX",VLOOKUP('014-22-CCU''s'!B233,'014-22-CCU''s AUX'!$B$1:$H$130,2,0)))))</f>
        <v xml:space="preserve">SARRAFO NAO APARELHADO *2,5 X 10* CM, EM MACARANDUBA/MASSARANDUBA, ANGELIM OU EQUIVALENTE DA REGIAO - BRUTA                                                                                                                                                                                                                                                                                                                                                                                               </v>
      </c>
      <c r="D233" s="549" t="str">
        <f>IF(A233="SERVIÇO",VLOOKUP(B233,SERVIÇOS!$A$6:$E$7697,5,0),IF(A233="INSUMO",VLOOKUP(B233,INSUMOS!$A$6:$E$4845,5,0),IF(A233="COTAÇÃO",VLOOKUP(B233,'014-22-cotação'!$A$9:$J$138,10,0),IF(A233="AUX",VLOOKUP('014-22-CCU''s'!B233,'014-22-CCU''s AUX'!$B$1:$H$130,3,0)))))</f>
        <v>MAT.</v>
      </c>
      <c r="E233" s="549" t="str">
        <f>IF(A233="SERVIÇO",VLOOKUP(B233,SERVIÇOS!$A$6:$D$7697,3,0),IF(A233="INSUMO",VLOOKUP(B233,INSUMOS!$A$6:$D$4845,3,0),IF(A233="COTAÇÃO",VLOOKUP(B233,'014-22-cotação'!$A$9:$I$138,4,0),IF(A233="AUX",VLOOKUP('014-22-CCU''s'!B233,'014-22-CCU''s AUX'!$B$1:$H$130,4,0)))))</f>
        <v xml:space="preserve">M     </v>
      </c>
      <c r="F233" s="566">
        <v>0.25</v>
      </c>
      <c r="G233" s="550">
        <f>IF(A233="SERVIÇO",VLOOKUP(B233,SERVIÇOS!$A$6:$D$7697,4,0),IF(A233="INSUMO",VLOOKUP(B233,INSUMOS!$A$6:$D$4845,4,0),IF(A233="COTAÇÃO",VLOOKUP(B233,'014-22-cotação'!$A$9:$I$138,3,0),IF(A233="AUX",VLOOKUP('014-22-CCU''s'!B233,'014-22-CCU''s AUX'!$B$1:$H$130,7,0)))))</f>
        <v>10.19</v>
      </c>
      <c r="H233" s="561">
        <f t="shared" ref="H233" si="22">TRUNC((F233*G233),2)</f>
        <v>2.54</v>
      </c>
      <c r="J233" s="83"/>
      <c r="K233" s="83"/>
      <c r="L233" s="83"/>
      <c r="M233" s="83"/>
      <c r="S233" s="331"/>
      <c r="T233" s="342"/>
    </row>
    <row r="234" spans="1:68" s="213" customFormat="1" ht="25.5" x14ac:dyDescent="0.25">
      <c r="A234" s="199" t="s">
        <v>1122</v>
      </c>
      <c r="B234" s="207">
        <v>4517</v>
      </c>
      <c r="C234" s="548" t="str">
        <f>IF(A234="SERVIÇO",VLOOKUP(B234,SERVIÇOS!$A$6:$D$7697,2,0),IF(A234="INSUMO",VLOOKUP(B234,INSUMOS!$A$6:$D$4845,2,0),IF(A234="COTAÇÃO",VLOOKUP(B234,'014-22-cotação'!$A$9:$I$138,2,0),IF(A234="AUX",VLOOKUP('014-22-CCU''s'!B234,'014-22-CCU''s AUX'!$B$1:$H$130,2,0)))))</f>
        <v xml:space="preserve">SARRAFO *2,5 X 7,5* CM EM PINUS, MISTA OU EQUIVALENTE DA REGIAO - BRUTA                                                                                                                                                                                                                                                                                                                                                                                                                                   </v>
      </c>
      <c r="D234" s="549" t="str">
        <f>IF(A234="SERVIÇO",VLOOKUP(B234,SERVIÇOS!$A$6:$E$7697,5,0),IF(A234="INSUMO",VLOOKUP(B234,INSUMOS!$A$6:$E$4845,5,0),IF(A234="COTAÇÃO",VLOOKUP(B234,'014-22-cotação'!$A$9:$J$138,10,0),IF(A234="AUX",VLOOKUP('014-22-CCU''s'!B234,'014-22-CCU''s AUX'!$B$1:$H$130,3,0)))))</f>
        <v>MAT.</v>
      </c>
      <c r="E234" s="549" t="str">
        <f>IF(A234="SERVIÇO",VLOOKUP(B234,SERVIÇOS!$A$6:$D$7697,3,0),IF(A234="INSUMO",VLOOKUP(B234,INSUMOS!$A$6:$D$4845,3,0),IF(A234="COTAÇÃO",VLOOKUP(B234,'014-22-cotação'!$A$9:$I$138,4,0),IF(A234="AUX",VLOOKUP('014-22-CCU''s'!B234,'014-22-CCU''s AUX'!$B$1:$H$130,4,0)))))</f>
        <v xml:space="preserve">M     </v>
      </c>
      <c r="F234" s="566">
        <v>0.2</v>
      </c>
      <c r="G234" s="550">
        <f>IF(A234="SERVIÇO",VLOOKUP(B234,SERVIÇOS!$A$6:$D$7697,4,0),IF(A234="INSUMO",VLOOKUP(B234,INSUMOS!$A$6:$D$4845,4,0),IF(A234="COTAÇÃO",VLOOKUP(B234,'014-22-cotação'!$A$9:$I$138,3,0),IF(A234="AUX",VLOOKUP('014-22-CCU''s'!B234,'014-22-CCU''s AUX'!$B$1:$H$130,7,0)))))</f>
        <v>2.66</v>
      </c>
      <c r="H234" s="561">
        <f>TRUNC((F234*G234),2)</f>
        <v>0.53</v>
      </c>
      <c r="J234" s="83"/>
      <c r="K234" s="83"/>
      <c r="L234" s="83"/>
      <c r="M234" s="83"/>
      <c r="S234" s="331"/>
      <c r="T234" s="342"/>
    </row>
    <row r="235" spans="1:68" s="213" customFormat="1" ht="51" x14ac:dyDescent="0.25">
      <c r="A235" s="323" t="s">
        <v>1122</v>
      </c>
      <c r="B235" s="207">
        <v>7156</v>
      </c>
      <c r="C235" s="548" t="str">
        <f>IF(A235="SERVIÇO",VLOOKUP(B235,SERVIÇOS!$A$6:$D$7697,2,0),IF(A235="INSUMO",VLOOKUP(B235,INSUMOS!$A$6:$D$4845,2,0),IF(A235="COTAÇÃO",VLOOKUP(B235,'014-22-cotação'!$A$9:$I$138,2,0),IF(A235="AUX",VLOOKUP('014-22-CCU''s'!B235,'014-22-CCU''s AUX'!$B$1:$H$130,2,0)))))</f>
        <v xml:space="preserve">TELA DE ACO SOLDADA NERVURADA, CA-60, Q-196, (3,11 KG/M2), DIAMETRO DO FIO = 5,0 MM, LARGURA = 2,45 M, ESPACAMENTO DA MALHA = 10 X 10 CM                                                                                                                                                                                                                                                                                                                                                                  </v>
      </c>
      <c r="D235" s="549" t="str">
        <f>IF(A235="SERVIÇO",VLOOKUP(B235,SERVIÇOS!$A$6:$E$7697,5,0),IF(A235="INSUMO",VLOOKUP(B235,INSUMOS!$A$6:$E$4845,5,0),IF(A235="COTAÇÃO",VLOOKUP(B235,'014-22-cotação'!$A$9:$J$138,10,0),IF(A235="AUX",VLOOKUP('014-22-CCU''s'!B235,'014-22-CCU''s AUX'!$B$1:$H$130,3,0)))))</f>
        <v>MAT.</v>
      </c>
      <c r="E235" s="549" t="str">
        <f>IF(A235="SERVIÇO",VLOOKUP(B235,SERVIÇOS!$A$6:$D$7697,3,0),IF(A235="INSUMO",VLOOKUP(B235,INSUMOS!$A$6:$D$4845,3,0),IF(A235="COTAÇÃO",VLOOKUP(B235,'014-22-cotação'!$A$9:$I$138,4,0),IF(A235="AUX",VLOOKUP('014-22-CCU''s'!B235,'014-22-CCU''s AUX'!$B$1:$H$130,4,0)))))</f>
        <v xml:space="preserve">M2    </v>
      </c>
      <c r="F235" s="566">
        <v>1.1224000000000001</v>
      </c>
      <c r="G235" s="550">
        <f>IF(A235="SERVIÇO",VLOOKUP(B235,SERVIÇOS!$A$6:$D$7697,4,0),IF(A235="INSUMO",VLOOKUP(B235,INSUMOS!$A$6:$D$4845,4,0),IF(A235="COTAÇÃO",VLOOKUP(B235,'014-22-cotação'!$A$9:$I$138,3,0),IF(A235="AUX",VLOOKUP('014-22-CCU''s'!B235,'014-22-CCU''s AUX'!$B$1:$H$130,7,0)))))</f>
        <v>23.72</v>
      </c>
      <c r="H235" s="561">
        <f>TRUNC((F235*G235),2)</f>
        <v>26.62</v>
      </c>
      <c r="J235" s="83"/>
      <c r="K235" s="83"/>
      <c r="L235" s="83"/>
      <c r="M235" s="83"/>
      <c r="S235" s="331"/>
      <c r="T235" s="342"/>
    </row>
    <row r="236" spans="1:68" s="399" customFormat="1" ht="51" x14ac:dyDescent="0.25">
      <c r="A236" s="398" t="s">
        <v>3416</v>
      </c>
      <c r="B236" s="207" t="s">
        <v>3447</v>
      </c>
      <c r="C236" s="548" t="str">
        <f>IF(A236="SERVIÇO",VLOOKUP(B236,SERVIÇOS!$A$6:$D$7697,2,0),IF(A236="INSUMO",VLOOKUP(B236,INSUMOS!$A$6:$D$4845,2,0),IF(A236="COTAÇÃO",VLOOKUP(B236,'014-22-cotação'!$A$9:$I$138,2,0),IF(A236="AUX",VLOOKUP('014-22-CCU''s'!B236,'014-22-CCU''s AUX'!$B$1:$H$130,2,0)))))</f>
        <v>CONCRETO PIGMENTADO NA COR AZUL FCK = 20MPA, TRAÇO 1:2,7:3 (EM MASSA SECA DE CIMENTO/ AREIA MÉDIA/ BRITA 1) - PREPARO MECÂNICO COM BETONEIRA 600 L</v>
      </c>
      <c r="D236" s="549" t="str">
        <f>IF(A236="SERVIÇO",VLOOKUP(B236,SERVIÇOS!$A$6:$E$7697,5,0),IF(A236="INSUMO",VLOOKUP(B236,INSUMOS!$A$6:$E$4845,5,0),IF(A236="COTAÇÃO",VLOOKUP(B236,'014-22-cotação'!$A$9:$J$138,10,0),IF(A236="AUX",VLOOKUP('014-22-CCU''s'!B236,'014-22-CCU''s AUX'!$B$1:$H$130,3,0)))))</f>
        <v xml:space="preserve">SER.CG </v>
      </c>
      <c r="E236" s="549" t="str">
        <f>IF(A236="SERVIÇO",VLOOKUP(B236,SERVIÇOS!$A$6:$D$7697,3,0),IF(A236="INSUMO",VLOOKUP(B236,INSUMOS!$A$6:$D$4845,3,0),IF(A236="COTAÇÃO",VLOOKUP(B236,'014-22-cotação'!$A$9:$I$138,4,0),IF(A236="AUX",VLOOKUP('014-22-CCU''s'!B236,'014-22-CCU''s AUX'!$B$1:$H$130,4,0)))))</f>
        <v>M3</v>
      </c>
      <c r="F236" s="566">
        <v>9.7000000000000003E-2</v>
      </c>
      <c r="G236" s="550">
        <f>IF(A236="SERVIÇO",VLOOKUP(B236,SERVIÇOS!$A$6:$D$7697,4,0),IF(A236="INSUMO",VLOOKUP(B236,INSUMOS!$A$6:$D$4845,4,0),IF(A236="COTAÇÃO",VLOOKUP(B236,'014-22-cotação'!$A$9:$I$138,3,0),IF(A236="AUX",VLOOKUP('014-22-CCU''s'!B236,'014-22-CCU''s AUX'!$B$1:$H$130,7,0)))))</f>
        <v>1007.03</v>
      </c>
      <c r="H236" s="561">
        <f t="shared" ref="H236:H239" si="23">TRUNC((F236*G236),2)</f>
        <v>97.68</v>
      </c>
      <c r="J236" s="401"/>
      <c r="K236" s="401"/>
      <c r="L236" s="401"/>
      <c r="M236" s="401"/>
      <c r="S236" s="402"/>
      <c r="T236" s="400"/>
    </row>
    <row r="237" spans="1:68" s="399" customFormat="1" ht="25.5" x14ac:dyDescent="0.25">
      <c r="A237" s="398" t="s">
        <v>1120</v>
      </c>
      <c r="B237" s="207">
        <v>88262</v>
      </c>
      <c r="C237" s="548" t="str">
        <f>IF(A237="SERVIÇO",VLOOKUP(B237,SERVIÇOS!$A$6:$D$7697,2,0),IF(A237="INSUMO",VLOOKUP(B237,INSUMOS!$A$6:$D$4845,2,0),IF(A237="COTAÇÃO",VLOOKUP(B237,'014-22-cotação'!$A$9:$I$138,2,0),IF(A237="AUX",VLOOKUP('014-22-CCU''s'!B237,'014-22-CCU''s AUX'!$B$1:$H$130,2,0)))))</f>
        <v>CARPINTEIRO DE FORMAS COM ENCARGOS COMPLEMENTARES</v>
      </c>
      <c r="D237" s="549" t="str">
        <f>IF(A237="SERVIÇO",VLOOKUP(B237,SERVIÇOS!$A$6:$E$7697,5,0),IF(A237="INSUMO",VLOOKUP(B237,INSUMOS!$A$6:$E$4845,5,0),IF(A237="COTAÇÃO",VLOOKUP(B237,'014-22-cotação'!$A$9:$J$138,10,0),IF(A237="AUX",VLOOKUP('014-22-CCU''s'!B237,'014-22-CCU''s AUX'!$B$1:$H$130,3,0)))))</f>
        <v>M.O</v>
      </c>
      <c r="E237" s="549" t="str">
        <f>IF(A237="SERVIÇO",VLOOKUP(B237,SERVIÇOS!$A$6:$D$7697,3,0),IF(A237="INSUMO",VLOOKUP(B237,INSUMOS!$A$6:$D$4845,3,0),IF(A237="COTAÇÃO",VLOOKUP(B237,'014-22-cotação'!$A$9:$I$138,4,0),IF(A237="AUX",VLOOKUP('014-22-CCU''s'!B237,'014-22-CCU''s AUX'!$B$1:$H$130,4,0)))))</f>
        <v>H</v>
      </c>
      <c r="F237" s="566">
        <v>0.18049999999999999</v>
      </c>
      <c r="G237" s="550">
        <f>IF(A237="SERVIÇO",VLOOKUP(B237,SERVIÇOS!$A$6:$D$7697,4,0),IF(A237="INSUMO",VLOOKUP(B237,INSUMOS!$A$6:$D$4845,4,0),IF(A237="COTAÇÃO",VLOOKUP(B237,'014-22-cotação'!$A$9:$I$138,3,0),IF(A237="AUX",VLOOKUP('014-22-CCU''s'!B237,'014-22-CCU''s AUX'!$B$1:$H$130,7,0)))))</f>
        <v>30.71</v>
      </c>
      <c r="H237" s="561">
        <f t="shared" si="23"/>
        <v>5.54</v>
      </c>
      <c r="J237" s="401"/>
      <c r="K237" s="401"/>
      <c r="L237" s="401"/>
      <c r="M237" s="401"/>
      <c r="S237" s="402"/>
      <c r="T237" s="400"/>
    </row>
    <row r="238" spans="1:68" s="399" customFormat="1" ht="25.5" x14ac:dyDescent="0.25">
      <c r="A238" s="398" t="s">
        <v>1120</v>
      </c>
      <c r="B238" s="207">
        <v>88309</v>
      </c>
      <c r="C238" s="548" t="str">
        <f>IF(A238="SERVIÇO",VLOOKUP(B238,SERVIÇOS!$A$6:$D$7697,2,0),IF(A238="INSUMO",VLOOKUP(B238,INSUMOS!$A$6:$D$4845,2,0),IF(A238="COTAÇÃO",VLOOKUP(B238,'014-22-cotação'!$A$9:$I$138,2,0),IF(A238="AUX",VLOOKUP('014-22-CCU''s'!B238,'014-22-CCU''s AUX'!$B$1:$H$130,2,0)))))</f>
        <v>PEDREIRO COM ENCARGOS COMPLEMENTARES</v>
      </c>
      <c r="D238" s="549" t="str">
        <f>IF(A238="SERVIÇO",VLOOKUP(B238,SERVIÇOS!$A$6:$E$7697,5,0),IF(A238="INSUMO",VLOOKUP(B238,INSUMOS!$A$6:$E$4845,5,0),IF(A238="COTAÇÃO",VLOOKUP(B238,'014-22-cotação'!$A$9:$J$138,10,0),IF(A238="AUX",VLOOKUP('014-22-CCU''s'!B238,'014-22-CCU''s AUX'!$B$1:$H$130,3,0)))))</f>
        <v>M.O</v>
      </c>
      <c r="E238" s="549" t="str">
        <f>IF(A238="SERVIÇO",VLOOKUP(B238,SERVIÇOS!$A$6:$D$7697,3,0),IF(A238="INSUMO",VLOOKUP(B238,INSUMOS!$A$6:$D$4845,3,0),IF(A238="COTAÇÃO",VLOOKUP(B238,'014-22-cotação'!$A$9:$I$138,4,0),IF(A238="AUX",VLOOKUP('014-22-CCU''s'!B238,'014-22-CCU''s AUX'!$B$1:$H$130,4,0)))))</f>
        <v>H</v>
      </c>
      <c r="F238" s="566">
        <v>0.13880000000000001</v>
      </c>
      <c r="G238" s="550">
        <f>IF(A238="SERVIÇO",VLOOKUP(B238,SERVIÇOS!$A$6:$D$7697,4,0),IF(A238="INSUMO",VLOOKUP(B238,INSUMOS!$A$6:$D$4845,4,0),IF(A238="COTAÇÃO",VLOOKUP(B238,'014-22-cotação'!$A$9:$I$138,3,0),IF(A238="AUX",VLOOKUP('014-22-CCU''s'!B238,'014-22-CCU''s AUX'!$B$1:$H$130,7,0)))))</f>
        <v>31.1</v>
      </c>
      <c r="H238" s="561">
        <f t="shared" si="23"/>
        <v>4.3099999999999996</v>
      </c>
      <c r="J238" s="401"/>
      <c r="K238" s="401"/>
      <c r="L238" s="401"/>
      <c r="M238" s="401"/>
      <c r="S238" s="402"/>
      <c r="T238" s="400"/>
    </row>
    <row r="239" spans="1:68" s="213" customFormat="1" ht="25.5" x14ac:dyDescent="0.25">
      <c r="A239" s="199" t="s">
        <v>1120</v>
      </c>
      <c r="B239" s="207">
        <v>88316</v>
      </c>
      <c r="C239" s="548" t="str">
        <f>IF(A239="SERVIÇO",VLOOKUP(B239,SERVIÇOS!$A$6:$D$7697,2,0),IF(A239="INSUMO",VLOOKUP(B239,INSUMOS!$A$6:$D$4845,2,0),IF(A239="COTAÇÃO",VLOOKUP(B239,'014-22-cotação'!$A$9:$I$138,2,0),IF(A239="AUX",VLOOKUP('014-22-CCU''s'!B239,'014-22-CCU''s AUX'!$B$1:$H$130,2,0)))))</f>
        <v>SERVENTE COM ENCARGOS COMPLEMENTARES</v>
      </c>
      <c r="D239" s="549" t="str">
        <f>IF(A239="SERVIÇO",VLOOKUP(B239,SERVIÇOS!$A$6:$E$7697,5,0),IF(A239="INSUMO",VLOOKUP(B239,INSUMOS!$A$6:$E$4845,5,0),IF(A239="COTAÇÃO",VLOOKUP(B239,'014-22-cotação'!$A$9:$J$138,10,0),IF(A239="AUX",VLOOKUP('014-22-CCU''s'!B239,'014-22-CCU''s AUX'!$B$1:$H$130,3,0)))))</f>
        <v>M.O</v>
      </c>
      <c r="E239" s="549" t="str">
        <f>IF(A239="SERVIÇO",VLOOKUP(B239,SERVIÇOS!$A$6:$D$7697,3,0),IF(A239="INSUMO",VLOOKUP(B239,INSUMOS!$A$6:$D$4845,3,0),IF(A239="COTAÇÃO",VLOOKUP(B239,'014-22-cotação'!$A$9:$I$138,4,0),IF(A239="AUX",VLOOKUP('014-22-CCU''s'!B239,'014-22-CCU''s AUX'!$B$1:$H$130,4,0)))))</f>
        <v>H</v>
      </c>
      <c r="F239" s="566">
        <v>0.31929999999999997</v>
      </c>
      <c r="G239" s="550">
        <f>IF(A239="SERVIÇO",VLOOKUP(B239,SERVIÇOS!$A$6:$D$7697,4,0),IF(A239="INSUMO",VLOOKUP(B239,INSUMOS!$A$6:$D$4845,4,0),IF(A239="COTAÇÃO",VLOOKUP(B239,'014-22-cotação'!$A$9:$I$138,3,0),IF(A239="AUX",VLOOKUP('014-22-CCU''s'!B239,'014-22-CCU''s AUX'!$B$1:$H$130,7,0)))))</f>
        <v>23.4</v>
      </c>
      <c r="H239" s="561">
        <f t="shared" si="23"/>
        <v>7.47</v>
      </c>
      <c r="J239" s="83"/>
      <c r="K239" s="83"/>
      <c r="L239" s="83"/>
      <c r="M239" s="83"/>
      <c r="S239" s="331"/>
      <c r="T239" s="342"/>
    </row>
    <row r="240" spans="1:68" s="213" customFormat="1" ht="12.75" x14ac:dyDescent="0.25">
      <c r="A240" s="199"/>
      <c r="B240" s="207" t="s">
        <v>109</v>
      </c>
      <c r="C240" s="382" t="s">
        <v>4294</v>
      </c>
      <c r="D240" s="383"/>
      <c r="E240" s="383"/>
      <c r="F240" s="383"/>
      <c r="G240" s="383"/>
      <c r="H240" s="384"/>
      <c r="J240" s="330"/>
      <c r="S240" s="331"/>
      <c r="T240" s="342"/>
    </row>
    <row r="241" spans="1:68" s="347" customFormat="1" ht="12.75" x14ac:dyDescent="0.25">
      <c r="A241" s="264"/>
      <c r="B241" s="208"/>
      <c r="C241" s="175"/>
      <c r="D241" s="176"/>
      <c r="E241" s="176"/>
      <c r="F241" s="176"/>
      <c r="G241" s="176"/>
      <c r="H241" s="176"/>
      <c r="I241" s="213"/>
      <c r="J241" s="330" t="str">
        <f>UPPER(C190)</f>
        <v>PISO EM CONCRETO, MOLDADO “IN LOCO”, FCK=20 MPA, COM PREPARO MECÂNICO, 8 (OITO) CM DE ESPESSURA, INCLUSO SELANTE ELÁSTICO À BASE DE POLIURETANO</v>
      </c>
      <c r="K241" s="213"/>
      <c r="L241" s="213"/>
      <c r="M241" s="213"/>
      <c r="N241" s="213"/>
      <c r="O241" s="213"/>
      <c r="P241" s="213"/>
      <c r="Q241" s="213"/>
      <c r="R241" s="213"/>
      <c r="S241" s="331"/>
      <c r="T241" s="342"/>
      <c r="U241" s="213"/>
      <c r="V241" s="213"/>
      <c r="W241" s="213"/>
      <c r="X241" s="213"/>
      <c r="Y241" s="213"/>
      <c r="Z241" s="213"/>
      <c r="AA241" s="213"/>
      <c r="AB241" s="213"/>
      <c r="AC241" s="213"/>
      <c r="AD241" s="213"/>
      <c r="AE241" s="213"/>
      <c r="AF241" s="213"/>
      <c r="AG241" s="213"/>
      <c r="AH241" s="213"/>
      <c r="AI241" s="213"/>
      <c r="AJ241" s="213"/>
      <c r="AK241" s="213"/>
      <c r="AL241" s="213"/>
      <c r="AM241" s="213"/>
      <c r="AN241" s="213"/>
      <c r="AO241" s="213"/>
      <c r="AP241" s="213"/>
      <c r="AQ241" s="213"/>
      <c r="AR241" s="213"/>
      <c r="AS241" s="213"/>
      <c r="AT241" s="213"/>
      <c r="AU241" s="213"/>
      <c r="AV241" s="213"/>
      <c r="AW241" s="213"/>
      <c r="AX241" s="213"/>
      <c r="AY241" s="213"/>
      <c r="AZ241" s="213"/>
      <c r="BA241" s="213"/>
      <c r="BB241" s="213"/>
      <c r="BC241" s="213"/>
      <c r="BD241" s="213"/>
      <c r="BE241" s="213"/>
      <c r="BF241" s="213"/>
      <c r="BG241" s="213"/>
      <c r="BH241" s="213"/>
      <c r="BI241" s="213"/>
      <c r="BJ241" s="213"/>
      <c r="BK241" s="213"/>
      <c r="BL241" s="213"/>
      <c r="BM241" s="213"/>
      <c r="BN241" s="213"/>
      <c r="BO241" s="213"/>
      <c r="BP241" s="213"/>
    </row>
    <row r="242" spans="1:68" s="399" customFormat="1" ht="63.75" x14ac:dyDescent="0.25">
      <c r="A242" s="398" t="s">
        <v>1120</v>
      </c>
      <c r="B242" s="263" t="s">
        <v>3468</v>
      </c>
      <c r="C242" s="177" t="s">
        <v>4477</v>
      </c>
      <c r="D242" s="178" t="s">
        <v>101</v>
      </c>
      <c r="E242" s="178" t="s">
        <v>1106</v>
      </c>
      <c r="F242" s="179"/>
      <c r="G242" s="180"/>
      <c r="H242" s="181">
        <f>ROUND(SUM(H243:H250),2)</f>
        <v>146.37</v>
      </c>
      <c r="J242" s="407"/>
      <c r="S242" s="402"/>
      <c r="T242" s="400"/>
    </row>
    <row r="243" spans="1:68" s="399" customFormat="1" ht="25.5" x14ac:dyDescent="0.25">
      <c r="A243" s="398" t="s">
        <v>1122</v>
      </c>
      <c r="B243" s="207">
        <v>3777</v>
      </c>
      <c r="C243" s="548" t="str">
        <f>IF(A243="SERVIÇO",VLOOKUP(B243,SERVIÇOS!$A$6:$D$7697,2,0),IF(A243="INSUMO",VLOOKUP(B243,INSUMOS!$A$6:$D$4845,2,0),IF(A243="COTAÇÃO",VLOOKUP(B243,'014-22-cotação'!$A$9:$I$138,2,0),IF(A243="AUX",VLOOKUP('014-22-CCU''s'!B243,'014-22-CCU''s AUX'!$B$1:$H$130,2,0)))))</f>
        <v xml:space="preserve">LONA PLASTICA PESADA PRETA, E = 150 MICRA                                                                                                                                                                                                                                                                                                                                                                                                                                                                 </v>
      </c>
      <c r="D243" s="549" t="str">
        <f>IF(A243="SERVIÇO",VLOOKUP(B243,SERVIÇOS!$A$6:$E$7697,5,0),IF(A243="INSUMO",VLOOKUP(B243,INSUMOS!$A$6:$E$4845,5,0),IF(A243="COTAÇÃO",VLOOKUP(B243,'014-22-cotação'!$A$9:$J$138,10,0),IF(A243="AUX",VLOOKUP('014-22-CCU''s'!B243,'014-22-CCU''s AUX'!$B$1:$H$130,3,0)))))</f>
        <v>MAT.</v>
      </c>
      <c r="E243" s="549" t="str">
        <f>IF(A243="SERVIÇO",VLOOKUP(B243,SERVIÇOS!$A$6:$D$7697,3,0),IF(A243="INSUMO",VLOOKUP(B243,INSUMOS!$A$6:$D$4845,3,0),IF(A243="COTAÇÃO",VLOOKUP(B243,'014-22-cotação'!$A$9:$I$138,4,0),IF(A243="AUX",VLOOKUP('014-22-CCU''s'!B243,'014-22-CCU''s AUX'!$B$1:$H$130,4,0)))))</f>
        <v xml:space="preserve">M2    </v>
      </c>
      <c r="F243" s="566">
        <v>1.1279999999999999</v>
      </c>
      <c r="G243" s="550">
        <f>IF(A243="SERVIÇO",VLOOKUP(B243,SERVIÇOS!$A$6:$D$7697,4,0),IF(A243="INSUMO",VLOOKUP(B243,INSUMOS!$A$6:$D$4845,4,0),IF(A243="COTAÇÃO",VLOOKUP(B243,'014-22-cotação'!$A$9:$I$138,3,0),IF(A243="AUX",VLOOKUP('014-22-CCU''s'!B243,'014-22-CCU''s AUX'!$B$1:$H$130,7,0)))))</f>
        <v>1.49</v>
      </c>
      <c r="H243" s="561">
        <f>TRUNC((F243*G243),2)</f>
        <v>1.68</v>
      </c>
      <c r="J243" s="407"/>
      <c r="S243" s="402"/>
      <c r="T243" s="400"/>
    </row>
    <row r="244" spans="1:68" s="399" customFormat="1" ht="51" x14ac:dyDescent="0.25">
      <c r="A244" s="398" t="s">
        <v>1122</v>
      </c>
      <c r="B244" s="207">
        <v>4460</v>
      </c>
      <c r="C244" s="548" t="str">
        <f>IF(A244="SERVIÇO",VLOOKUP(B244,SERVIÇOS!$A$6:$D$7697,2,0),IF(A244="INSUMO",VLOOKUP(B244,INSUMOS!$A$6:$D$4845,2,0),IF(A244="COTAÇÃO",VLOOKUP(B244,'014-22-cotação'!$A$9:$I$138,2,0),IF(A244="AUX",VLOOKUP('014-22-CCU''s'!B244,'014-22-CCU''s AUX'!$B$1:$H$130,2,0)))))</f>
        <v xml:space="preserve">SARRAFO NAO APARELHADO *2,5 X 10* CM, EM MACARANDUBA/MASSARANDUBA, ANGELIM OU EQUIVALENTE DA REGIAO - BRUTA                                                                                                                                                                                                                                                                                                                                                                                               </v>
      </c>
      <c r="D244" s="549" t="str">
        <f>IF(A244="SERVIÇO",VLOOKUP(B244,SERVIÇOS!$A$6:$E$7697,5,0),IF(A244="INSUMO",VLOOKUP(B244,INSUMOS!$A$6:$E$4845,5,0),IF(A244="COTAÇÃO",VLOOKUP(B244,'014-22-cotação'!$A$9:$J$138,10,0),IF(A244="AUX",VLOOKUP('014-22-CCU''s'!B244,'014-22-CCU''s AUX'!$B$1:$H$130,3,0)))))</f>
        <v>MAT.</v>
      </c>
      <c r="E244" s="549" t="str">
        <f>IF(A244="SERVIÇO",VLOOKUP(B244,SERVIÇOS!$A$6:$D$7697,3,0),IF(A244="INSUMO",VLOOKUP(B244,INSUMOS!$A$6:$D$4845,3,0),IF(A244="COTAÇÃO",VLOOKUP(B244,'014-22-cotação'!$A$9:$I$138,4,0),IF(A244="AUX",VLOOKUP('014-22-CCU''s'!B244,'014-22-CCU''s AUX'!$B$1:$H$130,4,0)))))</f>
        <v xml:space="preserve">M     </v>
      </c>
      <c r="F244" s="566">
        <v>0.25</v>
      </c>
      <c r="G244" s="550">
        <f>IF(A244="SERVIÇO",VLOOKUP(B244,SERVIÇOS!$A$6:$D$7697,4,0),IF(A244="INSUMO",VLOOKUP(B244,INSUMOS!$A$6:$D$4845,4,0),IF(A244="COTAÇÃO",VLOOKUP(B244,'014-22-cotação'!$A$9:$I$138,3,0),IF(A244="AUX",VLOOKUP('014-22-CCU''s'!B244,'014-22-CCU''s AUX'!$B$1:$H$130,7,0)))))</f>
        <v>10.19</v>
      </c>
      <c r="H244" s="561">
        <f t="shared" ref="H244" si="24">TRUNC((F244*G244),2)</f>
        <v>2.54</v>
      </c>
      <c r="J244" s="407"/>
      <c r="S244" s="402"/>
      <c r="T244" s="400"/>
    </row>
    <row r="245" spans="1:68" s="399" customFormat="1" ht="25.5" x14ac:dyDescent="0.25">
      <c r="A245" s="398" t="s">
        <v>1122</v>
      </c>
      <c r="B245" s="207">
        <v>4517</v>
      </c>
      <c r="C245" s="548" t="str">
        <f>IF(A245="SERVIÇO",VLOOKUP(B245,SERVIÇOS!$A$6:$D$7697,2,0),IF(A245="INSUMO",VLOOKUP(B245,INSUMOS!$A$6:$D$4845,2,0),IF(A245="COTAÇÃO",VLOOKUP(B245,'014-22-cotação'!$A$9:$I$138,2,0),IF(A245="AUX",VLOOKUP('014-22-CCU''s'!B245,'014-22-CCU''s AUX'!$B$1:$H$130,2,0)))))</f>
        <v xml:space="preserve">SARRAFO *2,5 X 7,5* CM EM PINUS, MISTA OU EQUIVALENTE DA REGIAO - BRUTA                                                                                                                                                                                                                                                                                                                                                                                                                                   </v>
      </c>
      <c r="D245" s="549" t="str">
        <f>IF(A245="SERVIÇO",VLOOKUP(B245,SERVIÇOS!$A$6:$E$7697,5,0),IF(A245="INSUMO",VLOOKUP(B245,INSUMOS!$A$6:$E$4845,5,0),IF(A245="COTAÇÃO",VLOOKUP(B245,'014-22-cotação'!$A$9:$J$138,10,0),IF(A245="AUX",VLOOKUP('014-22-CCU''s'!B245,'014-22-CCU''s AUX'!$B$1:$H$130,3,0)))))</f>
        <v>MAT.</v>
      </c>
      <c r="E245" s="549" t="str">
        <f>IF(A245="SERVIÇO",VLOOKUP(B245,SERVIÇOS!$A$6:$D$7697,3,0),IF(A245="INSUMO",VLOOKUP(B245,INSUMOS!$A$6:$D$4845,3,0),IF(A245="COTAÇÃO",VLOOKUP(B245,'014-22-cotação'!$A$9:$I$138,4,0),IF(A245="AUX",VLOOKUP('014-22-CCU''s'!B245,'014-22-CCU''s AUX'!$B$1:$H$130,4,0)))))</f>
        <v xml:space="preserve">M     </v>
      </c>
      <c r="F245" s="566">
        <v>0.2</v>
      </c>
      <c r="G245" s="550">
        <f>IF(A245="SERVIÇO",VLOOKUP(B245,SERVIÇOS!$A$6:$D$7697,4,0),IF(A245="INSUMO",VLOOKUP(B245,INSUMOS!$A$6:$D$4845,4,0),IF(A245="COTAÇÃO",VLOOKUP(B245,'014-22-cotação'!$A$9:$I$138,3,0),IF(A245="AUX",VLOOKUP('014-22-CCU''s'!B245,'014-22-CCU''s AUX'!$B$1:$H$130,7,0)))))</f>
        <v>2.66</v>
      </c>
      <c r="H245" s="561">
        <f>TRUNC((F245*G245),2)</f>
        <v>0.53</v>
      </c>
      <c r="J245" s="407"/>
      <c r="S245" s="402"/>
      <c r="T245" s="400"/>
    </row>
    <row r="246" spans="1:68" s="399" customFormat="1" ht="51" x14ac:dyDescent="0.25">
      <c r="A246" s="398" t="s">
        <v>1122</v>
      </c>
      <c r="B246" s="207">
        <v>7156</v>
      </c>
      <c r="C246" s="548" t="str">
        <f>IF(A246="SERVIÇO",VLOOKUP(B246,SERVIÇOS!$A$6:$D$7697,2,0),IF(A246="INSUMO",VLOOKUP(B246,INSUMOS!$A$6:$D$4845,2,0),IF(A246="COTAÇÃO",VLOOKUP(B246,'014-22-cotação'!$A$9:$I$138,2,0),IF(A246="AUX",VLOOKUP('014-22-CCU''s'!B246,'014-22-CCU''s AUX'!$B$1:$H$130,2,0)))))</f>
        <v xml:space="preserve">TELA DE ACO SOLDADA NERVURADA, CA-60, Q-196, (3,11 KG/M2), DIAMETRO DO FIO = 5,0 MM, LARGURA = 2,45 M, ESPACAMENTO DA MALHA = 10 X 10 CM                                                                                                                                                                                                                                                                                                                                                                  </v>
      </c>
      <c r="D246" s="549" t="str">
        <f>IF(A246="SERVIÇO",VLOOKUP(B246,SERVIÇOS!$A$6:$E$7697,5,0),IF(A246="INSUMO",VLOOKUP(B246,INSUMOS!$A$6:$E$4845,5,0),IF(A246="COTAÇÃO",VLOOKUP(B246,'014-22-cotação'!$A$9:$J$138,10,0),IF(A246="AUX",VLOOKUP('014-22-CCU''s'!B246,'014-22-CCU''s AUX'!$B$1:$H$130,3,0)))))</f>
        <v>MAT.</v>
      </c>
      <c r="E246" s="549" t="str">
        <f>IF(A246="SERVIÇO",VLOOKUP(B246,SERVIÇOS!$A$6:$D$7697,3,0),IF(A246="INSUMO",VLOOKUP(B246,INSUMOS!$A$6:$D$4845,3,0),IF(A246="COTAÇÃO",VLOOKUP(B246,'014-22-cotação'!$A$9:$I$138,4,0),IF(A246="AUX",VLOOKUP('014-22-CCU''s'!B246,'014-22-CCU''s AUX'!$B$1:$H$130,4,0)))))</f>
        <v xml:space="preserve">M2    </v>
      </c>
      <c r="F246" s="566">
        <v>1.1224000000000001</v>
      </c>
      <c r="G246" s="550">
        <f>IF(A246="SERVIÇO",VLOOKUP(B246,SERVIÇOS!$A$6:$D$7697,4,0),IF(A246="INSUMO",VLOOKUP(B246,INSUMOS!$A$6:$D$4845,4,0),IF(A246="COTAÇÃO",VLOOKUP(B246,'014-22-cotação'!$A$9:$I$138,3,0),IF(A246="AUX",VLOOKUP('014-22-CCU''s'!B246,'014-22-CCU''s AUX'!$B$1:$H$130,7,0)))))</f>
        <v>23.72</v>
      </c>
      <c r="H246" s="561">
        <f>TRUNC((F246*G246),2)</f>
        <v>26.62</v>
      </c>
      <c r="J246" s="407"/>
      <c r="S246" s="402"/>
      <c r="T246" s="400"/>
    </row>
    <row r="247" spans="1:68" s="213" customFormat="1" ht="51" x14ac:dyDescent="0.25">
      <c r="A247" s="199" t="s">
        <v>3416</v>
      </c>
      <c r="B247" s="207" t="s">
        <v>3448</v>
      </c>
      <c r="C247" s="548" t="str">
        <f>IF(A247="SERVIÇO",VLOOKUP(B247,SERVIÇOS!$A$6:$D$7697,2,0),IF(A247="INSUMO",VLOOKUP(B247,INSUMOS!$A$6:$D$4845,2,0),IF(A247="COTAÇÃO",VLOOKUP(B247,'014-22-cotação'!$A$9:$I$138,2,0),IF(A247="AUX",VLOOKUP('014-22-CCU''s'!B247,'014-22-CCU''s AUX'!$B$1:$H$130,2,0)))))</f>
        <v>CONCRETO PIGMENTADO NA COR AMARELO FCK = 20MPA, TRAÇO 1:2,7:3 (EM MASSA SECA DE CIMENTO/ AREIA MÉDIA/ BRITA 1) - PREPARO MECÂNICO COM BETONEIRA 600 L</v>
      </c>
      <c r="D247" s="549" t="str">
        <f>IF(A247="SERVIÇO",VLOOKUP(B247,SERVIÇOS!$A$6:$E$7697,5,0),IF(A247="INSUMO",VLOOKUP(B247,INSUMOS!$A$6:$E$4845,5,0),IF(A247="COTAÇÃO",VLOOKUP(B247,'014-22-cotação'!$A$9:$J$138,10,0),IF(A247="AUX",VLOOKUP('014-22-CCU''s'!B247,'014-22-CCU''s AUX'!$B$1:$H$130,3,0)))))</f>
        <v xml:space="preserve">SER.CG </v>
      </c>
      <c r="E247" s="549" t="str">
        <f>IF(A247="SERVIÇO",VLOOKUP(B247,SERVIÇOS!$A$6:$D$7697,3,0),IF(A247="INSUMO",VLOOKUP(B247,INSUMOS!$A$6:$D$4845,3,0),IF(A247="COTAÇÃO",VLOOKUP(B247,'014-22-cotação'!$A$9:$I$138,4,0),IF(A247="AUX",VLOOKUP('014-22-CCU''s'!B247,'014-22-CCU''s AUX'!$B$1:$H$130,4,0)))))</f>
        <v>M3</v>
      </c>
      <c r="F247" s="566">
        <v>9.7000000000000003E-2</v>
      </c>
      <c r="G247" s="550">
        <f>IF(A247="SERVIÇO",VLOOKUP(B247,SERVIÇOS!$A$6:$D$7697,4,0),IF(A247="INSUMO",VLOOKUP(B247,INSUMOS!$A$6:$D$4845,4,0),IF(A247="COTAÇÃO",VLOOKUP(B247,'014-22-cotação'!$A$9:$I$138,3,0),IF(A247="AUX",VLOOKUP('014-22-CCU''s'!B247,'014-22-CCU''s AUX'!$B$1:$H$130,7,0)))))</f>
        <v>1007.03</v>
      </c>
      <c r="H247" s="561">
        <f t="shared" ref="H247:H250" si="25">TRUNC((F247*G247),2)</f>
        <v>97.68</v>
      </c>
      <c r="J247" s="330"/>
      <c r="S247" s="331"/>
      <c r="T247" s="342"/>
    </row>
    <row r="248" spans="1:68" s="213" customFormat="1" ht="25.5" x14ac:dyDescent="0.25">
      <c r="A248" s="199" t="s">
        <v>1120</v>
      </c>
      <c r="B248" s="207">
        <v>88262</v>
      </c>
      <c r="C248" s="548" t="str">
        <f>IF(A248="SERVIÇO",VLOOKUP(B248,SERVIÇOS!$A$6:$D$7697,2,0),IF(A248="INSUMO",VLOOKUP(B248,INSUMOS!$A$6:$D$4845,2,0),IF(A248="COTAÇÃO",VLOOKUP(B248,'014-22-cotação'!$A$9:$I$138,2,0),IF(A248="AUX",VLOOKUP('014-22-CCU''s'!B248,'014-22-CCU''s AUX'!$B$1:$H$130,2,0)))))</f>
        <v>CARPINTEIRO DE FORMAS COM ENCARGOS COMPLEMENTARES</v>
      </c>
      <c r="D248" s="549" t="str">
        <f>IF(A248="SERVIÇO",VLOOKUP(B248,SERVIÇOS!$A$6:$E$7697,5,0),IF(A248="INSUMO",VLOOKUP(B248,INSUMOS!$A$6:$E$4845,5,0),IF(A248="COTAÇÃO",VLOOKUP(B248,'014-22-cotação'!$A$9:$J$138,10,0),IF(A248="AUX",VLOOKUP('014-22-CCU''s'!B248,'014-22-CCU''s AUX'!$B$1:$H$130,3,0)))))</f>
        <v>M.O</v>
      </c>
      <c r="E248" s="549" t="str">
        <f>IF(A248="SERVIÇO",VLOOKUP(B248,SERVIÇOS!$A$6:$D$7697,3,0),IF(A248="INSUMO",VLOOKUP(B248,INSUMOS!$A$6:$D$4845,3,0),IF(A248="COTAÇÃO",VLOOKUP(B248,'014-22-cotação'!$A$9:$I$138,4,0),IF(A248="AUX",VLOOKUP('014-22-CCU''s'!B248,'014-22-CCU''s AUX'!$B$1:$H$130,4,0)))))</f>
        <v>H</v>
      </c>
      <c r="F248" s="566">
        <v>0.18049999999999999</v>
      </c>
      <c r="G248" s="550">
        <f>IF(A248="SERVIÇO",VLOOKUP(B248,SERVIÇOS!$A$6:$D$7697,4,0),IF(A248="INSUMO",VLOOKUP(B248,INSUMOS!$A$6:$D$4845,4,0),IF(A248="COTAÇÃO",VLOOKUP(B248,'014-22-cotação'!$A$9:$I$138,3,0),IF(A248="AUX",VLOOKUP('014-22-CCU''s'!B248,'014-22-CCU''s AUX'!$B$1:$H$130,7,0)))))</f>
        <v>30.71</v>
      </c>
      <c r="H248" s="561">
        <f t="shared" si="25"/>
        <v>5.54</v>
      </c>
      <c r="J248" s="83"/>
      <c r="S248" s="331"/>
      <c r="T248" s="342"/>
    </row>
    <row r="249" spans="1:68" s="213" customFormat="1" ht="25.5" x14ac:dyDescent="0.25">
      <c r="A249" s="199" t="s">
        <v>1120</v>
      </c>
      <c r="B249" s="207">
        <v>88309</v>
      </c>
      <c r="C249" s="548" t="str">
        <f>IF(A249="SERVIÇO",VLOOKUP(B249,SERVIÇOS!$A$6:$D$7697,2,0),IF(A249="INSUMO",VLOOKUP(B249,INSUMOS!$A$6:$D$4845,2,0),IF(A249="COTAÇÃO",VLOOKUP(B249,'014-22-cotação'!$A$9:$I$138,2,0),IF(A249="AUX",VLOOKUP('014-22-CCU''s'!B249,'014-22-CCU''s AUX'!$B$1:$H$130,2,0)))))</f>
        <v>PEDREIRO COM ENCARGOS COMPLEMENTARES</v>
      </c>
      <c r="D249" s="549" t="str">
        <f>IF(A249="SERVIÇO",VLOOKUP(B249,SERVIÇOS!$A$6:$E$7697,5,0),IF(A249="INSUMO",VLOOKUP(B249,INSUMOS!$A$6:$E$4845,5,0),IF(A249="COTAÇÃO",VLOOKUP(B249,'014-22-cotação'!$A$9:$J$138,10,0),IF(A249="AUX",VLOOKUP('014-22-CCU''s'!B249,'014-22-CCU''s AUX'!$B$1:$H$130,3,0)))))</f>
        <v>M.O</v>
      </c>
      <c r="E249" s="549" t="str">
        <f>IF(A249="SERVIÇO",VLOOKUP(B249,SERVIÇOS!$A$6:$D$7697,3,0),IF(A249="INSUMO",VLOOKUP(B249,INSUMOS!$A$6:$D$4845,3,0),IF(A249="COTAÇÃO",VLOOKUP(B249,'014-22-cotação'!$A$9:$I$138,4,0),IF(A249="AUX",VLOOKUP('014-22-CCU''s'!B249,'014-22-CCU''s AUX'!$B$1:$H$130,4,0)))))</f>
        <v>H</v>
      </c>
      <c r="F249" s="566">
        <v>0.13880000000000001</v>
      </c>
      <c r="G249" s="550">
        <f>IF(A249="SERVIÇO",VLOOKUP(B249,SERVIÇOS!$A$6:$D$7697,4,0),IF(A249="INSUMO",VLOOKUP(B249,INSUMOS!$A$6:$D$4845,4,0),IF(A249="COTAÇÃO",VLOOKUP(B249,'014-22-cotação'!$A$9:$I$138,3,0),IF(A249="AUX",VLOOKUP('014-22-CCU''s'!B249,'014-22-CCU''s AUX'!$B$1:$H$130,7,0)))))</f>
        <v>31.1</v>
      </c>
      <c r="H249" s="561">
        <f t="shared" si="25"/>
        <v>4.3099999999999996</v>
      </c>
      <c r="J249" s="83"/>
      <c r="S249" s="331"/>
      <c r="T249" s="342"/>
    </row>
    <row r="250" spans="1:68" s="399" customFormat="1" ht="25.5" x14ac:dyDescent="0.25">
      <c r="A250" s="398" t="s">
        <v>1120</v>
      </c>
      <c r="B250" s="207">
        <v>88316</v>
      </c>
      <c r="C250" s="548" t="str">
        <f>IF(A250="SERVIÇO",VLOOKUP(B250,SERVIÇOS!$A$6:$D$7697,2,0),IF(A250="INSUMO",VLOOKUP(B250,INSUMOS!$A$6:$D$4845,2,0),IF(A250="COTAÇÃO",VLOOKUP(B250,'014-22-cotação'!$A$9:$I$138,2,0),IF(A250="AUX",VLOOKUP('014-22-CCU''s'!B250,'014-22-CCU''s AUX'!$B$1:$H$130,2,0)))))</f>
        <v>SERVENTE COM ENCARGOS COMPLEMENTARES</v>
      </c>
      <c r="D250" s="549" t="str">
        <f>IF(A250="SERVIÇO",VLOOKUP(B250,SERVIÇOS!$A$6:$E$7697,5,0),IF(A250="INSUMO",VLOOKUP(B250,INSUMOS!$A$6:$E$4845,5,0),IF(A250="COTAÇÃO",VLOOKUP(B250,'014-22-cotação'!$A$9:$J$138,10,0),IF(A250="AUX",VLOOKUP('014-22-CCU''s'!B250,'014-22-CCU''s AUX'!$B$1:$H$130,3,0)))))</f>
        <v>M.O</v>
      </c>
      <c r="E250" s="549" t="str">
        <f>IF(A250="SERVIÇO",VLOOKUP(B250,SERVIÇOS!$A$6:$D$7697,3,0),IF(A250="INSUMO",VLOOKUP(B250,INSUMOS!$A$6:$D$4845,3,0),IF(A250="COTAÇÃO",VLOOKUP(B250,'014-22-cotação'!$A$9:$I$138,4,0),IF(A250="AUX",VLOOKUP('014-22-CCU''s'!B250,'014-22-CCU''s AUX'!$B$1:$H$130,4,0)))))</f>
        <v>H</v>
      </c>
      <c r="F250" s="566">
        <v>0.31929999999999997</v>
      </c>
      <c r="G250" s="550">
        <f>IF(A250="SERVIÇO",VLOOKUP(B250,SERVIÇOS!$A$6:$D$7697,4,0),IF(A250="INSUMO",VLOOKUP(B250,INSUMOS!$A$6:$D$4845,4,0),IF(A250="COTAÇÃO",VLOOKUP(B250,'014-22-cotação'!$A$9:$I$138,3,0),IF(A250="AUX",VLOOKUP('014-22-CCU''s'!B250,'014-22-CCU''s AUX'!$B$1:$H$130,7,0)))))</f>
        <v>23.4</v>
      </c>
      <c r="H250" s="561">
        <f t="shared" si="25"/>
        <v>7.47</v>
      </c>
      <c r="J250" s="401"/>
      <c r="S250" s="402"/>
      <c r="T250" s="400"/>
    </row>
    <row r="251" spans="1:68" s="399" customFormat="1" ht="12.75" x14ac:dyDescent="0.25">
      <c r="A251" s="398"/>
      <c r="B251" s="207" t="s">
        <v>109</v>
      </c>
      <c r="C251" s="382" t="s">
        <v>4294</v>
      </c>
      <c r="D251" s="383"/>
      <c r="E251" s="383"/>
      <c r="F251" s="383"/>
      <c r="G251" s="383"/>
      <c r="H251" s="384"/>
      <c r="J251" s="408"/>
      <c r="S251" s="402"/>
      <c r="T251" s="400"/>
    </row>
    <row r="252" spans="1:68" s="399" customFormat="1" ht="12.75" x14ac:dyDescent="0.25">
      <c r="A252" s="398"/>
      <c r="B252" s="208"/>
      <c r="C252" s="175"/>
      <c r="D252" s="176"/>
      <c r="E252" s="176"/>
      <c r="F252" s="176"/>
      <c r="G252" s="176"/>
      <c r="H252" s="176"/>
      <c r="J252" s="401"/>
      <c r="S252" s="402"/>
      <c r="T252" s="400"/>
    </row>
    <row r="253" spans="1:68" s="399" customFormat="1" ht="63.75" x14ac:dyDescent="0.25">
      <c r="A253" s="398" t="s">
        <v>1120</v>
      </c>
      <c r="B253" s="263" t="s">
        <v>3469</v>
      </c>
      <c r="C253" s="177" t="s">
        <v>4480</v>
      </c>
      <c r="D253" s="178" t="s">
        <v>101</v>
      </c>
      <c r="E253" s="178" t="s">
        <v>1106</v>
      </c>
      <c r="F253" s="179"/>
      <c r="G253" s="180"/>
      <c r="H253" s="181">
        <f>ROUND(SUM(H254:H261),2)</f>
        <v>158.72999999999999</v>
      </c>
      <c r="J253" s="408"/>
      <c r="S253" s="402"/>
      <c r="T253" s="400"/>
    </row>
    <row r="254" spans="1:68" s="399" customFormat="1" ht="25.5" x14ac:dyDescent="0.25">
      <c r="A254" s="398" t="s">
        <v>1122</v>
      </c>
      <c r="B254" s="207">
        <v>3777</v>
      </c>
      <c r="C254" s="548" t="str">
        <f>IF(A254="SERVIÇO",VLOOKUP(B254,SERVIÇOS!$A$6:$D$7697,2,0),IF(A254="INSUMO",VLOOKUP(B254,INSUMOS!$A$6:$D$4845,2,0),IF(A254="COTAÇÃO",VLOOKUP(B254,'014-22-cotação'!$A$9:$I$138,2,0),IF(A254="AUX",VLOOKUP('014-22-CCU''s'!B254,'014-22-CCU''s AUX'!$B$1:$H$130,2,0)))))</f>
        <v xml:space="preserve">LONA PLASTICA PESADA PRETA, E = 150 MICRA                                                                                                                                                                                                                                                                                                                                                                                                                                                                 </v>
      </c>
      <c r="D254" s="549" t="str">
        <f>IF(A254="SERVIÇO",VLOOKUP(B254,SERVIÇOS!$A$6:$E$7697,5,0),IF(A254="INSUMO",VLOOKUP(B254,INSUMOS!$A$6:$E$4845,5,0),IF(A254="COTAÇÃO",VLOOKUP(B254,'014-22-cotação'!$A$9:$J$138,10,0),IF(A254="AUX",VLOOKUP('014-22-CCU''s'!B254,'014-22-CCU''s AUX'!$B$1:$H$130,3,0)))))</f>
        <v>MAT.</v>
      </c>
      <c r="E254" s="549" t="str">
        <f>IF(A254="SERVIÇO",VLOOKUP(B254,SERVIÇOS!$A$6:$D$7697,3,0),IF(A254="INSUMO",VLOOKUP(B254,INSUMOS!$A$6:$D$4845,3,0),IF(A254="COTAÇÃO",VLOOKUP(B254,'014-22-cotação'!$A$9:$I$138,4,0),IF(A254="AUX",VLOOKUP('014-22-CCU''s'!B254,'014-22-CCU''s AUX'!$B$1:$H$130,4,0)))))</f>
        <v xml:space="preserve">M2    </v>
      </c>
      <c r="F254" s="566">
        <v>1.1279999999999999</v>
      </c>
      <c r="G254" s="550">
        <f>IF(A254="SERVIÇO",VLOOKUP(B254,SERVIÇOS!$A$6:$D$7697,4,0),IF(A254="INSUMO",VLOOKUP(B254,INSUMOS!$A$6:$D$4845,4,0),IF(A254="COTAÇÃO",VLOOKUP(B254,'014-22-cotação'!$A$9:$I$138,3,0),IF(A254="AUX",VLOOKUP('014-22-CCU''s'!B254,'014-22-CCU''s AUX'!$B$1:$H$130,7,0)))))</f>
        <v>1.49</v>
      </c>
      <c r="H254" s="561">
        <f>TRUNC((F254*G254),2)</f>
        <v>1.68</v>
      </c>
      <c r="J254" s="408"/>
      <c r="S254" s="402"/>
      <c r="T254" s="400"/>
    </row>
    <row r="255" spans="1:68" s="399" customFormat="1" ht="51" x14ac:dyDescent="0.25">
      <c r="A255" s="398" t="s">
        <v>1122</v>
      </c>
      <c r="B255" s="207">
        <v>4460</v>
      </c>
      <c r="C255" s="548" t="str">
        <f>IF(A255="SERVIÇO",VLOOKUP(B255,SERVIÇOS!$A$6:$D$7697,2,0),IF(A255="INSUMO",VLOOKUP(B255,INSUMOS!$A$6:$D$4845,2,0),IF(A255="COTAÇÃO",VLOOKUP(B255,'014-22-cotação'!$A$9:$I$138,2,0),IF(A255="AUX",VLOOKUP('014-22-CCU''s'!B255,'014-22-CCU''s AUX'!$B$1:$H$130,2,0)))))</f>
        <v xml:space="preserve">SARRAFO NAO APARELHADO *2,5 X 10* CM, EM MACARANDUBA/MASSARANDUBA, ANGELIM OU EQUIVALENTE DA REGIAO - BRUTA                                                                                                                                                                                                                                                                                                                                                                                               </v>
      </c>
      <c r="D255" s="549" t="str">
        <f>IF(A255="SERVIÇO",VLOOKUP(B255,SERVIÇOS!$A$6:$E$7697,5,0),IF(A255="INSUMO",VLOOKUP(B255,INSUMOS!$A$6:$E$4845,5,0),IF(A255="COTAÇÃO",VLOOKUP(B255,'014-22-cotação'!$A$9:$J$138,10,0),IF(A255="AUX",VLOOKUP('014-22-CCU''s'!B255,'014-22-CCU''s AUX'!$B$1:$H$130,3,0)))))</f>
        <v>MAT.</v>
      </c>
      <c r="E255" s="549" t="str">
        <f>IF(A255="SERVIÇO",VLOOKUP(B255,SERVIÇOS!$A$6:$D$7697,3,0),IF(A255="INSUMO",VLOOKUP(B255,INSUMOS!$A$6:$D$4845,3,0),IF(A255="COTAÇÃO",VLOOKUP(B255,'014-22-cotação'!$A$9:$I$138,4,0),IF(A255="AUX",VLOOKUP('014-22-CCU''s'!B255,'014-22-CCU''s AUX'!$B$1:$H$130,4,0)))))</f>
        <v xml:space="preserve">M     </v>
      </c>
      <c r="F255" s="566">
        <v>0.25</v>
      </c>
      <c r="G255" s="550">
        <f>IF(A255="SERVIÇO",VLOOKUP(B255,SERVIÇOS!$A$6:$D$7697,4,0),IF(A255="INSUMO",VLOOKUP(B255,INSUMOS!$A$6:$D$4845,4,0),IF(A255="COTAÇÃO",VLOOKUP(B255,'014-22-cotação'!$A$9:$I$138,3,0),IF(A255="AUX",VLOOKUP('014-22-CCU''s'!B255,'014-22-CCU''s AUX'!$B$1:$H$130,7,0)))))</f>
        <v>10.19</v>
      </c>
      <c r="H255" s="561">
        <f t="shared" ref="H255" si="26">TRUNC((F255*G255),2)</f>
        <v>2.54</v>
      </c>
      <c r="J255" s="408"/>
      <c r="S255" s="402"/>
      <c r="T255" s="400"/>
    </row>
    <row r="256" spans="1:68" s="399" customFormat="1" ht="25.5" x14ac:dyDescent="0.25">
      <c r="A256" s="398" t="s">
        <v>1122</v>
      </c>
      <c r="B256" s="207">
        <v>4517</v>
      </c>
      <c r="C256" s="548" t="str">
        <f>IF(A256="SERVIÇO",VLOOKUP(B256,SERVIÇOS!$A$6:$D$7697,2,0),IF(A256="INSUMO",VLOOKUP(B256,INSUMOS!$A$6:$D$4845,2,0),IF(A256="COTAÇÃO",VLOOKUP(B256,'014-22-cotação'!$A$9:$I$138,2,0),IF(A256="AUX",VLOOKUP('014-22-CCU''s'!B256,'014-22-CCU''s AUX'!$B$1:$H$130,2,0)))))</f>
        <v xml:space="preserve">SARRAFO *2,5 X 7,5* CM EM PINUS, MISTA OU EQUIVALENTE DA REGIAO - BRUTA                                                                                                                                                                                                                                                                                                                                                                                                                                   </v>
      </c>
      <c r="D256" s="549" t="str">
        <f>IF(A256="SERVIÇO",VLOOKUP(B256,SERVIÇOS!$A$6:$E$7697,5,0),IF(A256="INSUMO",VLOOKUP(B256,INSUMOS!$A$6:$E$4845,5,0),IF(A256="COTAÇÃO",VLOOKUP(B256,'014-22-cotação'!$A$9:$J$138,10,0),IF(A256="AUX",VLOOKUP('014-22-CCU''s'!B256,'014-22-CCU''s AUX'!$B$1:$H$130,3,0)))))</f>
        <v>MAT.</v>
      </c>
      <c r="E256" s="549" t="str">
        <f>IF(A256="SERVIÇO",VLOOKUP(B256,SERVIÇOS!$A$6:$D$7697,3,0),IF(A256="INSUMO",VLOOKUP(B256,INSUMOS!$A$6:$D$4845,3,0),IF(A256="COTAÇÃO",VLOOKUP(B256,'014-22-cotação'!$A$9:$I$138,4,0),IF(A256="AUX",VLOOKUP('014-22-CCU''s'!B256,'014-22-CCU''s AUX'!$B$1:$H$130,4,0)))))</f>
        <v xml:space="preserve">M     </v>
      </c>
      <c r="F256" s="566">
        <v>0.2</v>
      </c>
      <c r="G256" s="550">
        <f>IF(A256="SERVIÇO",VLOOKUP(B256,SERVIÇOS!$A$6:$D$7697,4,0),IF(A256="INSUMO",VLOOKUP(B256,INSUMOS!$A$6:$D$4845,4,0),IF(A256="COTAÇÃO",VLOOKUP(B256,'014-22-cotação'!$A$9:$I$138,3,0),IF(A256="AUX",VLOOKUP('014-22-CCU''s'!B256,'014-22-CCU''s AUX'!$B$1:$H$130,7,0)))))</f>
        <v>2.66</v>
      </c>
      <c r="H256" s="561">
        <f>TRUNC((F256*G256),2)</f>
        <v>0.53</v>
      </c>
      <c r="J256" s="408"/>
      <c r="S256" s="402"/>
      <c r="T256" s="400"/>
    </row>
    <row r="257" spans="1:20" s="399" customFormat="1" ht="51" x14ac:dyDescent="0.25">
      <c r="A257" s="398" t="s">
        <v>1122</v>
      </c>
      <c r="B257" s="207">
        <v>7156</v>
      </c>
      <c r="C257" s="548" t="str">
        <f>IF(A257="SERVIÇO",VLOOKUP(B257,SERVIÇOS!$A$6:$D$7697,2,0),IF(A257="INSUMO",VLOOKUP(B257,INSUMOS!$A$6:$D$4845,2,0),IF(A257="COTAÇÃO",VLOOKUP(B257,'014-22-cotação'!$A$9:$I$138,2,0),IF(A257="AUX",VLOOKUP('014-22-CCU''s'!B257,'014-22-CCU''s AUX'!$B$1:$H$130,2,0)))))</f>
        <v xml:space="preserve">TELA DE ACO SOLDADA NERVURADA, CA-60, Q-196, (3,11 KG/M2), DIAMETRO DO FIO = 5,0 MM, LARGURA = 2,45 M, ESPACAMENTO DA MALHA = 10 X 10 CM                                                                                                                                                                                                                                                                                                                                                                  </v>
      </c>
      <c r="D257" s="549" t="str">
        <f>IF(A257="SERVIÇO",VLOOKUP(B257,SERVIÇOS!$A$6:$E$7697,5,0),IF(A257="INSUMO",VLOOKUP(B257,INSUMOS!$A$6:$E$4845,5,0),IF(A257="COTAÇÃO",VLOOKUP(B257,'014-22-cotação'!$A$9:$J$138,10,0),IF(A257="AUX",VLOOKUP('014-22-CCU''s'!B257,'014-22-CCU''s AUX'!$B$1:$H$130,3,0)))))</f>
        <v>MAT.</v>
      </c>
      <c r="E257" s="549" t="str">
        <f>IF(A257="SERVIÇO",VLOOKUP(B257,SERVIÇOS!$A$6:$D$7697,3,0),IF(A257="INSUMO",VLOOKUP(B257,INSUMOS!$A$6:$D$4845,3,0),IF(A257="COTAÇÃO",VLOOKUP(B257,'014-22-cotação'!$A$9:$I$138,4,0),IF(A257="AUX",VLOOKUP('014-22-CCU''s'!B257,'014-22-CCU''s AUX'!$B$1:$H$130,4,0)))))</f>
        <v xml:space="preserve">M2    </v>
      </c>
      <c r="F257" s="566">
        <v>1.1224000000000001</v>
      </c>
      <c r="G257" s="550">
        <f>IF(A257="SERVIÇO",VLOOKUP(B257,SERVIÇOS!$A$6:$D$7697,4,0),IF(A257="INSUMO",VLOOKUP(B257,INSUMOS!$A$6:$D$4845,4,0),IF(A257="COTAÇÃO",VLOOKUP(B257,'014-22-cotação'!$A$9:$I$138,3,0),IF(A257="AUX",VLOOKUP('014-22-CCU''s'!B257,'014-22-CCU''s AUX'!$B$1:$H$130,7,0)))))</f>
        <v>23.72</v>
      </c>
      <c r="H257" s="561">
        <f>TRUNC((F257*G257),2)</f>
        <v>26.62</v>
      </c>
      <c r="J257" s="408"/>
      <c r="S257" s="402"/>
      <c r="T257" s="400"/>
    </row>
    <row r="258" spans="1:20" s="213" customFormat="1" ht="51" x14ac:dyDescent="0.25">
      <c r="A258" s="199" t="s">
        <v>3416</v>
      </c>
      <c r="B258" s="207" t="s">
        <v>3449</v>
      </c>
      <c r="C258" s="548" t="str">
        <f>IF(A258="SERVIÇO",VLOOKUP(B258,SERVIÇOS!$A$6:$D$7697,2,0),IF(A258="INSUMO",VLOOKUP(B258,INSUMOS!$A$6:$D$4845,2,0),IF(A258="COTAÇÃO",VLOOKUP(B258,'014-22-cotação'!$A$9:$I$138,2,0),IF(A258="AUX",VLOOKUP('014-22-CCU''s'!B258,'014-22-CCU''s AUX'!$B$1:$H$130,2,0)))))</f>
        <v>CONCRETO PIGMENTADO NA COR ROSA FCK = 20MPA, TRAÇO 1:2,7:3 (EM MASSA SECA DE CIMENTO/ AREIA MÉDIA/ BRITA 1) - PREPARO MECÂNICO COM BETONEIRA 600 L</v>
      </c>
      <c r="D258" s="549" t="str">
        <f>IF(A258="SERVIÇO",VLOOKUP(B258,SERVIÇOS!$A$6:$E$7697,5,0),IF(A258="INSUMO",VLOOKUP(B258,INSUMOS!$A$6:$E$4845,5,0),IF(A258="COTAÇÃO",VLOOKUP(B258,'014-22-cotação'!$A$9:$J$138,10,0),IF(A258="AUX",VLOOKUP('014-22-CCU''s'!B258,'014-22-CCU''s AUX'!$B$1:$H$130,3,0)))))</f>
        <v xml:space="preserve">SER.CG </v>
      </c>
      <c r="E258" s="549" t="str">
        <f>IF(A258="SERVIÇO",VLOOKUP(B258,SERVIÇOS!$A$6:$D$7697,3,0),IF(A258="INSUMO",VLOOKUP(B258,INSUMOS!$A$6:$D$4845,3,0),IF(A258="COTAÇÃO",VLOOKUP(B258,'014-22-cotação'!$A$9:$I$138,4,0),IF(A258="AUX",VLOOKUP('014-22-CCU''s'!B258,'014-22-CCU''s AUX'!$B$1:$H$130,4,0)))))</f>
        <v>M3</v>
      </c>
      <c r="F258" s="566">
        <v>9.7000000000000003E-2</v>
      </c>
      <c r="G258" s="550">
        <f>IF(A258="SERVIÇO",VLOOKUP(B258,SERVIÇOS!$A$6:$D$7697,4,0),IF(A258="INSUMO",VLOOKUP(B258,INSUMOS!$A$6:$D$4845,4,0),IF(A258="COTAÇÃO",VLOOKUP(B258,'014-22-cotação'!$A$9:$I$138,3,0),IF(A258="AUX",VLOOKUP('014-22-CCU''s'!B258,'014-22-CCU''s AUX'!$B$1:$H$130,7,0)))))</f>
        <v>1134.4899999999998</v>
      </c>
      <c r="H258" s="561">
        <f t="shared" ref="H258:H261" si="27">TRUNC((F258*G258),2)</f>
        <v>110.04</v>
      </c>
      <c r="J258" s="83"/>
      <c r="S258" s="331"/>
      <c r="T258" s="342"/>
    </row>
    <row r="259" spans="1:20" s="213" customFormat="1" ht="25.5" x14ac:dyDescent="0.25">
      <c r="A259" s="199" t="s">
        <v>1120</v>
      </c>
      <c r="B259" s="207">
        <v>88262</v>
      </c>
      <c r="C259" s="548" t="str">
        <f>IF(A259="SERVIÇO",VLOOKUP(B259,SERVIÇOS!$A$6:$D$7697,2,0),IF(A259="INSUMO",VLOOKUP(B259,INSUMOS!$A$6:$D$4845,2,0),IF(A259="COTAÇÃO",VLOOKUP(B259,'014-22-cotação'!$A$9:$I$138,2,0),IF(A259="AUX",VLOOKUP('014-22-CCU''s'!B259,'014-22-CCU''s AUX'!$B$1:$H$130,2,0)))))</f>
        <v>CARPINTEIRO DE FORMAS COM ENCARGOS COMPLEMENTARES</v>
      </c>
      <c r="D259" s="549" t="str">
        <f>IF(A259="SERVIÇO",VLOOKUP(B259,SERVIÇOS!$A$6:$E$7697,5,0),IF(A259="INSUMO",VLOOKUP(B259,INSUMOS!$A$6:$E$4845,5,0),IF(A259="COTAÇÃO",VLOOKUP(B259,'014-22-cotação'!$A$9:$J$138,10,0),IF(A259="AUX",VLOOKUP('014-22-CCU''s'!B259,'014-22-CCU''s AUX'!$B$1:$H$130,3,0)))))</f>
        <v>M.O</v>
      </c>
      <c r="E259" s="549" t="str">
        <f>IF(A259="SERVIÇO",VLOOKUP(B259,SERVIÇOS!$A$6:$D$7697,3,0),IF(A259="INSUMO",VLOOKUP(B259,INSUMOS!$A$6:$D$4845,3,0),IF(A259="COTAÇÃO",VLOOKUP(B259,'014-22-cotação'!$A$9:$I$138,4,0),IF(A259="AUX",VLOOKUP('014-22-CCU''s'!B259,'014-22-CCU''s AUX'!$B$1:$H$130,4,0)))))</f>
        <v>H</v>
      </c>
      <c r="F259" s="566">
        <v>0.18049999999999999</v>
      </c>
      <c r="G259" s="550">
        <f>IF(A259="SERVIÇO",VLOOKUP(B259,SERVIÇOS!$A$6:$D$7697,4,0),IF(A259="INSUMO",VLOOKUP(B259,INSUMOS!$A$6:$D$4845,4,0),IF(A259="COTAÇÃO",VLOOKUP(B259,'014-22-cotação'!$A$9:$I$138,3,0),IF(A259="AUX",VLOOKUP('014-22-CCU''s'!B259,'014-22-CCU''s AUX'!$B$1:$H$130,7,0)))))</f>
        <v>30.71</v>
      </c>
      <c r="H259" s="561">
        <f t="shared" si="27"/>
        <v>5.54</v>
      </c>
      <c r="J259" s="83"/>
      <c r="S259" s="331"/>
      <c r="T259" s="342"/>
    </row>
    <row r="260" spans="1:20" s="213" customFormat="1" ht="25.5" x14ac:dyDescent="0.25">
      <c r="A260" s="199" t="s">
        <v>1120</v>
      </c>
      <c r="B260" s="207">
        <v>88309</v>
      </c>
      <c r="C260" s="548" t="str">
        <f>IF(A260="SERVIÇO",VLOOKUP(B260,SERVIÇOS!$A$6:$D$7697,2,0),IF(A260="INSUMO",VLOOKUP(B260,INSUMOS!$A$6:$D$4845,2,0),IF(A260="COTAÇÃO",VLOOKUP(B260,'014-22-cotação'!$A$9:$I$138,2,0),IF(A260="AUX",VLOOKUP('014-22-CCU''s'!B260,'014-22-CCU''s AUX'!$B$1:$H$130,2,0)))))</f>
        <v>PEDREIRO COM ENCARGOS COMPLEMENTARES</v>
      </c>
      <c r="D260" s="549" t="str">
        <f>IF(A260="SERVIÇO",VLOOKUP(B260,SERVIÇOS!$A$6:$E$7697,5,0),IF(A260="INSUMO",VLOOKUP(B260,INSUMOS!$A$6:$E$4845,5,0),IF(A260="COTAÇÃO",VLOOKUP(B260,'014-22-cotação'!$A$9:$J$138,10,0),IF(A260="AUX",VLOOKUP('014-22-CCU''s'!B260,'014-22-CCU''s AUX'!$B$1:$H$130,3,0)))))</f>
        <v>M.O</v>
      </c>
      <c r="E260" s="549" t="str">
        <f>IF(A260="SERVIÇO",VLOOKUP(B260,SERVIÇOS!$A$6:$D$7697,3,0),IF(A260="INSUMO",VLOOKUP(B260,INSUMOS!$A$6:$D$4845,3,0),IF(A260="COTAÇÃO",VLOOKUP(B260,'014-22-cotação'!$A$9:$I$138,4,0),IF(A260="AUX",VLOOKUP('014-22-CCU''s'!B260,'014-22-CCU''s AUX'!$B$1:$H$130,4,0)))))</f>
        <v>H</v>
      </c>
      <c r="F260" s="566">
        <v>0.13880000000000001</v>
      </c>
      <c r="G260" s="550">
        <f>IF(A260="SERVIÇO",VLOOKUP(B260,SERVIÇOS!$A$6:$D$7697,4,0),IF(A260="INSUMO",VLOOKUP(B260,INSUMOS!$A$6:$D$4845,4,0),IF(A260="COTAÇÃO",VLOOKUP(B260,'014-22-cotação'!$A$9:$I$138,3,0),IF(A260="AUX",VLOOKUP('014-22-CCU''s'!B260,'014-22-CCU''s AUX'!$B$1:$H$130,7,0)))))</f>
        <v>31.1</v>
      </c>
      <c r="H260" s="561">
        <f t="shared" si="27"/>
        <v>4.3099999999999996</v>
      </c>
      <c r="J260" s="83"/>
      <c r="S260" s="331"/>
      <c r="T260" s="342"/>
    </row>
    <row r="261" spans="1:20" s="399" customFormat="1" ht="25.5" x14ac:dyDescent="0.25">
      <c r="A261" s="398" t="s">
        <v>1120</v>
      </c>
      <c r="B261" s="207">
        <v>88316</v>
      </c>
      <c r="C261" s="548" t="str">
        <f>IF(A261="SERVIÇO",VLOOKUP(B261,SERVIÇOS!$A$6:$D$7697,2,0),IF(A261="INSUMO",VLOOKUP(B261,INSUMOS!$A$6:$D$4845,2,0),IF(A261="COTAÇÃO",VLOOKUP(B261,'014-22-cotação'!$A$9:$I$138,2,0),IF(A261="AUX",VLOOKUP('014-22-CCU''s'!B261,'014-22-CCU''s AUX'!$B$1:$H$130,2,0)))))</f>
        <v>SERVENTE COM ENCARGOS COMPLEMENTARES</v>
      </c>
      <c r="D261" s="549" t="str">
        <f>IF(A261="SERVIÇO",VLOOKUP(B261,SERVIÇOS!$A$6:$E$7697,5,0),IF(A261="INSUMO",VLOOKUP(B261,INSUMOS!$A$6:$E$4845,5,0),IF(A261="COTAÇÃO",VLOOKUP(B261,'014-22-cotação'!$A$9:$J$138,10,0),IF(A261="AUX",VLOOKUP('014-22-CCU''s'!B261,'014-22-CCU''s AUX'!$B$1:$H$130,3,0)))))</f>
        <v>M.O</v>
      </c>
      <c r="E261" s="549" t="str">
        <f>IF(A261="SERVIÇO",VLOOKUP(B261,SERVIÇOS!$A$6:$D$7697,3,0),IF(A261="INSUMO",VLOOKUP(B261,INSUMOS!$A$6:$D$4845,3,0),IF(A261="COTAÇÃO",VLOOKUP(B261,'014-22-cotação'!$A$9:$I$138,4,0),IF(A261="AUX",VLOOKUP('014-22-CCU''s'!B261,'014-22-CCU''s AUX'!$B$1:$H$130,4,0)))))</f>
        <v>H</v>
      </c>
      <c r="F261" s="566">
        <v>0.31929999999999997</v>
      </c>
      <c r="G261" s="550">
        <f>IF(A261="SERVIÇO",VLOOKUP(B261,SERVIÇOS!$A$6:$D$7697,4,0),IF(A261="INSUMO",VLOOKUP(B261,INSUMOS!$A$6:$D$4845,4,0),IF(A261="COTAÇÃO",VLOOKUP(B261,'014-22-cotação'!$A$9:$I$138,3,0),IF(A261="AUX",VLOOKUP('014-22-CCU''s'!B261,'014-22-CCU''s AUX'!$B$1:$H$130,7,0)))))</f>
        <v>23.4</v>
      </c>
      <c r="H261" s="561">
        <f t="shared" si="27"/>
        <v>7.47</v>
      </c>
      <c r="J261" s="401"/>
      <c r="S261" s="402"/>
      <c r="T261" s="400"/>
    </row>
    <row r="262" spans="1:20" s="399" customFormat="1" ht="12.75" x14ac:dyDescent="0.25">
      <c r="A262" s="398"/>
      <c r="B262" s="207" t="s">
        <v>109</v>
      </c>
      <c r="C262" s="382" t="s">
        <v>4294</v>
      </c>
      <c r="D262" s="383"/>
      <c r="E262" s="383"/>
      <c r="F262" s="383"/>
      <c r="G262" s="383"/>
      <c r="H262" s="384"/>
      <c r="J262" s="408"/>
      <c r="S262" s="402"/>
      <c r="T262" s="400"/>
    </row>
    <row r="263" spans="1:20" s="399" customFormat="1" ht="12.75" x14ac:dyDescent="0.25">
      <c r="A263" s="398"/>
      <c r="B263" s="208"/>
      <c r="C263" s="175"/>
      <c r="D263" s="176"/>
      <c r="E263" s="176"/>
      <c r="F263" s="176"/>
      <c r="G263" s="176"/>
      <c r="H263" s="176"/>
      <c r="J263" s="401"/>
      <c r="S263" s="402"/>
      <c r="T263" s="400"/>
    </row>
    <row r="264" spans="1:20" s="399" customFormat="1" ht="25.5" x14ac:dyDescent="0.25">
      <c r="A264" s="398"/>
      <c r="B264" s="263" t="s">
        <v>3470</v>
      </c>
      <c r="C264" s="177" t="s">
        <v>4492</v>
      </c>
      <c r="D264" s="178" t="s">
        <v>101</v>
      </c>
      <c r="E264" s="178" t="s">
        <v>150</v>
      </c>
      <c r="F264" s="179"/>
      <c r="G264" s="180"/>
      <c r="H264" s="181">
        <f>SUM(H265:H269)</f>
        <v>176.41000000000003</v>
      </c>
      <c r="I264" s="399" t="s">
        <v>12742</v>
      </c>
      <c r="J264" s="408"/>
      <c r="S264" s="402"/>
      <c r="T264" s="400"/>
    </row>
    <row r="265" spans="1:20" s="399" customFormat="1" ht="12.75" x14ac:dyDescent="0.25">
      <c r="A265" s="398" t="s">
        <v>1122</v>
      </c>
      <c r="B265" s="207">
        <v>1379</v>
      </c>
      <c r="C265" s="548" t="str">
        <f>IF(A265="SERVIÇO",VLOOKUP(B265,SERVIÇOS!$A$6:$D$7697,2,0),IF(A265="INSUMO",VLOOKUP(B265,INSUMOS!$A$6:$D$4845,2,0),IF(A265="COTAÇÃO",VLOOKUP(B265,'014-22-cotação'!$A$9:$I$138,2,0),IF(A265="AUX",VLOOKUP('014-22-CCU''s'!B265,'014-22-CCU''s AUX'!$B$1:$H$130,2,0)))))</f>
        <v xml:space="preserve">CIMENTO PORTLAND COMPOSTO CP II-32                                                                                                                                                                                                                                                                                                                                                                                                                                                                        </v>
      </c>
      <c r="D265" s="549" t="str">
        <f>IF(A265="SERVIÇO",VLOOKUP(B265,SERVIÇOS!$A$6:$E$7697,5,0),IF(A265="INSUMO",VLOOKUP(B265,INSUMOS!$A$6:$E$4845,5,0),IF(A265="COTAÇÃO",VLOOKUP(B265,'014-22-cotação'!$A$9:$J$138,10,0),IF(A265="AUX",VLOOKUP('014-22-CCU''s'!B265,'014-22-CCU''s AUX'!$B$1:$H$130,3,0)))))</f>
        <v>MAT.</v>
      </c>
      <c r="E265" s="549" t="str">
        <f>IF(A265="SERVIÇO",VLOOKUP(B265,SERVIÇOS!$A$6:$D$7697,3,0),IF(A265="INSUMO",VLOOKUP(B265,INSUMOS!$A$6:$D$4845,3,0),IF(A265="COTAÇÃO",VLOOKUP(B265,'014-22-cotação'!$A$9:$I$138,4,0),IF(A265="AUX",VLOOKUP('014-22-CCU''s'!B265,'014-22-CCU''s AUX'!$B$1:$H$130,4,0)))))</f>
        <v xml:space="preserve">KG    </v>
      </c>
      <c r="F265" s="566">
        <v>0.24</v>
      </c>
      <c r="G265" s="550">
        <f>IF(A265="SERVIÇO",VLOOKUP(B265,SERVIÇOS!$A$6:$D$7697,4,0),IF(A265="INSUMO",VLOOKUP(B265,INSUMOS!$A$6:$D$4845,4,0),IF(A265="COTAÇÃO",VLOOKUP(B265,'014-22-cotação'!$A$9:$I$138,3,0),IF(A265="AUX",VLOOKUP('014-22-CCU''s'!B265,'014-22-CCU''s AUX'!$B$1:$H$130,7,0)))))</f>
        <v>0.64</v>
      </c>
      <c r="H265" s="561">
        <f t="shared" ref="H265:H269" si="28">TRUNC((F265*G265),2)</f>
        <v>0.15</v>
      </c>
      <c r="J265" s="408"/>
      <c r="S265" s="402"/>
      <c r="T265" s="400"/>
    </row>
    <row r="266" spans="1:20" s="399" customFormat="1" ht="51" x14ac:dyDescent="0.25">
      <c r="A266" s="398" t="s">
        <v>1122</v>
      </c>
      <c r="B266" s="207">
        <v>36178</v>
      </c>
      <c r="C266" s="548" t="str">
        <f>IF(A266="SERVIÇO",VLOOKUP(B266,SERVIÇOS!$A$6:$D$7697,2,0),IF(A266="INSUMO",VLOOKUP(B266,INSUMOS!$A$6:$D$4845,2,0),IF(A266="COTAÇÃO",VLOOKUP(B266,'014-22-cotação'!$A$9:$I$138,2,0),IF(A266="AUX",VLOOKUP('014-22-CCU''s'!B266,'014-22-CCU''s AUX'!$B$1:$H$130,2,0)))))</f>
        <v xml:space="preserve">PISO TATIL / PODOTATIL, LADRILHO HIDRAULICO/CONCRETO, *40 X 40* CM, E= 2,5* CM, PADRAO TATIL ALERTA OU DIRECIONAL, COR NATURAL                                                                                                                                                                                                                                                                                                                                                                            </v>
      </c>
      <c r="D266" s="549" t="str">
        <f>IF(A266="SERVIÇO",VLOOKUP(B266,SERVIÇOS!$A$6:$E$7697,5,0),IF(A266="INSUMO",VLOOKUP(B266,INSUMOS!$A$6:$E$4845,5,0),IF(A266="COTAÇÃO",VLOOKUP(B266,'014-22-cotação'!$A$9:$J$138,10,0),IF(A266="AUX",VLOOKUP('014-22-CCU''s'!B266,'014-22-CCU''s AUX'!$B$1:$H$130,3,0)))))</f>
        <v>MAT.</v>
      </c>
      <c r="E266" s="549" t="str">
        <f>IF(A266="SERVIÇO",VLOOKUP(B266,SERVIÇOS!$A$6:$D$7697,3,0),IF(A266="INSUMO",VLOOKUP(B266,INSUMOS!$A$6:$D$4845,3,0),IF(A266="COTAÇÃO",VLOOKUP(B266,'014-22-cotação'!$A$9:$I$138,4,0),IF(A266="AUX",VLOOKUP('014-22-CCU''s'!B266,'014-22-CCU''s AUX'!$B$1:$H$130,4,0)))))</f>
        <v xml:space="preserve">UN    </v>
      </c>
      <c r="F266" s="566">
        <f>1.03*6.25</f>
        <v>6.4375</v>
      </c>
      <c r="G266" s="550">
        <f>IF(A266="SERVIÇO",VLOOKUP(B266,SERVIÇOS!$A$6:$D$7697,4,0),IF(A266="INSUMO",VLOOKUP(B266,INSUMOS!$A$6:$D$4845,4,0),IF(A266="COTAÇÃO",VLOOKUP(B266,'014-22-cotação'!$A$9:$I$138,3,0),IF(A266="AUX",VLOOKUP('014-22-CCU''s'!B266,'014-22-CCU''s AUX'!$B$1:$H$130,7,0)))))</f>
        <v>16.53</v>
      </c>
      <c r="H266" s="561">
        <f t="shared" si="28"/>
        <v>106.41</v>
      </c>
      <c r="J266" s="408"/>
      <c r="S266" s="402"/>
      <c r="T266" s="400"/>
    </row>
    <row r="267" spans="1:20" s="399" customFormat="1" ht="12.75" x14ac:dyDescent="0.25">
      <c r="A267" s="398" t="s">
        <v>1122</v>
      </c>
      <c r="B267" s="207">
        <v>37595</v>
      </c>
      <c r="C267" s="548" t="str">
        <f>IF(A267="SERVIÇO",VLOOKUP(B267,SERVIÇOS!$A$6:$D$7697,2,0),IF(A267="INSUMO",VLOOKUP(B267,INSUMOS!$A$6:$D$4845,2,0),IF(A267="COTAÇÃO",VLOOKUP(B267,'014-22-cotação'!$A$9:$I$138,2,0),IF(A267="AUX",VLOOKUP('014-22-CCU''s'!B267,'014-22-CCU''s AUX'!$B$1:$H$130,2,0)))))</f>
        <v xml:space="preserve">ARGAMASSA COLANTE TIPO AC III                                                                                                                                                                                                                                                                                                                                                                                                                                                                             </v>
      </c>
      <c r="D267" s="549" t="str">
        <f>IF(A267="SERVIÇO",VLOOKUP(B267,SERVIÇOS!$A$6:$E$7697,5,0),IF(A267="INSUMO",VLOOKUP(B267,INSUMOS!$A$6:$E$4845,5,0),IF(A267="COTAÇÃO",VLOOKUP(B267,'014-22-cotação'!$A$9:$J$138,10,0),IF(A267="AUX",VLOOKUP('014-22-CCU''s'!B267,'014-22-CCU''s AUX'!$B$1:$H$130,3,0)))))</f>
        <v>MAT.</v>
      </c>
      <c r="E267" s="549" t="str">
        <f>IF(A267="SERVIÇO",VLOOKUP(B267,SERVIÇOS!$A$6:$D$7697,3,0),IF(A267="INSUMO",VLOOKUP(B267,INSUMOS!$A$6:$D$4845,3,0),IF(A267="COTAÇÃO",VLOOKUP(B267,'014-22-cotação'!$A$9:$I$138,4,0),IF(A267="AUX",VLOOKUP('014-22-CCU''s'!B267,'014-22-CCU''s AUX'!$B$1:$H$130,4,0)))))</f>
        <v xml:space="preserve">KG    </v>
      </c>
      <c r="F267" s="566">
        <v>8.6199999999999992</v>
      </c>
      <c r="G267" s="550">
        <f>IF(A267="SERVIÇO",VLOOKUP(B267,SERVIÇOS!$A$6:$D$7697,4,0),IF(A267="INSUMO",VLOOKUP(B267,INSUMOS!$A$6:$D$4845,4,0),IF(A267="COTAÇÃO",VLOOKUP(B267,'014-22-cotação'!$A$9:$I$138,3,0),IF(A267="AUX",VLOOKUP('014-22-CCU''s'!B267,'014-22-CCU''s AUX'!$B$1:$H$130,7,0)))))</f>
        <v>1.99</v>
      </c>
      <c r="H267" s="561">
        <f t="shared" si="28"/>
        <v>17.149999999999999</v>
      </c>
      <c r="J267" s="408"/>
      <c r="S267" s="402"/>
      <c r="T267" s="400"/>
    </row>
    <row r="268" spans="1:20" s="399" customFormat="1" ht="25.5" x14ac:dyDescent="0.25">
      <c r="A268" s="398" t="s">
        <v>1120</v>
      </c>
      <c r="B268" s="207">
        <v>88256</v>
      </c>
      <c r="C268" s="548" t="str">
        <f>IF(A268="SERVIÇO",VLOOKUP(B268,SERVIÇOS!$A$6:$D$7697,2,0),IF(A268="INSUMO",VLOOKUP(B268,INSUMOS!$A$6:$D$4845,2,0),IF(A268="COTAÇÃO",VLOOKUP(B268,'014-22-cotação'!$A$9:$I$138,2,0),IF(A268="AUX",VLOOKUP('014-22-CCU''s'!B268,'014-22-CCU''s AUX'!$B$1:$H$130,2,0)))))</f>
        <v>AZULEJISTA OU LADRILHISTA COM ENCARGOS COMPLEMENTARES</v>
      </c>
      <c r="D268" s="549" t="str">
        <f>IF(A268="SERVIÇO",VLOOKUP(B268,SERVIÇOS!$A$6:$E$7697,5,0),IF(A268="INSUMO",VLOOKUP(B268,INSUMOS!$A$6:$E$4845,5,0),IF(A268="COTAÇÃO",VLOOKUP(B268,'014-22-cotação'!$A$9:$J$138,10,0),IF(A268="AUX",VLOOKUP('014-22-CCU''s'!B268,'014-22-CCU''s AUX'!$B$1:$H$130,3,0)))))</f>
        <v>M.O</v>
      </c>
      <c r="E268" s="549" t="str">
        <f>IF(A268="SERVIÇO",VLOOKUP(B268,SERVIÇOS!$A$6:$D$7697,3,0),IF(A268="INSUMO",VLOOKUP(B268,INSUMOS!$A$6:$D$4845,3,0),IF(A268="COTAÇÃO",VLOOKUP(B268,'014-22-cotação'!$A$9:$I$138,4,0),IF(A268="AUX",VLOOKUP('014-22-CCU''s'!B268,'014-22-CCU''s AUX'!$B$1:$H$130,4,0)))))</f>
        <v>H</v>
      </c>
      <c r="F268" s="566">
        <v>1.236</v>
      </c>
      <c r="G268" s="550">
        <f>IF(A268="SERVIÇO",VLOOKUP(B268,SERVIÇOS!$A$6:$D$7697,4,0),IF(A268="INSUMO",VLOOKUP(B268,INSUMOS!$A$6:$D$4845,4,0),IF(A268="COTAÇÃO",VLOOKUP(B268,'014-22-cotação'!$A$9:$I$138,3,0),IF(A268="AUX",VLOOKUP('014-22-CCU''s'!B268,'014-22-CCU''s AUX'!$B$1:$H$130,7,0)))))</f>
        <v>30.94</v>
      </c>
      <c r="H268" s="561">
        <f t="shared" si="28"/>
        <v>38.24</v>
      </c>
      <c r="J268" s="408"/>
      <c r="S268" s="402"/>
      <c r="T268" s="400"/>
    </row>
    <row r="269" spans="1:20" s="213" customFormat="1" ht="25.5" x14ac:dyDescent="0.25">
      <c r="A269" s="199" t="s">
        <v>1120</v>
      </c>
      <c r="B269" s="207">
        <v>88316</v>
      </c>
      <c r="C269" s="548" t="str">
        <f>IF(A269="SERVIÇO",VLOOKUP(B269,SERVIÇOS!$A$6:$D$7697,2,0),IF(A269="INSUMO",VLOOKUP(B269,INSUMOS!$A$6:$D$4845,2,0),IF(A269="COTAÇÃO",VLOOKUP(B269,'014-22-cotação'!$A$9:$I$138,2,0),IF(A269="AUX",VLOOKUP('014-22-CCU''s'!B269,'014-22-CCU''s AUX'!$B$1:$H$130,2,0)))))</f>
        <v>SERVENTE COM ENCARGOS COMPLEMENTARES</v>
      </c>
      <c r="D269" s="549" t="str">
        <f>IF(A269="SERVIÇO",VLOOKUP(B269,SERVIÇOS!$A$6:$E$7697,5,0),IF(A269="INSUMO",VLOOKUP(B269,INSUMOS!$A$6:$E$4845,5,0),IF(A269="COTAÇÃO",VLOOKUP(B269,'014-22-cotação'!$A$9:$J$138,10,0),IF(A269="AUX",VLOOKUP('014-22-CCU''s'!B269,'014-22-CCU''s AUX'!$B$1:$H$130,3,0)))))</f>
        <v>M.O</v>
      </c>
      <c r="E269" s="549" t="str">
        <f>IF(A269="SERVIÇO",VLOOKUP(B269,SERVIÇOS!$A$6:$D$7697,3,0),IF(A269="INSUMO",VLOOKUP(B269,INSUMOS!$A$6:$D$4845,3,0),IF(A269="COTAÇÃO",VLOOKUP(B269,'014-22-cotação'!$A$9:$I$138,4,0),IF(A269="AUX",VLOOKUP('014-22-CCU''s'!B269,'014-22-CCU''s AUX'!$B$1:$H$130,4,0)))))</f>
        <v>H</v>
      </c>
      <c r="F269" s="566">
        <v>0.61799999999999999</v>
      </c>
      <c r="G269" s="550">
        <f>IF(A269="SERVIÇO",VLOOKUP(B269,SERVIÇOS!$A$6:$D$7697,4,0),IF(A269="INSUMO",VLOOKUP(B269,INSUMOS!$A$6:$D$4845,4,0),IF(A269="COTAÇÃO",VLOOKUP(B269,'014-22-cotação'!$A$9:$I$138,3,0),IF(A269="AUX",VLOOKUP('014-22-CCU''s'!B269,'014-22-CCU''s AUX'!$B$1:$H$130,7,0)))))</f>
        <v>23.4</v>
      </c>
      <c r="H269" s="561">
        <f t="shared" si="28"/>
        <v>14.46</v>
      </c>
      <c r="J269" s="83"/>
      <c r="S269" s="331"/>
      <c r="T269" s="342"/>
    </row>
    <row r="270" spans="1:20" s="213" customFormat="1" ht="12.75" x14ac:dyDescent="0.25">
      <c r="A270" s="199"/>
      <c r="B270" s="207" t="s">
        <v>109</v>
      </c>
      <c r="C270" s="382" t="s">
        <v>4493</v>
      </c>
      <c r="D270" s="270"/>
      <c r="E270" s="270"/>
      <c r="F270" s="270"/>
      <c r="G270" s="270"/>
      <c r="H270" s="271"/>
      <c r="J270" s="83"/>
      <c r="S270" s="331"/>
      <c r="T270" s="342"/>
    </row>
    <row r="271" spans="1:20" s="213" customFormat="1" ht="12.75" x14ac:dyDescent="0.25">
      <c r="A271" s="199"/>
      <c r="B271" s="208"/>
      <c r="C271" s="175"/>
      <c r="D271" s="176"/>
      <c r="E271" s="176"/>
      <c r="F271" s="176"/>
      <c r="G271" s="176"/>
      <c r="H271" s="176"/>
      <c r="J271" s="83"/>
      <c r="S271" s="331"/>
      <c r="T271" s="342"/>
    </row>
    <row r="272" spans="1:20" s="399" customFormat="1" ht="51" x14ac:dyDescent="0.25">
      <c r="A272" s="398"/>
      <c r="B272" s="263" t="s">
        <v>3471</v>
      </c>
      <c r="C272" s="177" t="s">
        <v>3903</v>
      </c>
      <c r="D272" s="178" t="s">
        <v>101</v>
      </c>
      <c r="E272" s="178" t="s">
        <v>1104</v>
      </c>
      <c r="F272" s="179"/>
      <c r="G272" s="180"/>
      <c r="H272" s="181">
        <f>SUM(H273:H277)</f>
        <v>976.85</v>
      </c>
      <c r="I272" s="399" t="s">
        <v>12742</v>
      </c>
      <c r="J272" s="401"/>
      <c r="S272" s="402"/>
      <c r="T272" s="400"/>
    </row>
    <row r="273" spans="1:20" s="399" customFormat="1" ht="25.5" x14ac:dyDescent="0.25">
      <c r="A273" s="398" t="s">
        <v>12</v>
      </c>
      <c r="B273" s="207" t="s">
        <v>3442</v>
      </c>
      <c r="C273" s="548" t="str">
        <f>IF(A273="SERVIÇO",VLOOKUP(B273,SERVIÇOS!$A$6:$D$7697,2,0),IF(A273="INSUMO",VLOOKUP(B273,INSUMOS!$A$6:$D$4845,2,0),IF(A273="COTAÇÃO",VLOOKUP(B273,'014-22-cotação'!$A$9:$I$138,2,0),IF(A273="AUX",VLOOKUP('014-22-CCU''s'!B273,'014-22-CCU''s AUX'!$B$1:$H$130,2,0)))))</f>
        <v>BICICLETÁRIO EM TUBO DE AÇO INOX 2'' ACABAMENTO ESCOVADO</v>
      </c>
      <c r="D273" s="549" t="str">
        <f>IF(A273="SERVIÇO",VLOOKUP(B273,SERVIÇOS!$A$6:$E$7697,5,0),IF(A273="INSUMO",VLOOKUP(B273,INSUMOS!$A$6:$E$4845,5,0),IF(A273="COTAÇÃO",VLOOKUP(B273,'014-22-cotação'!$A$9:$J$138,10,0),IF(A273="AUX",VLOOKUP('014-22-CCU''s'!B273,'014-22-CCU''s AUX'!$B$1:$H$130,3,0)))))</f>
        <v>MAT.</v>
      </c>
      <c r="E273" s="549" t="str">
        <f>IF(A273="SERVIÇO",VLOOKUP(B273,SERVIÇOS!$A$6:$D$7697,3,0),IF(A273="INSUMO",VLOOKUP(B273,INSUMOS!$A$6:$D$4845,3,0),IF(A273="COTAÇÃO",VLOOKUP(B273,'014-22-cotação'!$A$9:$I$138,4,0),IF(A273="AUX",VLOOKUP('014-22-CCU''s'!B273,'014-22-CCU''s AUX'!$B$1:$H$130,4,0)))))</f>
        <v>UN</v>
      </c>
      <c r="F273" s="568">
        <v>1</v>
      </c>
      <c r="G273" s="550">
        <f>IF(A273="SERVIÇO",VLOOKUP(B273,SERVIÇOS!$A$6:$D$7697,4,0),IF(A273="INSUMO",VLOOKUP(B273,INSUMOS!$A$6:$D$4845,4,0),IF(A273="COTAÇÃO",VLOOKUP(B273,'014-22-cotação'!$A$9:$I$138,3,0),IF(A273="AUX",VLOOKUP('014-22-CCU''s'!B273,'014-22-CCU''s AUX'!$B$1:$H$130,7,0)))))</f>
        <v>950</v>
      </c>
      <c r="H273" s="561">
        <f>TRUNC((F273*G273),2)</f>
        <v>950</v>
      </c>
      <c r="J273" s="408"/>
      <c r="S273" s="402"/>
      <c r="T273" s="400"/>
    </row>
    <row r="274" spans="1:20" s="399" customFormat="1" ht="25.5" x14ac:dyDescent="0.25">
      <c r="A274" s="398" t="s">
        <v>1120</v>
      </c>
      <c r="B274" s="207">
        <v>88309</v>
      </c>
      <c r="C274" s="548" t="str">
        <f>IF(A274="SERVIÇO",VLOOKUP(B274,SERVIÇOS!$A$6:$D$7697,2,0),IF(A274="INSUMO",VLOOKUP(B274,INSUMOS!$A$6:$D$4845,2,0),IF(A274="COTAÇÃO",VLOOKUP(B274,'014-22-cotação'!$A$9:$I$138,2,0),IF(A274="AUX",VLOOKUP('014-22-CCU''s'!B274,'014-22-CCU''s AUX'!$B$1:$H$130,2,0)))))</f>
        <v>PEDREIRO COM ENCARGOS COMPLEMENTARES</v>
      </c>
      <c r="D274" s="549" t="str">
        <f>IF(A274="SERVIÇO",VLOOKUP(B274,SERVIÇOS!$A$6:$E$7697,5,0),IF(A274="INSUMO",VLOOKUP(B274,INSUMOS!$A$6:$E$4845,5,0),IF(A274="COTAÇÃO",VLOOKUP(B274,'014-22-cotação'!$A$9:$J$138,10,0),IF(A274="AUX",VLOOKUP('014-22-CCU''s'!B274,'014-22-CCU''s AUX'!$B$1:$H$130,3,0)))))</f>
        <v>M.O</v>
      </c>
      <c r="E274" s="549" t="str">
        <f>IF(A274="SERVIÇO",VLOOKUP(B274,SERVIÇOS!$A$6:$D$7697,3,0),IF(A274="INSUMO",VLOOKUP(B274,INSUMOS!$A$6:$D$4845,3,0),IF(A274="COTAÇÃO",VLOOKUP(B274,'014-22-cotação'!$A$9:$I$138,4,0),IF(A274="AUX",VLOOKUP('014-22-CCU''s'!B274,'014-22-CCU''s AUX'!$B$1:$H$130,4,0)))))</f>
        <v>H</v>
      </c>
      <c r="F274" s="568">
        <v>0.3</v>
      </c>
      <c r="G274" s="550">
        <f>IF(A274="SERVIÇO",VLOOKUP(B274,SERVIÇOS!$A$6:$D$7697,4,0),IF(A274="INSUMO",VLOOKUP(B274,INSUMOS!$A$6:$D$4845,4,0),IF(A274="COTAÇÃO",VLOOKUP(B274,'014-22-cotação'!$A$9:$I$138,3,0),IF(A274="AUX",VLOOKUP('014-22-CCU''s'!B274,'014-22-CCU''s AUX'!$B$1:$H$130,7,0)))))</f>
        <v>31.1</v>
      </c>
      <c r="H274" s="561">
        <f>TRUNC((F274*G274),2)</f>
        <v>9.33</v>
      </c>
      <c r="J274" s="401"/>
      <c r="S274" s="402"/>
      <c r="T274" s="400"/>
    </row>
    <row r="275" spans="1:20" s="399" customFormat="1" ht="25.5" x14ac:dyDescent="0.25">
      <c r="A275" s="398" t="s">
        <v>1120</v>
      </c>
      <c r="B275" s="207">
        <v>88316</v>
      </c>
      <c r="C275" s="548" t="str">
        <f>IF(A275="SERVIÇO",VLOOKUP(B275,SERVIÇOS!$A$6:$D$7697,2,0),IF(A275="INSUMO",VLOOKUP(B275,INSUMOS!$A$6:$D$4845,2,0),IF(A275="COTAÇÃO",VLOOKUP(B275,'014-22-cotação'!$A$9:$I$138,2,0),IF(A275="AUX",VLOOKUP('014-22-CCU''s'!B275,'014-22-CCU''s AUX'!$B$1:$H$130,2,0)))))</f>
        <v>SERVENTE COM ENCARGOS COMPLEMENTARES</v>
      </c>
      <c r="D275" s="549" t="str">
        <f>IF(A275="SERVIÇO",VLOOKUP(B275,SERVIÇOS!$A$6:$E$7697,5,0),IF(A275="INSUMO",VLOOKUP(B275,INSUMOS!$A$6:$E$4845,5,0),IF(A275="COTAÇÃO",VLOOKUP(B275,'014-22-cotação'!$A$9:$J$138,10,0),IF(A275="AUX",VLOOKUP('014-22-CCU''s'!B275,'014-22-CCU''s AUX'!$B$1:$H$130,3,0)))))</f>
        <v>M.O</v>
      </c>
      <c r="E275" s="549" t="str">
        <f>IF(A275="SERVIÇO",VLOOKUP(B275,SERVIÇOS!$A$6:$D$7697,3,0),IF(A275="INSUMO",VLOOKUP(B275,INSUMOS!$A$6:$D$4845,3,0),IF(A275="COTAÇÃO",VLOOKUP(B275,'014-22-cotação'!$A$9:$I$138,4,0),IF(A275="AUX",VLOOKUP('014-22-CCU''s'!B275,'014-22-CCU''s AUX'!$B$1:$H$130,4,0)))))</f>
        <v>H</v>
      </c>
      <c r="F275" s="568">
        <v>0.3</v>
      </c>
      <c r="G275" s="550">
        <f>IF(A275="SERVIÇO",VLOOKUP(B275,SERVIÇOS!$A$6:$D$7697,4,0),IF(A275="INSUMO",VLOOKUP(B275,INSUMOS!$A$6:$D$4845,4,0),IF(A275="COTAÇÃO",VLOOKUP(B275,'014-22-cotação'!$A$9:$I$138,3,0),IF(A275="AUX",VLOOKUP('014-22-CCU''s'!B275,'014-22-CCU''s AUX'!$B$1:$H$130,7,0)))))</f>
        <v>23.4</v>
      </c>
      <c r="H275" s="561">
        <f>TRUNC((F275*G275),2)</f>
        <v>7.02</v>
      </c>
      <c r="J275" s="408"/>
      <c r="S275" s="402"/>
      <c r="T275" s="400"/>
    </row>
    <row r="276" spans="1:20" s="399" customFormat="1" ht="51" x14ac:dyDescent="0.25">
      <c r="A276" s="398" t="s">
        <v>1120</v>
      </c>
      <c r="B276" s="207">
        <v>94964</v>
      </c>
      <c r="C276" s="548" t="str">
        <f>IF(A276="SERVIÇO",VLOOKUP(B276,SERVIÇOS!$A$6:$D$7697,2,0),IF(A276="INSUMO",VLOOKUP(B276,INSUMOS!$A$6:$D$4845,2,0),IF(A276="COTAÇÃO",VLOOKUP(B276,'014-22-cotação'!$A$9:$I$138,2,0),IF(A276="AUX",VLOOKUP('014-22-CCU''s'!B276,'014-22-CCU''s AUX'!$B$1:$H$130,2,0)))))</f>
        <v>CONCRETO FCK = 20MPA, TRAÇO 1:2,7:3 (EM MASSA SECA DE CIMENTO/ AREIA MÉDIA/ BRITA 1) - PREPARO MECÂNICO COM BETONEIRA 400 L. AF_05/2021</v>
      </c>
      <c r="D276" s="549" t="str">
        <f>IF(A276="SERVIÇO",VLOOKUP(B276,SERVIÇOS!$A$6:$E$7697,5,0),IF(A276="INSUMO",VLOOKUP(B276,INSUMOS!$A$6:$E$4845,5,0),IF(A276="COTAÇÃO",VLOOKUP(B276,'014-22-cotação'!$A$9:$J$138,10,0),IF(A276="AUX",VLOOKUP('014-22-CCU''s'!B276,'014-22-CCU''s AUX'!$B$1:$H$130,3,0)))))</f>
        <v>SER.CG</v>
      </c>
      <c r="E276" s="549" t="str">
        <f>IF(A276="SERVIÇO",VLOOKUP(B276,SERVIÇOS!$A$6:$D$7697,3,0),IF(A276="INSUMO",VLOOKUP(B276,INSUMOS!$A$6:$D$4845,3,0),IF(A276="COTAÇÃO",VLOOKUP(B276,'014-22-cotação'!$A$9:$I$138,4,0),IF(A276="AUX",VLOOKUP('014-22-CCU''s'!B276,'014-22-CCU''s AUX'!$B$1:$H$130,4,0)))))</f>
        <v>M3</v>
      </c>
      <c r="F276" s="568">
        <v>1.6E-2</v>
      </c>
      <c r="G276" s="550">
        <f>IF(A276="SERVIÇO",VLOOKUP(B276,SERVIÇOS!$A$6:$D$7697,4,0),IF(A276="INSUMO",VLOOKUP(B276,INSUMOS!$A$6:$D$4845,4,0),IF(A276="COTAÇÃO",VLOOKUP(B276,'014-22-cotação'!$A$9:$I$138,3,0),IF(A276="AUX",VLOOKUP('014-22-CCU''s'!B276,'014-22-CCU''s AUX'!$B$1:$H$130,7,0)))))</f>
        <v>564.28</v>
      </c>
      <c r="H276" s="561">
        <f>TRUNC((F276*G276),2)</f>
        <v>9.02</v>
      </c>
      <c r="J276" s="408"/>
      <c r="S276" s="402"/>
      <c r="T276" s="400"/>
    </row>
    <row r="277" spans="1:20" s="399" customFormat="1" ht="38.25" x14ac:dyDescent="0.25">
      <c r="A277" s="398" t="s">
        <v>1120</v>
      </c>
      <c r="B277" s="207">
        <v>93358</v>
      </c>
      <c r="C277" s="548" t="str">
        <f>IF(A277="SERVIÇO",VLOOKUP(B277,SERVIÇOS!$A$6:$D$7697,2,0),IF(A277="INSUMO",VLOOKUP(B277,INSUMOS!$A$6:$D$4845,2,0),IF(A277="COTAÇÃO",VLOOKUP(B277,'014-22-cotação'!$A$9:$I$138,2,0),IF(A277="AUX",VLOOKUP('014-22-CCU''s'!B277,'014-22-CCU''s AUX'!$B$1:$H$130,2,0)))))</f>
        <v>ESCAVAÇÃO MANUAL DE VALA COM PROFUNDIDADE MENOR OU IGUAL A 1,30 M. AF_02/2021</v>
      </c>
      <c r="D277" s="549" t="str">
        <f>IF(A277="SERVIÇO",VLOOKUP(B277,SERVIÇOS!$A$6:$E$7697,5,0),IF(A277="INSUMO",VLOOKUP(B277,INSUMOS!$A$6:$E$4845,5,0),IF(A277="COTAÇÃO",VLOOKUP(B277,'014-22-cotação'!$A$9:$J$138,10,0),IF(A277="AUX",VLOOKUP('014-22-CCU''s'!B277,'014-22-CCU''s AUX'!$B$1:$H$130,3,0)))))</f>
        <v>SER.CG</v>
      </c>
      <c r="E277" s="549" t="str">
        <f>IF(A277="SERVIÇO",VLOOKUP(B277,SERVIÇOS!$A$6:$D$7697,3,0),IF(A277="INSUMO",VLOOKUP(B277,INSUMOS!$A$6:$D$4845,3,0),IF(A277="COTAÇÃO",VLOOKUP(B277,'014-22-cotação'!$A$9:$I$138,4,0),IF(A277="AUX",VLOOKUP('014-22-CCU''s'!B277,'014-22-CCU''s AUX'!$B$1:$H$130,4,0)))))</f>
        <v>M3</v>
      </c>
      <c r="F277" s="568">
        <v>1.6E-2</v>
      </c>
      <c r="G277" s="550">
        <f>IF(A277="SERVIÇO",VLOOKUP(B277,SERVIÇOS!$A$6:$D$7697,4,0),IF(A277="INSUMO",VLOOKUP(B277,INSUMOS!$A$6:$D$4845,4,0),IF(A277="COTAÇÃO",VLOOKUP(B277,'014-22-cotação'!$A$9:$I$138,3,0),IF(A277="AUX",VLOOKUP('014-22-CCU''s'!B277,'014-22-CCU''s AUX'!$B$1:$H$130,7,0)))))</f>
        <v>92.57</v>
      </c>
      <c r="H277" s="561">
        <f>TRUNC((F277*G277),2)</f>
        <v>1.48</v>
      </c>
      <c r="J277" s="408"/>
      <c r="S277" s="402"/>
      <c r="T277" s="400"/>
    </row>
    <row r="278" spans="1:20" s="399" customFormat="1" ht="12.75" x14ac:dyDescent="0.25">
      <c r="A278" s="398"/>
      <c r="B278" s="207" t="s">
        <v>109</v>
      </c>
      <c r="C278" s="382" t="s">
        <v>3896</v>
      </c>
      <c r="D278" s="270"/>
      <c r="E278" s="270"/>
      <c r="F278" s="270"/>
      <c r="G278" s="270"/>
      <c r="H278" s="271"/>
      <c r="J278" s="408"/>
      <c r="S278" s="402"/>
      <c r="T278" s="400"/>
    </row>
    <row r="279" spans="1:20" s="399" customFormat="1" ht="12.75" x14ac:dyDescent="0.25">
      <c r="A279" s="398"/>
      <c r="B279" s="208"/>
      <c r="C279" s="175"/>
      <c r="D279" s="176"/>
      <c r="E279" s="176"/>
      <c r="F279" s="176"/>
      <c r="G279" s="176"/>
      <c r="H279" s="176"/>
      <c r="J279" s="408"/>
      <c r="S279" s="402"/>
      <c r="T279" s="400"/>
    </row>
    <row r="280" spans="1:20" s="399" customFormat="1" ht="38.25" x14ac:dyDescent="0.25">
      <c r="A280" s="398" t="s">
        <v>1120</v>
      </c>
      <c r="B280" s="263" t="s">
        <v>3472</v>
      </c>
      <c r="C280" s="177" t="s">
        <v>4496</v>
      </c>
      <c r="D280" s="178" t="s">
        <v>101</v>
      </c>
      <c r="E280" s="178" t="s">
        <v>1104</v>
      </c>
      <c r="F280" s="179"/>
      <c r="G280" s="180"/>
      <c r="H280" s="181">
        <f>SUM(H281:H283)</f>
        <v>1054</v>
      </c>
      <c r="I280" s="399" t="s">
        <v>12742</v>
      </c>
      <c r="J280" s="408"/>
      <c r="S280" s="402"/>
      <c r="T280" s="400"/>
    </row>
    <row r="281" spans="1:20" s="476" customFormat="1" ht="25.5" x14ac:dyDescent="0.25">
      <c r="A281" s="475" t="s">
        <v>3416</v>
      </c>
      <c r="B281" s="207" t="s">
        <v>3450</v>
      </c>
      <c r="C281" s="548" t="str">
        <f>IF(A281="SERVIÇO",VLOOKUP(B281,SERVIÇOS!$A$6:$D$7697,2,0),IF(A281="INSUMO",VLOOKUP(B281,INSUMOS!$A$6:$D$4845,2,0),IF(A281="COTAÇÃO",VLOOKUP(B281,'014-22-cotação'!$A$9:$I$138,2,0),IF(A281="AUX",VLOOKUP('014-22-CCU''s'!B281,'014-22-CCU''s AUX'!$B$1:$H$130,2,0)))))</f>
        <v>MESA MULTIUSO EM CONCRETO - CONFORME DETALHAMENTO DE PROJETO</v>
      </c>
      <c r="D281" s="549" t="str">
        <f>IF(A281="SERVIÇO",VLOOKUP(B281,SERVIÇOS!$A$6:$E$7697,5,0),IF(A281="INSUMO",VLOOKUP(B281,INSUMOS!$A$6:$E$4845,5,0),IF(A281="COTAÇÃO",VLOOKUP(B281,'014-22-cotação'!$A$9:$J$138,10,0),IF(A281="AUX",VLOOKUP('014-22-CCU''s'!B281,'014-22-CCU''s AUX'!$B$1:$H$130,3,0)))))</f>
        <v xml:space="preserve">SER.CG </v>
      </c>
      <c r="E281" s="549" t="str">
        <f>IF(A281="SERVIÇO",VLOOKUP(B281,SERVIÇOS!$A$6:$D$7697,3,0),IF(A281="INSUMO",VLOOKUP(B281,INSUMOS!$A$6:$D$4845,3,0),IF(A281="COTAÇÃO",VLOOKUP(B281,'014-22-cotação'!$A$9:$I$138,4,0),IF(A281="AUX",VLOOKUP('014-22-CCU''s'!B281,'014-22-CCU''s AUX'!$B$1:$H$130,4,0)))))</f>
        <v xml:space="preserve">UN </v>
      </c>
      <c r="F281" s="560">
        <v>1</v>
      </c>
      <c r="G281" s="550">
        <f>IF(A281="SERVIÇO",VLOOKUP(B281,SERVIÇOS!$A$6:$D$7697,4,0),IF(A281="INSUMO",VLOOKUP(B281,INSUMOS!$A$6:$D$4845,4,0),IF(A281="COTAÇÃO",VLOOKUP(B281,'014-22-cotação'!$A$9:$I$138,3,0),IF(A281="AUX",VLOOKUP('014-22-CCU''s'!B281,'014-22-CCU''s AUX'!$B$1:$H$130,7,0)))))</f>
        <v>591.91</v>
      </c>
      <c r="H281" s="561">
        <f t="shared" ref="H281:H283" si="29">TRUNC((F281*G281),2)</f>
        <v>591.91</v>
      </c>
      <c r="J281" s="488"/>
      <c r="S281" s="478"/>
      <c r="T281" s="479"/>
    </row>
    <row r="282" spans="1:20" s="213" customFormat="1" ht="38.25" x14ac:dyDescent="0.25">
      <c r="A282" s="199" t="s">
        <v>3416</v>
      </c>
      <c r="B282" s="207" t="s">
        <v>3451</v>
      </c>
      <c r="C282" s="548" t="str">
        <f>IF(A282="SERVIÇO",VLOOKUP(B282,SERVIÇOS!$A$6:$D$7697,2,0),IF(A282="INSUMO",VLOOKUP(B282,INSUMOS!$A$6:$D$4845,2,0),IF(A282="COTAÇÃO",VLOOKUP(B282,'014-22-cotação'!$A$9:$I$138,2,0),IF(A282="AUX",VLOOKUP('014-22-CCU''s'!B282,'014-22-CCU''s AUX'!$B$1:$H$130,2,0)))))</f>
        <v>REVESTIMENTO DE PISO COM MOSAICO DE MÁRMORE DUAS CORES, APLICADO COM ARGAMASSA INDUSTRIALIZADA AC-II</v>
      </c>
      <c r="D282" s="549" t="str">
        <f>IF(A282="SERVIÇO",VLOOKUP(B282,SERVIÇOS!$A$6:$E$7697,5,0),IF(A282="INSUMO",VLOOKUP(B282,INSUMOS!$A$6:$E$4845,5,0),IF(A282="COTAÇÃO",VLOOKUP(B282,'014-22-cotação'!$A$9:$J$138,10,0),IF(A282="AUX",VLOOKUP('014-22-CCU''s'!B282,'014-22-CCU''s AUX'!$B$1:$H$130,3,0)))))</f>
        <v xml:space="preserve">SER.CG </v>
      </c>
      <c r="E282" s="549" t="str">
        <f>IF(A282="SERVIÇO",VLOOKUP(B282,SERVIÇOS!$A$6:$D$7697,3,0),IF(A282="INSUMO",VLOOKUP(B282,INSUMOS!$A$6:$D$4845,3,0),IF(A282="COTAÇÃO",VLOOKUP(B282,'014-22-cotação'!$A$9:$I$138,4,0),IF(A282="AUX",VLOOKUP('014-22-CCU''s'!B282,'014-22-CCU''s AUX'!$B$1:$H$130,4,0)))))</f>
        <v>M2</v>
      </c>
      <c r="F282" s="562">
        <f>0.4*0.4</f>
        <v>0.16000000000000003</v>
      </c>
      <c r="G282" s="550">
        <f>IF(A282="SERVIÇO",VLOOKUP(B282,SERVIÇOS!$A$6:$D$7697,4,0),IF(A282="INSUMO",VLOOKUP(B282,INSUMOS!$A$6:$D$4845,4,0),IF(A282="COTAÇÃO",VLOOKUP(B282,'014-22-cotação'!$A$9:$I$138,3,0),IF(A282="AUX",VLOOKUP('014-22-CCU''s'!B282,'014-22-CCU''s AUX'!$B$1:$H$130,7,0)))))</f>
        <v>559.07000000000005</v>
      </c>
      <c r="H282" s="561">
        <f t="shared" si="29"/>
        <v>89.45</v>
      </c>
      <c r="J282" s="83"/>
      <c r="S282" s="331"/>
      <c r="T282" s="342"/>
    </row>
    <row r="283" spans="1:20" s="476" customFormat="1" ht="38.25" x14ac:dyDescent="0.25">
      <c r="A283" s="475" t="s">
        <v>3416</v>
      </c>
      <c r="B283" s="207" t="s">
        <v>3452</v>
      </c>
      <c r="C283" s="548" t="str">
        <f>IF(A283="SERVIÇO",VLOOKUP(B283,SERVIÇOS!$A$6:$D$7697,2,0),IF(A283="INSUMO",VLOOKUP(B283,INSUMOS!$A$6:$D$4845,2,0),IF(A283="COTAÇÃO",VLOOKUP(B283,'014-22-cotação'!$A$9:$I$138,2,0),IF(A283="AUX",VLOOKUP('014-22-CCU''s'!B283,'014-22-CCU''s AUX'!$B$1:$H$130,2,0)))))</f>
        <v>BANCO EM CONCRETO PARA MESA MULTIUSO - CONFORME DETALHAMENTO DE PROJETO</v>
      </c>
      <c r="D283" s="549" t="str">
        <f>IF(A283="SERVIÇO",VLOOKUP(B283,SERVIÇOS!$A$6:$E$7697,5,0),IF(A283="INSUMO",VLOOKUP(B283,INSUMOS!$A$6:$E$4845,5,0),IF(A283="COTAÇÃO",VLOOKUP(B283,'014-22-cotação'!$A$9:$J$138,10,0),IF(A283="AUX",VLOOKUP('014-22-CCU''s'!B283,'014-22-CCU''s AUX'!$B$1:$H$130,3,0)))))</f>
        <v xml:space="preserve">SER.CG </v>
      </c>
      <c r="E283" s="549" t="str">
        <f>IF(A283="SERVIÇO",VLOOKUP(B283,SERVIÇOS!$A$6:$D$7697,3,0),IF(A283="INSUMO",VLOOKUP(B283,INSUMOS!$A$6:$D$4845,3,0),IF(A283="COTAÇÃO",VLOOKUP(B283,'014-22-cotação'!$A$9:$I$138,4,0),IF(A283="AUX",VLOOKUP('014-22-CCU''s'!B283,'014-22-CCU''s AUX'!$B$1:$H$130,4,0)))))</f>
        <v xml:space="preserve">UN </v>
      </c>
      <c r="F283" s="562">
        <v>4</v>
      </c>
      <c r="G283" s="550">
        <f>IF(A283="SERVIÇO",VLOOKUP(B283,SERVIÇOS!$A$6:$D$7697,4,0),IF(A283="INSUMO",VLOOKUP(B283,INSUMOS!$A$6:$D$4845,4,0),IF(A283="COTAÇÃO",VLOOKUP(B283,'014-22-cotação'!$A$9:$I$138,3,0),IF(A283="AUX",VLOOKUP('014-22-CCU''s'!B283,'014-22-CCU''s AUX'!$B$1:$H$130,7,0)))))</f>
        <v>93.16</v>
      </c>
      <c r="H283" s="561">
        <f t="shared" si="29"/>
        <v>372.64</v>
      </c>
      <c r="J283" s="477"/>
      <c r="S283" s="478"/>
      <c r="T283" s="479"/>
    </row>
    <row r="284" spans="1:20" s="213" customFormat="1" ht="12.75" x14ac:dyDescent="0.25">
      <c r="A284" s="199"/>
      <c r="B284" s="207" t="s">
        <v>109</v>
      </c>
      <c r="C284" s="184" t="s">
        <v>4495</v>
      </c>
      <c r="D284" s="270"/>
      <c r="E284" s="270"/>
      <c r="F284" s="270"/>
      <c r="G284" s="270"/>
      <c r="H284" s="271"/>
      <c r="J284" s="83"/>
      <c r="S284" s="331"/>
      <c r="T284" s="342"/>
    </row>
    <row r="285" spans="1:20" s="399" customFormat="1" ht="12.75" x14ac:dyDescent="0.25">
      <c r="A285" s="398"/>
      <c r="B285" s="208"/>
      <c r="C285" s="175"/>
      <c r="D285" s="176"/>
      <c r="E285" s="176"/>
      <c r="F285" s="176"/>
      <c r="G285" s="176"/>
      <c r="H285" s="176"/>
      <c r="J285" s="401"/>
      <c r="S285" s="402"/>
      <c r="T285" s="400"/>
    </row>
    <row r="286" spans="1:20" s="399" customFormat="1" ht="38.25" x14ac:dyDescent="0.25">
      <c r="A286" s="398" t="s">
        <v>1120</v>
      </c>
      <c r="B286" s="263" t="s">
        <v>3473</v>
      </c>
      <c r="C286" s="177" t="s">
        <v>4501</v>
      </c>
      <c r="D286" s="178" t="s">
        <v>101</v>
      </c>
      <c r="E286" s="178" t="s">
        <v>1104</v>
      </c>
      <c r="F286" s="179"/>
      <c r="G286" s="180"/>
      <c r="H286" s="181">
        <f>SUM(H287:H289)</f>
        <v>960.84</v>
      </c>
      <c r="I286" s="399" t="s">
        <v>12742</v>
      </c>
      <c r="J286" s="408"/>
      <c r="S286" s="402"/>
      <c r="T286" s="400"/>
    </row>
    <row r="287" spans="1:20" s="476" customFormat="1" ht="25.5" x14ac:dyDescent="0.25">
      <c r="A287" s="475" t="s">
        <v>3416</v>
      </c>
      <c r="B287" s="207" t="s">
        <v>3450</v>
      </c>
      <c r="C287" s="548" t="str">
        <f>IF(A287="SERVIÇO",VLOOKUP(B287,SERVIÇOS!$A$6:$D$7697,2,0),IF(A287="INSUMO",VLOOKUP(B287,INSUMOS!$A$6:$D$4845,2,0),IF(A287="COTAÇÃO",VLOOKUP(B287,'014-22-cotação'!$A$9:$I$138,2,0),IF(A287="AUX",VLOOKUP('014-22-CCU''s'!B287,'014-22-CCU''s AUX'!$B$1:$H$130,2,0)))))</f>
        <v>MESA MULTIUSO EM CONCRETO - CONFORME DETALHAMENTO DE PROJETO</v>
      </c>
      <c r="D287" s="549" t="str">
        <f>IF(A287="SERVIÇO",VLOOKUP(B287,SERVIÇOS!$A$6:$E$7697,5,0),IF(A287="INSUMO",VLOOKUP(B287,INSUMOS!$A$6:$E$4845,5,0),IF(A287="COTAÇÃO",VLOOKUP(B287,'014-22-cotação'!$A$9:$J$138,10,0),IF(A287="AUX",VLOOKUP('014-22-CCU''s'!B287,'014-22-CCU''s AUX'!$B$1:$H$130,3,0)))))</f>
        <v xml:space="preserve">SER.CG </v>
      </c>
      <c r="E287" s="549" t="str">
        <f>IF(A287="SERVIÇO",VLOOKUP(B287,SERVIÇOS!$A$6:$D$7697,3,0),IF(A287="INSUMO",VLOOKUP(B287,INSUMOS!$A$6:$D$4845,3,0),IF(A287="COTAÇÃO",VLOOKUP(B287,'014-22-cotação'!$A$9:$I$138,4,0),IF(A287="AUX",VLOOKUP('014-22-CCU''s'!B287,'014-22-CCU''s AUX'!$B$1:$H$130,4,0)))))</f>
        <v xml:space="preserve">UN </v>
      </c>
      <c r="F287" s="560">
        <v>1</v>
      </c>
      <c r="G287" s="550">
        <f>IF(A287="SERVIÇO",VLOOKUP(B287,SERVIÇOS!$A$6:$D$7697,4,0),IF(A287="INSUMO",VLOOKUP(B287,INSUMOS!$A$6:$D$4845,4,0),IF(A287="COTAÇÃO",VLOOKUP(B287,'014-22-cotação'!$A$9:$I$138,3,0),IF(A287="AUX",VLOOKUP('014-22-CCU''s'!B287,'014-22-CCU''s AUX'!$B$1:$H$130,7,0)))))</f>
        <v>591.91</v>
      </c>
      <c r="H287" s="561">
        <f t="shared" ref="H287:H289" si="30">TRUNC((F287*G287),2)</f>
        <v>591.91</v>
      </c>
      <c r="J287" s="477"/>
      <c r="S287" s="478"/>
      <c r="T287" s="479"/>
    </row>
    <row r="288" spans="1:20" s="399" customFormat="1" ht="38.25" x14ac:dyDescent="0.25">
      <c r="A288" s="398" t="s">
        <v>3416</v>
      </c>
      <c r="B288" s="207" t="s">
        <v>3451</v>
      </c>
      <c r="C288" s="548" t="str">
        <f>IF(A288="SERVIÇO",VLOOKUP(B288,SERVIÇOS!$A$6:$D$7697,2,0),IF(A288="INSUMO",VLOOKUP(B288,INSUMOS!$A$6:$D$4845,2,0),IF(A288="COTAÇÃO",VLOOKUP(B288,'014-22-cotação'!$A$9:$I$138,2,0),IF(A288="AUX",VLOOKUP('014-22-CCU''s'!B288,'014-22-CCU''s AUX'!$B$1:$H$130,2,0)))))</f>
        <v>REVESTIMENTO DE PISO COM MOSAICO DE MÁRMORE DUAS CORES, APLICADO COM ARGAMASSA INDUSTRIALIZADA AC-II</v>
      </c>
      <c r="D288" s="549" t="str">
        <f>IF(A288="SERVIÇO",VLOOKUP(B288,SERVIÇOS!$A$6:$E$7697,5,0),IF(A288="INSUMO",VLOOKUP(B288,INSUMOS!$A$6:$E$4845,5,0),IF(A288="COTAÇÃO",VLOOKUP(B288,'014-22-cotação'!$A$9:$J$138,10,0),IF(A288="AUX",VLOOKUP('014-22-CCU''s'!B288,'014-22-CCU''s AUX'!$B$1:$H$130,3,0)))))</f>
        <v xml:space="preserve">SER.CG </v>
      </c>
      <c r="E288" s="549" t="str">
        <f>IF(A288="SERVIÇO",VLOOKUP(B288,SERVIÇOS!$A$6:$D$7697,3,0),IF(A288="INSUMO",VLOOKUP(B288,INSUMOS!$A$6:$D$4845,3,0),IF(A288="COTAÇÃO",VLOOKUP(B288,'014-22-cotação'!$A$9:$I$138,4,0),IF(A288="AUX",VLOOKUP('014-22-CCU''s'!B288,'014-22-CCU''s AUX'!$B$1:$H$130,4,0)))))</f>
        <v>M2</v>
      </c>
      <c r="F288" s="562">
        <f>0.4*0.4</f>
        <v>0.16000000000000003</v>
      </c>
      <c r="G288" s="550">
        <f>IF(A288="SERVIÇO",VLOOKUP(B288,SERVIÇOS!$A$6:$D$7697,4,0),IF(A288="INSUMO",VLOOKUP(B288,INSUMOS!$A$6:$D$4845,4,0),IF(A288="COTAÇÃO",VLOOKUP(B288,'014-22-cotação'!$A$9:$I$138,3,0),IF(A288="AUX",VLOOKUP('014-22-CCU''s'!B288,'014-22-CCU''s AUX'!$B$1:$H$130,7,0)))))</f>
        <v>559.07000000000005</v>
      </c>
      <c r="H288" s="561">
        <f t="shared" si="30"/>
        <v>89.45</v>
      </c>
      <c r="J288" s="408"/>
      <c r="S288" s="402"/>
      <c r="T288" s="400"/>
    </row>
    <row r="289" spans="1:68" s="476" customFormat="1" ht="38.25" x14ac:dyDescent="0.25">
      <c r="A289" s="475" t="s">
        <v>3416</v>
      </c>
      <c r="B289" s="207" t="s">
        <v>3452</v>
      </c>
      <c r="C289" s="548" t="str">
        <f>IF(A289="SERVIÇO",VLOOKUP(B289,SERVIÇOS!$A$6:$D$7697,2,0),IF(A289="INSUMO",VLOOKUP(B289,INSUMOS!$A$6:$D$4845,2,0),IF(A289="COTAÇÃO",VLOOKUP(B289,'014-22-cotação'!$A$9:$I$138,2,0),IF(A289="AUX",VLOOKUP('014-22-CCU''s'!B289,'014-22-CCU''s AUX'!$B$1:$H$130,2,0)))))</f>
        <v>BANCO EM CONCRETO PARA MESA MULTIUSO - CONFORME DETALHAMENTO DE PROJETO</v>
      </c>
      <c r="D289" s="549" t="str">
        <f>IF(A289="SERVIÇO",VLOOKUP(B289,SERVIÇOS!$A$6:$E$7697,5,0),IF(A289="INSUMO",VLOOKUP(B289,INSUMOS!$A$6:$E$4845,5,0),IF(A289="COTAÇÃO",VLOOKUP(B289,'014-22-cotação'!$A$9:$J$138,10,0),IF(A289="AUX",VLOOKUP('014-22-CCU''s'!B289,'014-22-CCU''s AUX'!$B$1:$H$130,3,0)))))</f>
        <v xml:space="preserve">SER.CG </v>
      </c>
      <c r="E289" s="549" t="str">
        <f>IF(A289="SERVIÇO",VLOOKUP(B289,SERVIÇOS!$A$6:$D$7697,3,0),IF(A289="INSUMO",VLOOKUP(B289,INSUMOS!$A$6:$D$4845,3,0),IF(A289="COTAÇÃO",VLOOKUP(B289,'014-22-cotação'!$A$9:$I$138,4,0),IF(A289="AUX",VLOOKUP('014-22-CCU''s'!B289,'014-22-CCU''s AUX'!$B$1:$H$130,4,0)))))</f>
        <v xml:space="preserve">UN </v>
      </c>
      <c r="F289" s="562">
        <v>3</v>
      </c>
      <c r="G289" s="550">
        <f>IF(A289="SERVIÇO",VLOOKUP(B289,SERVIÇOS!$A$6:$D$7697,4,0),IF(A289="INSUMO",VLOOKUP(B289,INSUMOS!$A$6:$D$4845,4,0),IF(A289="COTAÇÃO",VLOOKUP(B289,'014-22-cotação'!$A$9:$I$138,3,0),IF(A289="AUX",VLOOKUP('014-22-CCU''s'!B289,'014-22-CCU''s AUX'!$B$1:$H$130,7,0)))))</f>
        <v>93.16</v>
      </c>
      <c r="H289" s="561">
        <f t="shared" si="30"/>
        <v>279.48</v>
      </c>
      <c r="J289" s="488"/>
      <c r="S289" s="478"/>
      <c r="T289" s="479"/>
    </row>
    <row r="290" spans="1:68" s="399" customFormat="1" ht="12.75" x14ac:dyDescent="0.25">
      <c r="A290" s="398"/>
      <c r="B290" s="207" t="s">
        <v>109</v>
      </c>
      <c r="C290" s="184" t="s">
        <v>4495</v>
      </c>
      <c r="D290" s="270"/>
      <c r="E290" s="270"/>
      <c r="F290" s="270"/>
      <c r="G290" s="270"/>
      <c r="H290" s="271"/>
      <c r="J290" s="408"/>
      <c r="S290" s="402"/>
      <c r="T290" s="400"/>
    </row>
    <row r="291" spans="1:68" s="399" customFormat="1" ht="12.75" x14ac:dyDescent="0.25">
      <c r="A291" s="398"/>
      <c r="B291" s="208"/>
      <c r="C291" s="175"/>
      <c r="D291" s="176"/>
      <c r="E291" s="176"/>
      <c r="F291" s="176"/>
      <c r="G291" s="176"/>
      <c r="H291" s="176"/>
      <c r="J291" s="408"/>
      <c r="S291" s="402"/>
      <c r="T291" s="400"/>
    </row>
    <row r="292" spans="1:68" s="347" customFormat="1" ht="89.25" x14ac:dyDescent="0.25">
      <c r="A292" s="264"/>
      <c r="B292" s="263" t="s">
        <v>3474</v>
      </c>
      <c r="C292" s="177" t="s">
        <v>4502</v>
      </c>
      <c r="D292" s="178" t="s">
        <v>101</v>
      </c>
      <c r="E292" s="178" t="s">
        <v>1104</v>
      </c>
      <c r="F292" s="179"/>
      <c r="G292" s="180"/>
      <c r="H292" s="181">
        <f>SUM(H293:H305)</f>
        <v>6716.4900000000016</v>
      </c>
      <c r="I292" s="347" t="s">
        <v>12742</v>
      </c>
      <c r="J292" s="491"/>
      <c r="S292" s="492"/>
      <c r="T292" s="493"/>
    </row>
    <row r="293" spans="1:68" s="213" customFormat="1" ht="51" x14ac:dyDescent="0.25">
      <c r="A293" s="199" t="s">
        <v>1120</v>
      </c>
      <c r="B293" s="207">
        <v>96523</v>
      </c>
      <c r="C293" s="548" t="str">
        <f>IF(A293="SERVIÇO",VLOOKUP(B293,SERVIÇOS!$A$6:$D$7697,2,0),IF(A293="INSUMO",VLOOKUP(B293,INSUMOS!$A$6:$D$4845,2,0),IF(A293="COTAÇÃO",VLOOKUP(B293,'014-22-cotação'!$A$9:$I$138,2,0),IF(A293="AUX",VLOOKUP('014-22-CCU''s'!B293,'014-22-CCU''s AUX'!$B$1:$H$130,2,0)))))</f>
        <v>ESCAVAÇÃO MANUAL PARA BLOCO DE COROAMENTO OU SAPATA (INCLUINDO ESCAVAÇÃO PARA COLOCAÇÃO DE FÔRMAS). AF_01/2024</v>
      </c>
      <c r="D293" s="549" t="str">
        <f>IF(A293="SERVIÇO",VLOOKUP(B293,SERVIÇOS!$A$6:$E$7697,5,0),IF(A293="INSUMO",VLOOKUP(B293,INSUMOS!$A$6:$E$4845,5,0),IF(A293="COTAÇÃO",VLOOKUP(B293,'014-22-cotação'!$A$9:$J$138,10,0),IF(A293="AUX",VLOOKUP('014-22-CCU''s'!B293,'014-22-CCU''s AUX'!$B$1:$H$130,3,0)))))</f>
        <v>SER.CG</v>
      </c>
      <c r="E293" s="549" t="str">
        <f>IF(A293="SERVIÇO",VLOOKUP(B293,SERVIÇOS!$A$6:$D$7697,3,0),IF(A293="INSUMO",VLOOKUP(B293,INSUMOS!$A$6:$D$4845,3,0),IF(A293="COTAÇÃO",VLOOKUP(B293,'014-22-cotação'!$A$9:$I$138,4,0),IF(A293="AUX",VLOOKUP('014-22-CCU''s'!B293,'014-22-CCU''s AUX'!$B$1:$H$130,4,0)))))</f>
        <v>M3</v>
      </c>
      <c r="F293" s="562">
        <f>0.75*0.4*1.1*4</f>
        <v>1.3200000000000003</v>
      </c>
      <c r="G293" s="550">
        <f>IF(A293="SERVIÇO",VLOOKUP(B293,SERVIÇOS!$A$6:$D$7697,4,0),IF(A293="INSUMO",VLOOKUP(B293,INSUMOS!$A$6:$D$4845,4,0),IF(A293="COTAÇÃO",VLOOKUP(B293,'014-22-cotação'!$A$9:$I$138,3,0),IF(A293="AUX",VLOOKUP('014-22-CCU''s'!B293,'014-22-CCU''s AUX'!$B$1:$H$130,7,0)))))</f>
        <v>103.18</v>
      </c>
      <c r="H293" s="561">
        <f>TRUNC((F293*G293),2)</f>
        <v>136.19</v>
      </c>
      <c r="J293" s="83"/>
      <c r="S293" s="331"/>
      <c r="T293" s="342"/>
    </row>
    <row r="294" spans="1:68" s="213" customFormat="1" ht="38.25" x14ac:dyDescent="0.25">
      <c r="A294" s="199" t="s">
        <v>1122</v>
      </c>
      <c r="B294" s="207">
        <v>4119</v>
      </c>
      <c r="C294" s="548" t="str">
        <f>IF(A294="SERVIÇO",VLOOKUP(B294,SERVIÇOS!$A$6:$D$7697,2,0),IF(A294="INSUMO",VLOOKUP(B294,INSUMOS!$A$6:$D$4845,2,0),IF(A294="COTAÇÃO",VLOOKUP(B294,'014-22-cotação'!$A$9:$I$138,2,0),IF(A294="AUX",VLOOKUP('014-22-CCU''s'!B294,'014-22-CCU''s AUX'!$B$1:$H$130,2,0)))))</f>
        <v xml:space="preserve">MADEIRA ROLICA TRATADA, D = 16 A 20 CM, H = 6,00 M, EM EUCALIPTO OU EQUIVALENTE DA REGIAO                                                                                                                                                                                                                                                                                                                                                                                                                 </v>
      </c>
      <c r="D294" s="549" t="str">
        <f>IF(A294="SERVIÇO",VLOOKUP(B294,SERVIÇOS!$A$6:$E$7697,5,0),IF(A294="INSUMO",VLOOKUP(B294,INSUMOS!$A$6:$E$4845,5,0),IF(A294="COTAÇÃO",VLOOKUP(B294,'014-22-cotação'!$A$9:$J$138,10,0),IF(A294="AUX",VLOOKUP('014-22-CCU''s'!B294,'014-22-CCU''s AUX'!$B$1:$H$130,3,0)))))</f>
        <v>MAT.</v>
      </c>
      <c r="E294" s="549" t="str">
        <f>IF(A294="SERVIÇO",VLOOKUP(B294,SERVIÇOS!$A$6:$D$7697,3,0),IF(A294="INSUMO",VLOOKUP(B294,INSUMOS!$A$6:$D$4845,3,0),IF(A294="COTAÇÃO",VLOOKUP(B294,'014-22-cotação'!$A$9:$I$138,4,0),IF(A294="AUX",VLOOKUP('014-22-CCU''s'!B294,'014-22-CCU''s AUX'!$B$1:$H$130,4,0)))))</f>
        <v xml:space="preserve">M     </v>
      </c>
      <c r="F294" s="562">
        <f>4*8</f>
        <v>32</v>
      </c>
      <c r="G294" s="550">
        <f>IF(A294="SERVIÇO",VLOOKUP(B294,SERVIÇOS!$A$6:$D$7697,4,0),IF(A294="INSUMO",VLOOKUP(B294,INSUMOS!$A$6:$D$4845,4,0),IF(A294="COTAÇÃO",VLOOKUP(B294,'014-22-cotação'!$A$9:$I$138,3,0),IF(A294="AUX",VLOOKUP('014-22-CCU''s'!B294,'014-22-CCU''s AUX'!$B$1:$H$130,7,0)))))</f>
        <v>57.5</v>
      </c>
      <c r="H294" s="561">
        <f>TRUNC((F294*G294),2)</f>
        <v>1840</v>
      </c>
      <c r="J294" s="330"/>
      <c r="S294" s="331"/>
      <c r="T294" s="342"/>
    </row>
    <row r="295" spans="1:68" s="347" customFormat="1" ht="38.25" x14ac:dyDescent="0.25">
      <c r="A295" s="264" t="s">
        <v>3416</v>
      </c>
      <c r="B295" s="207" t="s">
        <v>3453</v>
      </c>
      <c r="C295" s="548" t="str">
        <f>IF(A295="SERVIÇO",VLOOKUP(B295,SERVIÇOS!$A$6:$D$7697,2,0),IF(A295="INSUMO",VLOOKUP(B295,INSUMOS!$A$6:$D$4845,2,0),IF(A295="COTAÇÃO",VLOOKUP(B295,'014-22-cotação'!$A$9:$I$138,2,0),IF(A295="AUX",VLOOKUP('014-22-CCU''s'!B295,'014-22-CCU''s AUX'!$B$1:$H$130,2,0)))))</f>
        <v>ASSENTAMENTO DE PEÇAS DE EUCALIPTO TRATADO, D=19 A 22CM PARA CONFECÇÃO DE PERGOLADO</v>
      </c>
      <c r="D295" s="549" t="str">
        <f>IF(A295="SERVIÇO",VLOOKUP(B295,SERVIÇOS!$A$6:$E$7697,5,0),IF(A295="INSUMO",VLOOKUP(B295,INSUMOS!$A$6:$E$4845,5,0),IF(A295="COTAÇÃO",VLOOKUP(B295,'014-22-cotação'!$A$9:$J$138,10,0),IF(A295="AUX",VLOOKUP('014-22-CCU''s'!B295,'014-22-CCU''s AUX'!$B$1:$H$130,3,0)))))</f>
        <v xml:space="preserve">SER.CG </v>
      </c>
      <c r="E295" s="549" t="str">
        <f>IF(A295="SERVIÇO",VLOOKUP(B295,SERVIÇOS!$A$6:$D$7697,3,0),IF(A295="INSUMO",VLOOKUP(B295,INSUMOS!$A$6:$D$4845,3,0),IF(A295="COTAÇÃO",VLOOKUP(B295,'014-22-cotação'!$A$9:$I$138,4,0),IF(A295="AUX",VLOOKUP('014-22-CCU''s'!B295,'014-22-CCU''s AUX'!$B$1:$H$130,4,0)))))</f>
        <v>M</v>
      </c>
      <c r="F295" s="562">
        <f>4*8</f>
        <v>32</v>
      </c>
      <c r="G295" s="550">
        <f>IF(A295="SERVIÇO",VLOOKUP(B295,SERVIÇOS!$A$6:$D$7697,4,0),IF(A295="INSUMO",VLOOKUP(B295,INSUMOS!$A$6:$D$4845,4,0),IF(A295="COTAÇÃO",VLOOKUP(B295,'014-22-cotação'!$A$9:$I$138,3,0),IF(A295="AUX",VLOOKUP('014-22-CCU''s'!B295,'014-22-CCU''s AUX'!$B$1:$H$130,7,0)))))</f>
        <v>38.6</v>
      </c>
      <c r="H295" s="561">
        <f>TRUNC((F295*G295),2)</f>
        <v>1235.2</v>
      </c>
      <c r="I295" s="213"/>
      <c r="J295" s="330"/>
      <c r="K295" s="213"/>
      <c r="L295" s="213"/>
      <c r="M295" s="213"/>
      <c r="N295" s="213"/>
      <c r="O295" s="213"/>
      <c r="P295" s="213"/>
      <c r="Q295" s="213"/>
      <c r="R295" s="213"/>
      <c r="S295" s="331"/>
      <c r="T295" s="342"/>
      <c r="U295" s="213"/>
      <c r="V295" s="213"/>
      <c r="W295" s="213"/>
      <c r="X295" s="213"/>
      <c r="Y295" s="213"/>
      <c r="Z295" s="213"/>
      <c r="AA295" s="213"/>
      <c r="AB295" s="213"/>
      <c r="AC295" s="213"/>
      <c r="AD295" s="213"/>
      <c r="AE295" s="213"/>
      <c r="AF295" s="213"/>
      <c r="AG295" s="213"/>
      <c r="AH295" s="213"/>
      <c r="AI295" s="213"/>
      <c r="AJ295" s="213"/>
      <c r="AK295" s="213"/>
      <c r="AL295" s="213"/>
      <c r="AM295" s="213"/>
      <c r="AN295" s="213"/>
      <c r="AO295" s="213"/>
      <c r="AP295" s="213"/>
      <c r="AQ295" s="213"/>
      <c r="AR295" s="213"/>
      <c r="AS295" s="213"/>
      <c r="AT295" s="213"/>
      <c r="AU295" s="213"/>
      <c r="AV295" s="213"/>
      <c r="AW295" s="213"/>
      <c r="AX295" s="213"/>
      <c r="AY295" s="213"/>
      <c r="AZ295" s="213"/>
      <c r="BA295" s="213"/>
      <c r="BB295" s="213"/>
      <c r="BC295" s="213"/>
      <c r="BD295" s="213"/>
      <c r="BE295" s="213"/>
      <c r="BF295" s="213"/>
      <c r="BG295" s="213"/>
      <c r="BH295" s="213"/>
      <c r="BI295" s="213"/>
      <c r="BJ295" s="213"/>
      <c r="BK295" s="213"/>
      <c r="BL295" s="213"/>
      <c r="BM295" s="213"/>
      <c r="BN295" s="213"/>
      <c r="BO295" s="213"/>
      <c r="BP295" s="213"/>
    </row>
    <row r="296" spans="1:68" s="399" customFormat="1" ht="51" x14ac:dyDescent="0.25">
      <c r="A296" s="398" t="s">
        <v>1120</v>
      </c>
      <c r="B296" s="207">
        <v>94965</v>
      </c>
      <c r="C296" s="548" t="str">
        <f>IF(A296="SERVIÇO",VLOOKUP(B296,SERVIÇOS!$A$6:$D$7697,2,0),IF(A296="INSUMO",VLOOKUP(B296,INSUMOS!$A$6:$D$4845,2,0),IF(A296="COTAÇÃO",VLOOKUP(B296,'014-22-cotação'!$A$9:$I$138,2,0),IF(A296="AUX",VLOOKUP('014-22-CCU''s'!B296,'014-22-CCU''s AUX'!$B$1:$H$130,2,0)))))</f>
        <v>CONCRETO FCK = 25MPA, TRAÇO 1:2,3:2,7 (EM MASSA SECA DE CIMENTO/ AREIA MÉDIA/ BRITA 1) - PREPARO MECÂNICO COM BETONEIRA 400 L. AF_05/2021</v>
      </c>
      <c r="D296" s="549" t="str">
        <f>IF(A296="SERVIÇO",VLOOKUP(B296,SERVIÇOS!$A$6:$E$7697,5,0),IF(A296="INSUMO",VLOOKUP(B296,INSUMOS!$A$6:$E$4845,5,0),IF(A296="COTAÇÃO",VLOOKUP(B296,'014-22-cotação'!$A$9:$J$138,10,0),IF(A296="AUX",VLOOKUP('014-22-CCU''s'!B296,'014-22-CCU''s AUX'!$B$1:$H$130,3,0)))))</f>
        <v>SER.CG</v>
      </c>
      <c r="E296" s="549" t="str">
        <f>IF(A296="SERVIÇO",VLOOKUP(B296,SERVIÇOS!$A$6:$D$7697,3,0),IF(A296="INSUMO",VLOOKUP(B296,INSUMOS!$A$6:$D$4845,3,0),IF(A296="COTAÇÃO",VLOOKUP(B296,'014-22-cotação'!$A$9:$I$138,4,0),IF(A296="AUX",VLOOKUP('014-22-CCU''s'!B296,'014-22-CCU''s AUX'!$B$1:$H$130,4,0)))))</f>
        <v>M3</v>
      </c>
      <c r="F296" s="562">
        <f>F293-(PI()*(0.1^2)*8)</f>
        <v>1.0686725877128169</v>
      </c>
      <c r="G296" s="550">
        <f>IF(A296="SERVIÇO",VLOOKUP(B296,SERVIÇOS!$A$6:$D$7697,4,0),IF(A296="INSUMO",VLOOKUP(B296,INSUMOS!$A$6:$D$4845,4,0),IF(A296="COTAÇÃO",VLOOKUP(B296,'014-22-cotação'!$A$9:$I$138,3,0),IF(A296="AUX",VLOOKUP('014-22-CCU''s'!B296,'014-22-CCU''s AUX'!$B$1:$H$130,7,0)))))</f>
        <v>575.24</v>
      </c>
      <c r="H296" s="561">
        <f t="shared" ref="H296:H297" si="31">TRUNC((F296*G296),2)</f>
        <v>614.74</v>
      </c>
      <c r="J296" s="401"/>
      <c r="S296" s="402"/>
      <c r="T296" s="400"/>
    </row>
    <row r="297" spans="1:68" s="476" customFormat="1" ht="38.25" x14ac:dyDescent="0.25">
      <c r="A297" s="475" t="s">
        <v>1120</v>
      </c>
      <c r="B297" s="207">
        <v>103670</v>
      </c>
      <c r="C297" s="548" t="str">
        <f>IF(A297="SERVIÇO",VLOOKUP(B297,SERVIÇOS!$A$6:$D$7697,2,0),IF(A297="INSUMO",VLOOKUP(B297,INSUMOS!$A$6:$D$4845,2,0),IF(A297="COTAÇÃO",VLOOKUP(B297,'014-22-cotação'!$A$9:$I$138,2,0),IF(A297="AUX",VLOOKUP('014-22-CCU''s'!B297,'014-22-CCU''s AUX'!$B$1:$H$130,2,0)))))</f>
        <v>LANÇAMENTO COM USO DE BALDES, ADENSAMENTO E ACABAMENTO DE CONCRETO EM ESTRUTURAS. AF_02/2022</v>
      </c>
      <c r="D297" s="549" t="str">
        <f>IF(A297="SERVIÇO",VLOOKUP(B297,SERVIÇOS!$A$6:$E$7697,5,0),IF(A297="INSUMO",VLOOKUP(B297,INSUMOS!$A$6:$E$4845,5,0),IF(A297="COTAÇÃO",VLOOKUP(B297,'014-22-cotação'!$A$9:$J$138,10,0),IF(A297="AUX",VLOOKUP('014-22-CCU''s'!B297,'014-22-CCU''s AUX'!$B$1:$H$130,3,0)))))</f>
        <v>SER.CG</v>
      </c>
      <c r="E297" s="549" t="str">
        <f>IF(A297="SERVIÇO",VLOOKUP(B297,SERVIÇOS!$A$6:$D$7697,3,0),IF(A297="INSUMO",VLOOKUP(B297,INSUMOS!$A$6:$D$4845,3,0),IF(A297="COTAÇÃO",VLOOKUP(B297,'014-22-cotação'!$A$9:$I$138,4,0),IF(A297="AUX",VLOOKUP('014-22-CCU''s'!B297,'014-22-CCU''s AUX'!$B$1:$H$130,4,0)))))</f>
        <v>M3</v>
      </c>
      <c r="F297" s="562">
        <f>F296</f>
        <v>1.0686725877128169</v>
      </c>
      <c r="G297" s="550">
        <f>IF(A297="SERVIÇO",VLOOKUP(B297,SERVIÇOS!$A$6:$D$7697,4,0),IF(A297="INSUMO",VLOOKUP(B297,INSUMOS!$A$6:$D$4845,4,0),IF(A297="COTAÇÃO",VLOOKUP(B297,'014-22-cotação'!$A$9:$I$138,3,0),IF(A297="AUX",VLOOKUP('014-22-CCU''s'!B297,'014-22-CCU''s AUX'!$B$1:$H$130,7,0)))))</f>
        <v>326.58999999999997</v>
      </c>
      <c r="H297" s="561">
        <f t="shared" si="31"/>
        <v>349.01</v>
      </c>
      <c r="J297" s="489"/>
      <c r="K297" s="490"/>
      <c r="S297" s="478"/>
      <c r="T297" s="479"/>
    </row>
    <row r="298" spans="1:68" s="399" customFormat="1" ht="38.25" x14ac:dyDescent="0.25">
      <c r="A298" s="398" t="s">
        <v>1122</v>
      </c>
      <c r="B298" s="207">
        <v>4115</v>
      </c>
      <c r="C298" s="548" t="str">
        <f>IF(A298="SERVIÇO",VLOOKUP(B298,SERVIÇOS!$A$6:$D$7697,2,0),IF(A298="INSUMO",VLOOKUP(B298,INSUMOS!$A$6:$D$4845,2,0),IF(A298="COTAÇÃO",VLOOKUP(B298,'014-22-cotação'!$A$9:$I$138,2,0),IF(A298="AUX",VLOOKUP('014-22-CCU''s'!B298,'014-22-CCU''s AUX'!$B$1:$H$130,2,0)))))</f>
        <v xml:space="preserve">MADEIRA ROLICA TRATADA, D = 12 A 15 CM, H = 3,00 M, EM EUCALIPTO OU EQUIVALENTE DA REGIAO                                                                                                                                                                                                                                                                                                                                                                                                                 </v>
      </c>
      <c r="D298" s="549" t="str">
        <f>IF(A298="SERVIÇO",VLOOKUP(B298,SERVIÇOS!$A$6:$E$7697,5,0),IF(A298="INSUMO",VLOOKUP(B298,INSUMOS!$A$6:$E$4845,5,0),IF(A298="COTAÇÃO",VLOOKUP(B298,'014-22-cotação'!$A$9:$J$138,10,0),IF(A298="AUX",VLOOKUP('014-22-CCU''s'!B298,'014-22-CCU''s AUX'!$B$1:$H$130,3,0)))))</f>
        <v>MAT.</v>
      </c>
      <c r="E298" s="549" t="str">
        <f>IF(A298="SERVIÇO",VLOOKUP(B298,SERVIÇOS!$A$6:$D$7697,3,0),IF(A298="INSUMO",VLOOKUP(B298,INSUMOS!$A$6:$D$4845,3,0),IF(A298="COTAÇÃO",VLOOKUP(B298,'014-22-cotação'!$A$9:$I$138,4,0),IF(A298="AUX",VLOOKUP('014-22-CCU''s'!B298,'014-22-CCU''s AUX'!$B$1:$H$130,4,0)))))</f>
        <v xml:space="preserve">M     </v>
      </c>
      <c r="F298" s="562">
        <v>12</v>
      </c>
      <c r="G298" s="550">
        <f>IF(A298="SERVIÇO",VLOOKUP(B298,SERVIÇOS!$A$6:$D$7697,4,0),IF(A298="INSUMO",VLOOKUP(B298,INSUMOS!$A$6:$D$4845,4,0),IF(A298="COTAÇÃO",VLOOKUP(B298,'014-22-cotação'!$A$9:$I$138,3,0),IF(A298="AUX",VLOOKUP('014-22-CCU''s'!B298,'014-22-CCU''s AUX'!$B$1:$H$130,7,0)))))</f>
        <v>28.47</v>
      </c>
      <c r="H298" s="561">
        <f t="shared" ref="H298:H305" si="32">TRUNC((F298*G298),2)</f>
        <v>341.64</v>
      </c>
      <c r="J298" s="407"/>
      <c r="S298" s="402"/>
      <c r="T298" s="400"/>
    </row>
    <row r="299" spans="1:68" s="399" customFormat="1" ht="38.25" x14ac:dyDescent="0.25">
      <c r="A299" s="398" t="s">
        <v>3416</v>
      </c>
      <c r="B299" s="207" t="s">
        <v>3454</v>
      </c>
      <c r="C299" s="548" t="str">
        <f>IF(A299="SERVIÇO",VLOOKUP(B299,SERVIÇOS!$A$6:$D$7697,2,0),IF(A299="INSUMO",VLOOKUP(B299,INSUMOS!$A$6:$D$4845,2,0),IF(A299="COTAÇÃO",VLOOKUP(B299,'014-22-cotação'!$A$9:$I$138,2,0),IF(A299="AUX",VLOOKUP('014-22-CCU''s'!B299,'014-22-CCU''s AUX'!$B$1:$H$130,2,0)))))</f>
        <v>ASSENTAMENTO DE PEÇAS DE EUCALIPTO TRATADO, D=13 A 16CM PARA CONFECÇÃO DE PERGOLADO</v>
      </c>
      <c r="D299" s="549" t="str">
        <f>IF(A299="SERVIÇO",VLOOKUP(B299,SERVIÇOS!$A$6:$E$7697,5,0),IF(A299="INSUMO",VLOOKUP(B299,INSUMOS!$A$6:$E$4845,5,0),IF(A299="COTAÇÃO",VLOOKUP(B299,'014-22-cotação'!$A$9:$J$138,10,0),IF(A299="AUX",VLOOKUP('014-22-CCU''s'!B299,'014-22-CCU''s AUX'!$B$1:$H$130,3,0)))))</f>
        <v xml:space="preserve">SER.CG </v>
      </c>
      <c r="E299" s="549" t="str">
        <f>IF(A299="SERVIÇO",VLOOKUP(B299,SERVIÇOS!$A$6:$D$7697,3,0),IF(A299="INSUMO",VLOOKUP(B299,INSUMOS!$A$6:$D$4845,3,0),IF(A299="COTAÇÃO",VLOOKUP(B299,'014-22-cotação'!$A$9:$I$138,4,0),IF(A299="AUX",VLOOKUP('014-22-CCU''s'!B299,'014-22-CCU''s AUX'!$B$1:$H$130,4,0)))))</f>
        <v>M</v>
      </c>
      <c r="F299" s="562">
        <v>12</v>
      </c>
      <c r="G299" s="550">
        <f>IF(A299="SERVIÇO",VLOOKUP(B299,SERVIÇOS!$A$6:$D$7697,4,0),IF(A299="INSUMO",VLOOKUP(B299,INSUMOS!$A$6:$D$4845,4,0),IF(A299="COTAÇÃO",VLOOKUP(B299,'014-22-cotação'!$A$9:$I$138,3,0),IF(A299="AUX",VLOOKUP('014-22-CCU''s'!B299,'014-22-CCU''s AUX'!$B$1:$H$130,7,0)))))</f>
        <v>27.78</v>
      </c>
      <c r="H299" s="561">
        <f t="shared" si="32"/>
        <v>333.36</v>
      </c>
      <c r="J299" s="407"/>
      <c r="K299" s="412"/>
      <c r="S299" s="402"/>
      <c r="T299" s="400"/>
    </row>
    <row r="300" spans="1:68" s="399" customFormat="1" ht="12.75" x14ac:dyDescent="0.25">
      <c r="A300" s="398" t="s">
        <v>12</v>
      </c>
      <c r="B300" s="207" t="s">
        <v>4507</v>
      </c>
      <c r="C300" s="548" t="str">
        <f>IF(A300="SERVIÇO",VLOOKUP(B300,SERVIÇOS!$A$6:$D$7697,2,0),IF(A300="INSUMO",VLOOKUP(B300,INSUMOS!$A$6:$D$4845,2,0),IF(A300="COTAÇÃO",VLOOKUP(B300,'014-22-cotação'!$A$9:$I$138,2,0),IF(A300="AUX",VLOOKUP('014-22-CCU''s'!B300,'014-22-CCU''s AUX'!$B$1:$H$130,2,0)))))</f>
        <v>BARRA ROSQUEADA ZINCADA Ø 1/2"</v>
      </c>
      <c r="D300" s="549" t="str">
        <f>IF(A300="SERVIÇO",VLOOKUP(B300,SERVIÇOS!$A$6:$E$7697,5,0),IF(A300="INSUMO",VLOOKUP(B300,INSUMOS!$A$6:$E$4845,5,0),IF(A300="COTAÇÃO",VLOOKUP(B300,'014-22-cotação'!$A$9:$J$138,10,0),IF(A300="AUX",VLOOKUP('014-22-CCU''s'!B300,'014-22-CCU''s AUX'!$B$1:$H$130,3,0)))))</f>
        <v>MAT.</v>
      </c>
      <c r="E300" s="549" t="str">
        <f>IF(A300="SERVIÇO",VLOOKUP(B300,SERVIÇOS!$A$6:$D$7697,3,0),IF(A300="INSUMO",VLOOKUP(B300,INSUMOS!$A$6:$D$4845,3,0),IF(A300="COTAÇÃO",VLOOKUP(B300,'014-22-cotação'!$A$9:$I$138,4,0),IF(A300="AUX",VLOOKUP('014-22-CCU''s'!B300,'014-22-CCU''s AUX'!$B$1:$H$130,4,0)))))</f>
        <v>M</v>
      </c>
      <c r="F300" s="562">
        <f>0.53*4+14*0.3*2</f>
        <v>10.52</v>
      </c>
      <c r="G300" s="550">
        <f>IF(A300="SERVIÇO",VLOOKUP(B300,SERVIÇOS!$A$6:$D$7697,4,0),IF(A300="INSUMO",VLOOKUP(B300,INSUMOS!$A$6:$D$4845,4,0),IF(A300="COTAÇÃO",VLOOKUP(B300,'014-22-cotação'!$A$9:$I$138,3,0),IF(A300="AUX",VLOOKUP('014-22-CCU''s'!B300,'014-22-CCU''s AUX'!$B$1:$H$130,7,0)))))</f>
        <v>11.25</v>
      </c>
      <c r="H300" s="561">
        <f t="shared" si="32"/>
        <v>118.35</v>
      </c>
      <c r="J300" s="407"/>
      <c r="S300" s="402"/>
      <c r="T300" s="400"/>
    </row>
    <row r="301" spans="1:68" s="213" customFormat="1" ht="12.75" x14ac:dyDescent="0.25">
      <c r="A301" s="199" t="s">
        <v>1122</v>
      </c>
      <c r="B301" s="207">
        <v>4339</v>
      </c>
      <c r="C301" s="548" t="str">
        <f>IF(A301="SERVIÇO",VLOOKUP(B301,SERVIÇOS!$A$6:$D$7697,2,0),IF(A301="INSUMO",VLOOKUP(B301,INSUMOS!$A$6:$D$4845,2,0),IF(A301="COTAÇÃO",VLOOKUP(B301,'014-22-cotação'!$A$9:$I$138,2,0),IF(A301="AUX",VLOOKUP('014-22-CCU''s'!B301,'014-22-CCU''s AUX'!$B$1:$H$130,2,0)))))</f>
        <v xml:space="preserve">PORCA ZINCADA, SEXTAVADA, DIAMETRO 1/2"                                                                                                                                                                                                                                                                                                                                                                                                                                                                   </v>
      </c>
      <c r="D301" s="549" t="str">
        <f>IF(A301="SERVIÇO",VLOOKUP(B301,SERVIÇOS!$A$6:$E$7697,5,0),IF(A301="INSUMO",VLOOKUP(B301,INSUMOS!$A$6:$E$4845,5,0),IF(A301="COTAÇÃO",VLOOKUP(B301,'014-22-cotação'!$A$9:$J$138,10,0),IF(A301="AUX",VLOOKUP('014-22-CCU''s'!B301,'014-22-CCU''s AUX'!$B$1:$H$130,3,0)))))</f>
        <v>MAT.</v>
      </c>
      <c r="E301" s="549" t="str">
        <f>IF(A301="SERVIÇO",VLOOKUP(B301,SERVIÇOS!$A$6:$D$7697,3,0),IF(A301="INSUMO",VLOOKUP(B301,INSUMOS!$A$6:$D$4845,3,0),IF(A301="COTAÇÃO",VLOOKUP(B301,'014-22-cotação'!$A$9:$I$138,4,0),IF(A301="AUX",VLOOKUP('014-22-CCU''s'!B301,'014-22-CCU''s AUX'!$B$1:$H$130,4,0)))))</f>
        <v xml:space="preserve">UN    </v>
      </c>
      <c r="F301" s="562">
        <f>8+28</f>
        <v>36</v>
      </c>
      <c r="G301" s="550">
        <f>IF(A301="SERVIÇO",VLOOKUP(B301,SERVIÇOS!$A$6:$D$7697,4,0),IF(A301="INSUMO",VLOOKUP(B301,INSUMOS!$A$6:$D$4845,4,0),IF(A301="COTAÇÃO",VLOOKUP(B301,'014-22-cotação'!$A$9:$I$138,3,0),IF(A301="AUX",VLOOKUP('014-22-CCU''s'!B301,'014-22-CCU''s AUX'!$B$1:$H$130,7,0)))))</f>
        <v>0.6</v>
      </c>
      <c r="H301" s="561">
        <f t="shared" si="32"/>
        <v>21.6</v>
      </c>
      <c r="J301" s="330"/>
      <c r="S301" s="331"/>
      <c r="T301" s="342"/>
    </row>
    <row r="302" spans="1:68" s="213" customFormat="1" ht="12.75" x14ac:dyDescent="0.25">
      <c r="A302" s="199" t="s">
        <v>12</v>
      </c>
      <c r="B302" s="207" t="s">
        <v>3443</v>
      </c>
      <c r="C302" s="548" t="str">
        <f>IF(A302="SERVIÇO",VLOOKUP(B302,SERVIÇOS!$A$6:$D$7697,2,0),IF(A302="INSUMO",VLOOKUP(B302,INSUMOS!$A$6:$D$4845,2,0),IF(A302="COTAÇÃO",VLOOKUP(B302,'014-22-cotação'!$A$9:$I$138,2,0),IF(A302="AUX",VLOOKUP('014-22-CCU''s'!B302,'014-22-CCU''s AUX'!$B$1:$H$130,2,0)))))</f>
        <v>ARRUELA ZINCADA Ø 1/2"</v>
      </c>
      <c r="D302" s="549" t="str">
        <f>IF(A302="SERVIÇO",VLOOKUP(B302,SERVIÇOS!$A$6:$E$7697,5,0),IF(A302="INSUMO",VLOOKUP(B302,INSUMOS!$A$6:$E$4845,5,0),IF(A302="COTAÇÃO",VLOOKUP(B302,'014-22-cotação'!$A$9:$J$138,10,0),IF(A302="AUX",VLOOKUP('014-22-CCU''s'!B302,'014-22-CCU''s AUX'!$B$1:$H$130,3,0)))))</f>
        <v>MAT.</v>
      </c>
      <c r="E302" s="549" t="str">
        <f>IF(A302="SERVIÇO",VLOOKUP(B302,SERVIÇOS!$A$6:$D$7697,3,0),IF(A302="INSUMO",VLOOKUP(B302,INSUMOS!$A$6:$D$4845,3,0),IF(A302="COTAÇÃO",VLOOKUP(B302,'014-22-cotação'!$A$9:$I$138,4,0),IF(A302="AUX",VLOOKUP('014-22-CCU''s'!B302,'014-22-CCU''s AUX'!$B$1:$H$130,4,0)))))</f>
        <v>UN</v>
      </c>
      <c r="F302" s="562">
        <f>8+28</f>
        <v>36</v>
      </c>
      <c r="G302" s="550">
        <f>IF(A302="SERVIÇO",VLOOKUP(B302,SERVIÇOS!$A$6:$D$7697,4,0),IF(A302="INSUMO",VLOOKUP(B302,INSUMOS!$A$6:$D$4845,4,0),IF(A302="COTAÇÃO",VLOOKUP(B302,'014-22-cotação'!$A$9:$I$138,3,0),IF(A302="AUX",VLOOKUP('014-22-CCU''s'!B302,'014-22-CCU''s AUX'!$B$1:$H$130,7,0)))))</f>
        <v>0.41</v>
      </c>
      <c r="H302" s="561">
        <f t="shared" si="32"/>
        <v>14.76</v>
      </c>
      <c r="J302" s="330"/>
      <c r="S302" s="331"/>
      <c r="T302" s="342"/>
    </row>
    <row r="303" spans="1:68" s="347" customFormat="1" ht="38.25" x14ac:dyDescent="0.25">
      <c r="A303" s="264" t="s">
        <v>1122</v>
      </c>
      <c r="B303" s="207">
        <v>21138</v>
      </c>
      <c r="C303" s="548" t="str">
        <f>IF(A303="SERVIÇO",VLOOKUP(B303,SERVIÇOS!$A$6:$D$7697,2,0),IF(A303="INSUMO",VLOOKUP(B303,INSUMOS!$A$6:$D$4845,2,0),IF(A303="COTAÇÃO",VLOOKUP(B303,'014-22-cotação'!$A$9:$I$138,2,0),IF(A303="AUX",VLOOKUP('014-22-CCU''s'!B303,'014-22-CCU''s AUX'!$B$1:$H$130,2,0)))))</f>
        <v xml:space="preserve">MOURAO ROLICO DE MADEIRA TRATADA, D = 8 A 11 CM, H = 2,20 M, EM EUCALIPTO OU EQUIVALENTE DA REGIAO (PARA CERCA)                                                                                                                                                                                                                                                                                                                                                                                           </v>
      </c>
      <c r="D303" s="549" t="str">
        <f>IF(A303="SERVIÇO",VLOOKUP(B303,SERVIÇOS!$A$6:$E$7697,5,0),IF(A303="INSUMO",VLOOKUP(B303,INSUMOS!$A$6:$E$4845,5,0),IF(A303="COTAÇÃO",VLOOKUP(B303,'014-22-cotação'!$A$9:$J$138,10,0),IF(A303="AUX",VLOOKUP('014-22-CCU''s'!B303,'014-22-CCU''s AUX'!$B$1:$H$130,3,0)))))</f>
        <v>MAT.</v>
      </c>
      <c r="E303" s="549" t="str">
        <f>IF(A303="SERVIÇO",VLOOKUP(B303,SERVIÇOS!$A$6:$D$7697,3,0),IF(A303="INSUMO",VLOOKUP(B303,INSUMOS!$A$6:$D$4845,3,0),IF(A303="COTAÇÃO",VLOOKUP(B303,'014-22-cotação'!$A$9:$I$138,4,0),IF(A303="AUX",VLOOKUP('014-22-CCU''s'!B303,'014-22-CCU''s AUX'!$B$1:$H$130,4,0)))))</f>
        <v xml:space="preserve">M     </v>
      </c>
      <c r="F303" s="562">
        <f>4*14</f>
        <v>56</v>
      </c>
      <c r="G303" s="550">
        <f>IF(A303="SERVIÇO",VLOOKUP(B303,SERVIÇOS!$A$6:$D$7697,4,0),IF(A303="INSUMO",VLOOKUP(B303,INSUMOS!$A$6:$D$4845,4,0),IF(A303="COTAÇÃO",VLOOKUP(B303,'014-22-cotação'!$A$9:$I$138,3,0),IF(A303="AUX",VLOOKUP('014-22-CCU''s'!B303,'014-22-CCU''s AUX'!$B$1:$H$130,7,0)))))</f>
        <v>10.23</v>
      </c>
      <c r="H303" s="561">
        <f t="shared" si="32"/>
        <v>572.88</v>
      </c>
      <c r="I303" s="213"/>
      <c r="J303" s="330"/>
      <c r="K303" s="213"/>
      <c r="L303" s="213"/>
      <c r="M303" s="213"/>
      <c r="N303" s="213"/>
      <c r="O303" s="213"/>
      <c r="P303" s="213"/>
      <c r="Q303" s="213"/>
      <c r="R303" s="213"/>
      <c r="S303" s="331"/>
      <c r="T303" s="342"/>
      <c r="U303" s="213"/>
      <c r="V303" s="213"/>
      <c r="W303" s="213"/>
      <c r="X303" s="213"/>
      <c r="Y303" s="213"/>
      <c r="Z303" s="213"/>
      <c r="AA303" s="213"/>
      <c r="AB303" s="213"/>
      <c r="AC303" s="213"/>
      <c r="AD303" s="213"/>
      <c r="AE303" s="213"/>
      <c r="AF303" s="213"/>
      <c r="AG303" s="213"/>
      <c r="AH303" s="213"/>
      <c r="AI303" s="213"/>
      <c r="AJ303" s="213"/>
      <c r="AK303" s="213"/>
      <c r="AL303" s="213"/>
      <c r="AM303" s="213"/>
      <c r="AN303" s="213"/>
      <c r="AO303" s="213"/>
      <c r="AP303" s="213"/>
      <c r="AQ303" s="213"/>
      <c r="AR303" s="213"/>
      <c r="AS303" s="213"/>
      <c r="AT303" s="213"/>
      <c r="AU303" s="213"/>
      <c r="AV303" s="213"/>
      <c r="AW303" s="213"/>
      <c r="AX303" s="213"/>
      <c r="AY303" s="213"/>
      <c r="AZ303" s="213"/>
      <c r="BA303" s="213"/>
      <c r="BB303" s="213"/>
      <c r="BC303" s="213"/>
      <c r="BD303" s="213"/>
      <c r="BE303" s="213"/>
      <c r="BF303" s="213"/>
      <c r="BG303" s="213"/>
      <c r="BH303" s="213"/>
      <c r="BI303" s="213"/>
      <c r="BJ303" s="213"/>
      <c r="BK303" s="213"/>
      <c r="BL303" s="213"/>
      <c r="BM303" s="213"/>
      <c r="BN303" s="213"/>
      <c r="BO303" s="213"/>
      <c r="BP303" s="213"/>
    </row>
    <row r="304" spans="1:68" s="399" customFormat="1" ht="38.25" x14ac:dyDescent="0.25">
      <c r="A304" s="398" t="s">
        <v>3416</v>
      </c>
      <c r="B304" s="207" t="s">
        <v>3455</v>
      </c>
      <c r="C304" s="548" t="str">
        <f>IF(A304="SERVIÇO",VLOOKUP(B304,SERVIÇOS!$A$6:$D$7697,2,0),IF(A304="INSUMO",VLOOKUP(B304,INSUMOS!$A$6:$D$4845,2,0),IF(A304="COTAÇÃO",VLOOKUP(B304,'014-22-cotação'!$A$9:$I$138,2,0),IF(A304="AUX",VLOOKUP('014-22-CCU''s'!B304,'014-22-CCU''s AUX'!$B$1:$H$130,2,0)))))</f>
        <v>ASSENTAMENTO DE PEÇAS DE EUCALIPTO TRATADO, D=10 A 13CM PARA CONFECÇÃO DE PERGOLADO</v>
      </c>
      <c r="D304" s="549" t="str">
        <f>IF(A304="SERVIÇO",VLOOKUP(B304,SERVIÇOS!$A$6:$E$7697,5,0),IF(A304="INSUMO",VLOOKUP(B304,INSUMOS!$A$6:$E$4845,5,0),IF(A304="COTAÇÃO",VLOOKUP(B304,'014-22-cotação'!$A$9:$J$138,10,0),IF(A304="AUX",VLOOKUP('014-22-CCU''s'!B304,'014-22-CCU''s AUX'!$B$1:$H$130,3,0)))))</f>
        <v xml:space="preserve">SER.CG </v>
      </c>
      <c r="E304" s="549" t="str">
        <f>IF(A304="SERVIÇO",VLOOKUP(B304,SERVIÇOS!$A$6:$D$7697,3,0),IF(A304="INSUMO",VLOOKUP(B304,INSUMOS!$A$6:$D$4845,3,0),IF(A304="COTAÇÃO",VLOOKUP(B304,'014-22-cotação'!$A$9:$I$138,4,0),IF(A304="AUX",VLOOKUP('014-22-CCU''s'!B304,'014-22-CCU''s AUX'!$B$1:$H$130,4,0)))))</f>
        <v>M</v>
      </c>
      <c r="F304" s="562">
        <f>4*14</f>
        <v>56</v>
      </c>
      <c r="G304" s="550">
        <f>IF(A304="SERVIÇO",VLOOKUP(B304,SERVIÇOS!$A$6:$D$7697,4,0),IF(A304="INSUMO",VLOOKUP(B304,INSUMOS!$A$6:$D$4845,4,0),IF(A304="COTAÇÃO",VLOOKUP(B304,'014-22-cotação'!$A$9:$I$138,3,0),IF(A304="AUX",VLOOKUP('014-22-CCU''s'!B304,'014-22-CCU''s AUX'!$B$1:$H$130,7,0)))))</f>
        <v>19.3</v>
      </c>
      <c r="H304" s="561">
        <f t="shared" si="32"/>
        <v>1080.8</v>
      </c>
      <c r="J304" s="401"/>
      <c r="S304" s="402"/>
      <c r="T304" s="400"/>
    </row>
    <row r="305" spans="1:68" s="399" customFormat="1" ht="38.25" x14ac:dyDescent="0.25">
      <c r="A305" s="398" t="s">
        <v>1122</v>
      </c>
      <c r="B305" s="207">
        <v>4304</v>
      </c>
      <c r="C305" s="548" t="str">
        <f>IF(A305="SERVIÇO",VLOOKUP(B305,SERVIÇOS!$A$6:$D$7697,2,0),IF(A305="INSUMO",VLOOKUP(B305,INSUMOS!$A$6:$D$4845,2,0),IF(A305="COTAÇÃO",VLOOKUP(B305,'014-22-cotação'!$A$9:$I$138,2,0),IF(A305="AUX",VLOOKUP('014-22-CCU''s'!B305,'014-22-CCU''s AUX'!$B$1:$H$130,2,0)))))</f>
        <v xml:space="preserve">PARAFUSO ZINCADO ROSCA SOBERBA, CABECA SEXTAVADA, 5/16" X 150 MM, PARA FIXACAO DE TELHA EM MADEIRA                                                                                                                                                                                                                                                                                                                                                                                                        </v>
      </c>
      <c r="D305" s="549" t="str">
        <f>IF(A305="SERVIÇO",VLOOKUP(B305,SERVIÇOS!$A$6:$E$7697,5,0),IF(A305="INSUMO",VLOOKUP(B305,INSUMOS!$A$6:$E$4845,5,0),IF(A305="COTAÇÃO",VLOOKUP(B305,'014-22-cotação'!$A$9:$J$138,10,0),IF(A305="AUX",VLOOKUP('014-22-CCU''s'!B305,'014-22-CCU''s AUX'!$B$1:$H$130,3,0)))))</f>
        <v>MAT.</v>
      </c>
      <c r="E305" s="549" t="str">
        <f>IF(A305="SERVIÇO",VLOOKUP(B305,SERVIÇOS!$A$6:$D$7697,3,0),IF(A305="INSUMO",VLOOKUP(B305,INSUMOS!$A$6:$D$4845,3,0),IF(A305="COTAÇÃO",VLOOKUP(B305,'014-22-cotação'!$A$9:$I$138,4,0),IF(A305="AUX",VLOOKUP('014-22-CCU''s'!B305,'014-22-CCU''s AUX'!$B$1:$H$130,4,0)))))</f>
        <v xml:space="preserve">UN    </v>
      </c>
      <c r="F305" s="562">
        <f>14*2</f>
        <v>28</v>
      </c>
      <c r="G305" s="550">
        <f>IF(A305="SERVIÇO",VLOOKUP(B305,SERVIÇOS!$A$6:$D$7697,4,0),IF(A305="INSUMO",VLOOKUP(B305,INSUMOS!$A$6:$D$4845,4,0),IF(A305="COTAÇÃO",VLOOKUP(B305,'014-22-cotação'!$A$9:$I$138,3,0),IF(A305="AUX",VLOOKUP('014-22-CCU''s'!B305,'014-22-CCU''s AUX'!$B$1:$H$130,7,0)))))</f>
        <v>2.0699999999999998</v>
      </c>
      <c r="H305" s="561">
        <f t="shared" si="32"/>
        <v>57.96</v>
      </c>
      <c r="J305" s="407"/>
      <c r="S305" s="402"/>
      <c r="T305" s="400"/>
    </row>
    <row r="306" spans="1:68" s="399" customFormat="1" ht="12.75" x14ac:dyDescent="0.25">
      <c r="A306" s="398"/>
      <c r="B306" s="207" t="s">
        <v>109</v>
      </c>
      <c r="C306" s="184" t="s">
        <v>4516</v>
      </c>
      <c r="D306" s="270"/>
      <c r="E306" s="270"/>
      <c r="F306" s="270"/>
      <c r="G306" s="270"/>
      <c r="H306" s="271"/>
      <c r="J306" s="407"/>
      <c r="S306" s="402"/>
      <c r="T306" s="400"/>
    </row>
    <row r="307" spans="1:68" s="399" customFormat="1" ht="12.75" x14ac:dyDescent="0.25">
      <c r="A307" s="398"/>
      <c r="B307" s="208"/>
      <c r="C307" s="175"/>
      <c r="D307" s="176"/>
      <c r="E307" s="176"/>
      <c r="F307" s="176"/>
      <c r="G307" s="176"/>
      <c r="H307" s="176"/>
      <c r="J307" s="407">
        <f>0.2*0.2*0.3*2</f>
        <v>2.4000000000000004E-2</v>
      </c>
      <c r="S307" s="402"/>
      <c r="T307" s="400"/>
    </row>
    <row r="308" spans="1:68" s="399" customFormat="1" ht="38.25" x14ac:dyDescent="0.25">
      <c r="A308" s="398"/>
      <c r="B308" s="263" t="s">
        <v>3475</v>
      </c>
      <c r="C308" s="177" t="s">
        <v>4548</v>
      </c>
      <c r="D308" s="178" t="s">
        <v>101</v>
      </c>
      <c r="E308" s="178" t="s">
        <v>1104</v>
      </c>
      <c r="F308" s="179"/>
      <c r="G308" s="180"/>
      <c r="H308" s="181">
        <f>ROUND(SUM(H309:H311),2)</f>
        <v>6493</v>
      </c>
      <c r="J308" s="401"/>
      <c r="S308" s="402"/>
      <c r="T308" s="400"/>
    </row>
    <row r="309" spans="1:68" s="213" customFormat="1" ht="63.75" x14ac:dyDescent="0.25">
      <c r="A309" s="199" t="s">
        <v>1122</v>
      </c>
      <c r="B309" s="207">
        <v>42430</v>
      </c>
      <c r="C309" s="548" t="str">
        <f>IF(A309="SERVIÇO",VLOOKUP(B309,SERVIÇOS!$A$6:$D$7697,2,0),IF(A309="INSUMO",VLOOKUP(B309,INSUMOS!$A$6:$D$4845,2,0),IF(A309="COTAÇÃO",VLOOKUP(B309,'014-22-cotação'!$A$9:$I$138,2,0),IF(A309="AUX",VLOOKUP('014-22-CCU''s'!B309,'014-22-CCU''s AUX'!$B$1:$H$130,2,0)))))</f>
        <v xml:space="preserve">MULTIEXERCITADOR COM SEIS FUNCOES, EM TUBO DE ACO CARBONO, PINTURA NO PROCESSO ELETROSTATICO - EQUIPAMENTO DE GINASTICA PARA ACADEMIA AO AR LIVRE / ACADEMIA DA TERCEIRA IDADE - ATI                                                                                                                                                                                                                                                                                                                      </v>
      </c>
      <c r="D309" s="549" t="str">
        <f>IF(A309="SERVIÇO",VLOOKUP(B309,SERVIÇOS!$A$6:$E$7697,5,0),IF(A309="INSUMO",VLOOKUP(B309,INSUMOS!$A$6:$E$4845,5,0),IF(A309="COTAÇÃO",VLOOKUP(B309,'014-22-cotação'!$A$9:$J$138,10,0),IF(A309="AUX",VLOOKUP('014-22-CCU''s'!B309,'014-22-CCU''s AUX'!$B$1:$H$130,3,0)))))</f>
        <v>MAT.</v>
      </c>
      <c r="E309" s="549" t="str">
        <f>IF(A309="SERVIÇO",VLOOKUP(B309,SERVIÇOS!$A$6:$D$7697,3,0),IF(A309="INSUMO",VLOOKUP(B309,INSUMOS!$A$6:$D$4845,3,0),IF(A309="COTAÇÃO",VLOOKUP(B309,'014-22-cotação'!$A$9:$I$138,4,0),IF(A309="AUX",VLOOKUP('014-22-CCU''s'!B309,'014-22-CCU''s AUX'!$B$1:$H$130,4,0)))))</f>
        <v xml:space="preserve">UN    </v>
      </c>
      <c r="F309" s="566">
        <v>1</v>
      </c>
      <c r="G309" s="550">
        <f>IF(A309="SERVIÇO",VLOOKUP(B309,SERVIÇOS!$A$6:$D$7697,4,0),IF(A309="INSUMO",VLOOKUP(B309,INSUMOS!$A$6:$D$4845,4,0),IF(A309="COTAÇÃO",VLOOKUP(B309,'014-22-cotação'!$A$9:$I$138,3,0),IF(A309="AUX",VLOOKUP('014-22-CCU''s'!B309,'014-22-CCU''s AUX'!$B$1:$H$130,7,0)))))</f>
        <v>6434.22</v>
      </c>
      <c r="H309" s="561">
        <f>TRUNC((F309*G309),2)</f>
        <v>6434.22</v>
      </c>
      <c r="J309" s="330"/>
      <c r="S309" s="331"/>
      <c r="T309" s="342"/>
    </row>
    <row r="310" spans="1:68" s="213" customFormat="1" ht="25.5" x14ac:dyDescent="0.25">
      <c r="A310" s="199" t="s">
        <v>1120</v>
      </c>
      <c r="B310" s="207">
        <v>88309</v>
      </c>
      <c r="C310" s="548" t="str">
        <f>IF(A310="SERVIÇO",VLOOKUP(B310,SERVIÇOS!$A$6:$D$7697,2,0),IF(A310="INSUMO",VLOOKUP(B310,INSUMOS!$A$6:$D$4845,2,0),IF(A310="COTAÇÃO",VLOOKUP(B310,'014-22-cotação'!$A$9:$I$138,2,0),IF(A310="AUX",VLOOKUP('014-22-CCU''s'!B310,'014-22-CCU''s AUX'!$B$1:$H$130,2,0)))))</f>
        <v>PEDREIRO COM ENCARGOS COMPLEMENTARES</v>
      </c>
      <c r="D310" s="549" t="str">
        <f>IF(A310="SERVIÇO",VLOOKUP(B310,SERVIÇOS!$A$6:$E$7697,5,0),IF(A310="INSUMO",VLOOKUP(B310,INSUMOS!$A$6:$E$4845,5,0),IF(A310="COTAÇÃO",VLOOKUP(B310,'014-22-cotação'!$A$9:$J$138,10,0),IF(A310="AUX",VLOOKUP('014-22-CCU''s'!B310,'014-22-CCU''s AUX'!$B$1:$H$130,3,0)))))</f>
        <v>M.O</v>
      </c>
      <c r="E310" s="549" t="str">
        <f>IF(A310="SERVIÇO",VLOOKUP(B310,SERVIÇOS!$A$6:$D$7697,3,0),IF(A310="INSUMO",VLOOKUP(B310,INSUMOS!$A$6:$D$4845,3,0),IF(A310="COTAÇÃO",VLOOKUP(B310,'014-22-cotação'!$A$9:$I$138,4,0),IF(A310="AUX",VLOOKUP('014-22-CCU''s'!B310,'014-22-CCU''s AUX'!$B$1:$H$130,4,0)))))</f>
        <v>H</v>
      </c>
      <c r="F310" s="566">
        <v>1.3735999999999999</v>
      </c>
      <c r="G310" s="550">
        <f>IF(A310="SERVIÇO",VLOOKUP(B310,SERVIÇOS!$A$6:$D$7697,4,0),IF(A310="INSUMO",VLOOKUP(B310,INSUMOS!$A$6:$D$4845,4,0),IF(A310="COTAÇÃO",VLOOKUP(B310,'014-22-cotação'!$A$9:$I$138,3,0),IF(A310="AUX",VLOOKUP('014-22-CCU''s'!B310,'014-22-CCU''s AUX'!$B$1:$H$130,7,0)))))</f>
        <v>31.1</v>
      </c>
      <c r="H310" s="561">
        <f>TRUNC((F310*G310),2)</f>
        <v>42.71</v>
      </c>
      <c r="J310" s="330"/>
      <c r="S310" s="331"/>
      <c r="T310" s="342"/>
    </row>
    <row r="311" spans="1:68" s="347" customFormat="1" ht="25.5" x14ac:dyDescent="0.25">
      <c r="A311" s="264" t="s">
        <v>1120</v>
      </c>
      <c r="B311" s="207">
        <v>88316</v>
      </c>
      <c r="C311" s="548" t="str">
        <f>IF(A311="SERVIÇO",VLOOKUP(B311,SERVIÇOS!$A$6:$D$7697,2,0),IF(A311="INSUMO",VLOOKUP(B311,INSUMOS!$A$6:$D$4845,2,0),IF(A311="COTAÇÃO",VLOOKUP(B311,'014-22-cotação'!$A$9:$I$138,2,0),IF(A311="AUX",VLOOKUP('014-22-CCU''s'!B311,'014-22-CCU''s AUX'!$B$1:$H$130,2,0)))))</f>
        <v>SERVENTE COM ENCARGOS COMPLEMENTARES</v>
      </c>
      <c r="D311" s="549" t="str">
        <f>IF(A311="SERVIÇO",VLOOKUP(B311,SERVIÇOS!$A$6:$E$7697,5,0),IF(A311="INSUMO",VLOOKUP(B311,INSUMOS!$A$6:$E$4845,5,0),IF(A311="COTAÇÃO",VLOOKUP(B311,'014-22-cotação'!$A$9:$J$138,10,0),IF(A311="AUX",VLOOKUP('014-22-CCU''s'!B311,'014-22-CCU''s AUX'!$B$1:$H$130,3,0)))))</f>
        <v>M.O</v>
      </c>
      <c r="E311" s="549" t="str">
        <f>IF(A311="SERVIÇO",VLOOKUP(B311,SERVIÇOS!$A$6:$D$7697,3,0),IF(A311="INSUMO",VLOOKUP(B311,INSUMOS!$A$6:$D$4845,3,0),IF(A311="COTAÇÃO",VLOOKUP(B311,'014-22-cotação'!$A$9:$I$138,4,0),IF(A311="AUX",VLOOKUP('014-22-CCU''s'!B311,'014-22-CCU''s AUX'!$B$1:$H$130,4,0)))))</f>
        <v>H</v>
      </c>
      <c r="F311" s="566">
        <v>0.68679999999999997</v>
      </c>
      <c r="G311" s="550">
        <f>IF(A311="SERVIÇO",VLOOKUP(B311,SERVIÇOS!$A$6:$D$7697,4,0),IF(A311="INSUMO",VLOOKUP(B311,INSUMOS!$A$6:$D$4845,4,0),IF(A311="COTAÇÃO",VLOOKUP(B311,'014-22-cotação'!$A$9:$I$138,3,0),IF(A311="AUX",VLOOKUP('014-22-CCU''s'!B311,'014-22-CCU''s AUX'!$B$1:$H$130,7,0)))))</f>
        <v>23.4</v>
      </c>
      <c r="H311" s="561">
        <f>TRUNC((F311*G311),2)</f>
        <v>16.07</v>
      </c>
      <c r="I311" s="213"/>
      <c r="J311" s="330"/>
      <c r="K311" s="213"/>
      <c r="L311" s="213"/>
      <c r="M311" s="213"/>
      <c r="N311" s="213"/>
      <c r="O311" s="213"/>
      <c r="P311" s="213"/>
      <c r="Q311" s="213"/>
      <c r="R311" s="213"/>
      <c r="S311" s="331"/>
      <c r="T311" s="342"/>
      <c r="U311" s="213"/>
      <c r="V311" s="213"/>
      <c r="W311" s="213"/>
      <c r="X311" s="213"/>
      <c r="Y311" s="213"/>
      <c r="Z311" s="213"/>
      <c r="AA311" s="213"/>
      <c r="AB311" s="213"/>
      <c r="AC311" s="213"/>
      <c r="AD311" s="213"/>
      <c r="AE311" s="213"/>
      <c r="AF311" s="213"/>
      <c r="AG311" s="213"/>
      <c r="AH311" s="213"/>
      <c r="AI311" s="213"/>
      <c r="AJ311" s="213"/>
      <c r="AK311" s="213"/>
      <c r="AL311" s="213"/>
      <c r="AM311" s="213"/>
      <c r="AN311" s="213"/>
      <c r="AO311" s="213"/>
      <c r="AP311" s="213"/>
      <c r="AQ311" s="213"/>
      <c r="AR311" s="213"/>
      <c r="AS311" s="213"/>
      <c r="AT311" s="213"/>
      <c r="AU311" s="213"/>
      <c r="AV311" s="213"/>
      <c r="AW311" s="213"/>
      <c r="AX311" s="213"/>
      <c r="AY311" s="213"/>
      <c r="AZ311" s="213"/>
      <c r="BA311" s="213"/>
      <c r="BB311" s="213"/>
      <c r="BC311" s="213"/>
      <c r="BD311" s="213"/>
      <c r="BE311" s="213"/>
      <c r="BF311" s="213"/>
      <c r="BG311" s="213"/>
      <c r="BH311" s="213"/>
      <c r="BI311" s="213"/>
      <c r="BJ311" s="213"/>
      <c r="BK311" s="213"/>
      <c r="BL311" s="213"/>
      <c r="BM311" s="213"/>
      <c r="BN311" s="213"/>
      <c r="BO311" s="213"/>
      <c r="BP311" s="213"/>
    </row>
    <row r="312" spans="1:68" s="418" customFormat="1" ht="12.75" x14ac:dyDescent="0.25">
      <c r="A312" s="417"/>
      <c r="B312" s="207" t="s">
        <v>109</v>
      </c>
      <c r="C312" s="382" t="s">
        <v>4547</v>
      </c>
      <c r="D312" s="383"/>
      <c r="E312" s="383"/>
      <c r="F312" s="383"/>
      <c r="G312" s="383"/>
      <c r="H312" s="384"/>
      <c r="J312" s="419"/>
      <c r="S312" s="420"/>
      <c r="T312" s="421"/>
    </row>
    <row r="313" spans="1:68" s="418" customFormat="1" ht="12.75" x14ac:dyDescent="0.25">
      <c r="A313" s="417"/>
      <c r="B313" s="208"/>
      <c r="C313" s="175"/>
      <c r="D313" s="176"/>
      <c r="E313" s="176"/>
      <c r="F313" s="176"/>
      <c r="G313" s="176"/>
      <c r="H313" s="176"/>
      <c r="J313" s="422"/>
      <c r="S313" s="420"/>
      <c r="T313" s="421"/>
    </row>
    <row r="314" spans="1:68" s="418" customFormat="1" ht="38.25" x14ac:dyDescent="0.25">
      <c r="A314" s="417"/>
      <c r="B314" s="263" t="s">
        <v>3476</v>
      </c>
      <c r="C314" s="177" t="s">
        <v>4549</v>
      </c>
      <c r="D314" s="178" t="s">
        <v>101</v>
      </c>
      <c r="E314" s="178" t="s">
        <v>1104</v>
      </c>
      <c r="F314" s="179"/>
      <c r="G314" s="180"/>
      <c r="H314" s="181">
        <f>ROUND(SUM(H315:H317),2)</f>
        <v>4126.78</v>
      </c>
      <c r="J314" s="422"/>
      <c r="S314" s="420"/>
      <c r="T314" s="421"/>
    </row>
    <row r="315" spans="1:68" s="418" customFormat="1" ht="25.5" x14ac:dyDescent="0.25">
      <c r="A315" s="417" t="s">
        <v>12</v>
      </c>
      <c r="B315" s="207" t="s">
        <v>3444</v>
      </c>
      <c r="C315" s="548" t="str">
        <f>IF(A315="SERVIÇO",VLOOKUP(B315,SERVIÇOS!$A$6:$D$7697,2,0),IF(A315="INSUMO",VLOOKUP(B315,INSUMOS!$A$6:$D$4845,2,0),IF(A315="COTAÇÃO",VLOOKUP(B315,'014-22-cotação'!$A$9:$I$138,2,0),IF(A315="AUX",VLOOKUP('014-22-CCU''s'!B315,'014-22-CCU''s AUX'!$B$1:$H$130,2,0)))))</f>
        <v>EQUIPAMENTO JOGO DE BARRAS - PCR - CONFORME ESPECIFICAÇÕES DE PROJETO.</v>
      </c>
      <c r="D315" s="549" t="str">
        <f>IF(A315="SERVIÇO",VLOOKUP(B315,SERVIÇOS!$A$6:$E$7697,5,0),IF(A315="INSUMO",VLOOKUP(B315,INSUMOS!$A$6:$E$4845,5,0),IF(A315="COTAÇÃO",VLOOKUP(B315,'014-22-cotação'!$A$9:$J$138,10,0),IF(A315="AUX",VLOOKUP('014-22-CCU''s'!B315,'014-22-CCU''s AUX'!$B$1:$H$130,3,0)))))</f>
        <v>MAT.</v>
      </c>
      <c r="E315" s="549" t="str">
        <f>IF(A315="SERVIÇO",VLOOKUP(B315,SERVIÇOS!$A$6:$D$7697,3,0),IF(A315="INSUMO",VLOOKUP(B315,INSUMOS!$A$6:$D$4845,3,0),IF(A315="COTAÇÃO",VLOOKUP(B315,'014-22-cotação'!$A$9:$I$138,4,0),IF(A315="AUX",VLOOKUP('014-22-CCU''s'!B315,'014-22-CCU''s AUX'!$B$1:$H$130,4,0)))))</f>
        <v>UN</v>
      </c>
      <c r="F315" s="566">
        <v>1</v>
      </c>
      <c r="G315" s="550">
        <f>IF(A315="SERVIÇO",VLOOKUP(B315,SERVIÇOS!$A$6:$D$7697,4,0),IF(A315="INSUMO",VLOOKUP(B315,INSUMOS!$A$6:$D$4845,4,0),IF(A315="COTAÇÃO",VLOOKUP(B315,'014-22-cotação'!$A$9:$I$138,3,0),IF(A315="AUX",VLOOKUP('014-22-CCU''s'!B315,'014-22-CCU''s AUX'!$B$1:$H$130,7,0)))))</f>
        <v>4067.9999999999995</v>
      </c>
      <c r="H315" s="561">
        <f>TRUNC((F315*G315),2)</f>
        <v>4068</v>
      </c>
      <c r="J315" s="422"/>
      <c r="S315" s="420"/>
      <c r="T315" s="421"/>
    </row>
    <row r="316" spans="1:68" s="418" customFormat="1" ht="25.5" x14ac:dyDescent="0.25">
      <c r="A316" s="417" t="s">
        <v>1120</v>
      </c>
      <c r="B316" s="207">
        <v>88309</v>
      </c>
      <c r="C316" s="548" t="str">
        <f>IF(A316="SERVIÇO",VLOOKUP(B316,SERVIÇOS!$A$6:$D$7697,2,0),IF(A316="INSUMO",VLOOKUP(B316,INSUMOS!$A$6:$D$4845,2,0),IF(A316="COTAÇÃO",VLOOKUP(B316,'014-22-cotação'!$A$9:$I$138,2,0),IF(A316="AUX",VLOOKUP('014-22-CCU''s'!B316,'014-22-CCU''s AUX'!$B$1:$H$130,2,0)))))</f>
        <v>PEDREIRO COM ENCARGOS COMPLEMENTARES</v>
      </c>
      <c r="D316" s="549" t="str">
        <f>IF(A316="SERVIÇO",VLOOKUP(B316,SERVIÇOS!$A$6:$E$7697,5,0),IF(A316="INSUMO",VLOOKUP(B316,INSUMOS!$A$6:$E$4845,5,0),IF(A316="COTAÇÃO",VLOOKUP(B316,'014-22-cotação'!$A$9:$J$138,10,0),IF(A316="AUX",VLOOKUP('014-22-CCU''s'!B316,'014-22-CCU''s AUX'!$B$1:$H$130,3,0)))))</f>
        <v>M.O</v>
      </c>
      <c r="E316" s="549" t="str">
        <f>IF(A316="SERVIÇO",VLOOKUP(B316,SERVIÇOS!$A$6:$D$7697,3,0),IF(A316="INSUMO",VLOOKUP(B316,INSUMOS!$A$6:$D$4845,3,0),IF(A316="COTAÇÃO",VLOOKUP(B316,'014-22-cotação'!$A$9:$I$138,4,0),IF(A316="AUX",VLOOKUP('014-22-CCU''s'!B316,'014-22-CCU''s AUX'!$B$1:$H$130,4,0)))))</f>
        <v>H</v>
      </c>
      <c r="F316" s="566">
        <v>1.3735999999999999</v>
      </c>
      <c r="G316" s="550">
        <f>IF(A316="SERVIÇO",VLOOKUP(B316,SERVIÇOS!$A$6:$D$7697,4,0),IF(A316="INSUMO",VLOOKUP(B316,INSUMOS!$A$6:$D$4845,4,0),IF(A316="COTAÇÃO",VLOOKUP(B316,'014-22-cotação'!$A$9:$I$138,3,0),IF(A316="AUX",VLOOKUP('014-22-CCU''s'!B316,'014-22-CCU''s AUX'!$B$1:$H$130,7,0)))))</f>
        <v>31.1</v>
      </c>
      <c r="H316" s="561">
        <f>TRUNC((F316*G316),2)</f>
        <v>42.71</v>
      </c>
      <c r="J316" s="419"/>
      <c r="S316" s="420"/>
      <c r="T316" s="421"/>
    </row>
    <row r="317" spans="1:68" s="213" customFormat="1" ht="25.5" x14ac:dyDescent="0.25">
      <c r="A317" s="199" t="s">
        <v>1120</v>
      </c>
      <c r="B317" s="207">
        <v>88316</v>
      </c>
      <c r="C317" s="548" t="str">
        <f>IF(A317="SERVIÇO",VLOOKUP(B317,SERVIÇOS!$A$6:$D$7697,2,0),IF(A317="INSUMO",VLOOKUP(B317,INSUMOS!$A$6:$D$4845,2,0),IF(A317="COTAÇÃO",VLOOKUP(B317,'014-22-cotação'!$A$9:$I$138,2,0),IF(A317="AUX",VLOOKUP('014-22-CCU''s'!B317,'014-22-CCU''s AUX'!$B$1:$H$130,2,0)))))</f>
        <v>SERVENTE COM ENCARGOS COMPLEMENTARES</v>
      </c>
      <c r="D317" s="549" t="str">
        <f>IF(A317="SERVIÇO",VLOOKUP(B317,SERVIÇOS!$A$6:$E$7697,5,0),IF(A317="INSUMO",VLOOKUP(B317,INSUMOS!$A$6:$E$4845,5,0),IF(A317="COTAÇÃO",VLOOKUP(B317,'014-22-cotação'!$A$9:$J$138,10,0),IF(A317="AUX",VLOOKUP('014-22-CCU''s'!B317,'014-22-CCU''s AUX'!$B$1:$H$130,3,0)))))</f>
        <v>M.O</v>
      </c>
      <c r="E317" s="549" t="str">
        <f>IF(A317="SERVIÇO",VLOOKUP(B317,SERVIÇOS!$A$6:$D$7697,3,0),IF(A317="INSUMO",VLOOKUP(B317,INSUMOS!$A$6:$D$4845,3,0),IF(A317="COTAÇÃO",VLOOKUP(B317,'014-22-cotação'!$A$9:$I$138,4,0),IF(A317="AUX",VLOOKUP('014-22-CCU''s'!B317,'014-22-CCU''s AUX'!$B$1:$H$130,4,0)))))</f>
        <v>H</v>
      </c>
      <c r="F317" s="566">
        <v>0.68679999999999997</v>
      </c>
      <c r="G317" s="550">
        <f>IF(A317="SERVIÇO",VLOOKUP(B317,SERVIÇOS!$A$6:$D$7697,4,0),IF(A317="INSUMO",VLOOKUP(B317,INSUMOS!$A$6:$D$4845,4,0),IF(A317="COTAÇÃO",VLOOKUP(B317,'014-22-cotação'!$A$9:$I$138,3,0),IF(A317="AUX",VLOOKUP('014-22-CCU''s'!B317,'014-22-CCU''s AUX'!$B$1:$H$130,7,0)))))</f>
        <v>23.4</v>
      </c>
      <c r="H317" s="561">
        <f>TRUNC((F317*G317),2)</f>
        <v>16.07</v>
      </c>
      <c r="J317" s="330"/>
      <c r="S317" s="331"/>
      <c r="T317" s="342"/>
    </row>
    <row r="318" spans="1:68" s="213" customFormat="1" ht="12.75" x14ac:dyDescent="0.25">
      <c r="A318" s="199"/>
      <c r="B318" s="207" t="s">
        <v>109</v>
      </c>
      <c r="C318" s="382" t="s">
        <v>4547</v>
      </c>
      <c r="D318" s="383"/>
      <c r="E318" s="383"/>
      <c r="F318" s="383"/>
      <c r="G318" s="383"/>
      <c r="H318" s="384"/>
      <c r="J318" s="330"/>
      <c r="S318" s="331"/>
      <c r="T318" s="342"/>
    </row>
    <row r="319" spans="1:68" s="347" customFormat="1" ht="12.75" x14ac:dyDescent="0.25">
      <c r="A319" s="264"/>
      <c r="B319" s="208"/>
      <c r="C319" s="175"/>
      <c r="D319" s="176"/>
      <c r="E319" s="176"/>
      <c r="F319" s="176"/>
      <c r="G319" s="176"/>
      <c r="H319" s="176"/>
      <c r="I319" s="213"/>
      <c r="J319" s="330"/>
      <c r="K319" s="213"/>
      <c r="L319" s="213"/>
      <c r="M319" s="213"/>
      <c r="N319" s="213"/>
      <c r="O319" s="213"/>
      <c r="P319" s="213"/>
      <c r="Q319" s="213"/>
      <c r="R319" s="213"/>
      <c r="S319" s="331"/>
      <c r="T319" s="342"/>
      <c r="U319" s="213"/>
      <c r="V319" s="213"/>
      <c r="W319" s="213"/>
      <c r="X319" s="213"/>
      <c r="Y319" s="213"/>
      <c r="Z319" s="213"/>
      <c r="AA319" s="213"/>
      <c r="AB319" s="213"/>
      <c r="AC319" s="213"/>
      <c r="AD319" s="213"/>
      <c r="AE319" s="213"/>
      <c r="AF319" s="213"/>
      <c r="AG319" s="213"/>
      <c r="AH319" s="213"/>
      <c r="AI319" s="213"/>
      <c r="AJ319" s="213"/>
      <c r="AK319" s="213"/>
      <c r="AL319" s="213"/>
      <c r="AM319" s="213"/>
      <c r="AN319" s="213"/>
      <c r="AO319" s="213"/>
      <c r="AP319" s="213"/>
      <c r="AQ319" s="213"/>
      <c r="AR319" s="213"/>
      <c r="AS319" s="213"/>
      <c r="AT319" s="213"/>
      <c r="AU319" s="213"/>
      <c r="AV319" s="213"/>
      <c r="AW319" s="213"/>
      <c r="AX319" s="213"/>
      <c r="AY319" s="213"/>
      <c r="AZ319" s="213"/>
      <c r="BA319" s="213"/>
      <c r="BB319" s="213"/>
      <c r="BC319" s="213"/>
      <c r="BD319" s="213"/>
      <c r="BE319" s="213"/>
      <c r="BF319" s="213"/>
      <c r="BG319" s="213"/>
      <c r="BH319" s="213"/>
      <c r="BI319" s="213"/>
      <c r="BJ319" s="213"/>
      <c r="BK319" s="213"/>
      <c r="BL319" s="213"/>
      <c r="BM319" s="213"/>
      <c r="BN319" s="213"/>
      <c r="BO319" s="213"/>
      <c r="BP319" s="213"/>
    </row>
    <row r="320" spans="1:68" s="418" customFormat="1" ht="38.25" x14ac:dyDescent="0.25">
      <c r="A320" s="417"/>
      <c r="B320" s="263" t="s">
        <v>3477</v>
      </c>
      <c r="C320" s="177" t="s">
        <v>4551</v>
      </c>
      <c r="D320" s="178" t="s">
        <v>101</v>
      </c>
      <c r="E320" s="178" t="s">
        <v>1104</v>
      </c>
      <c r="F320" s="179"/>
      <c r="G320" s="180"/>
      <c r="H320" s="181">
        <f>ROUND(SUM(H321:H323),2)</f>
        <v>3380.98</v>
      </c>
      <c r="J320" s="419"/>
      <c r="S320" s="420"/>
      <c r="T320" s="421"/>
    </row>
    <row r="321" spans="1:68" s="418" customFormat="1" ht="25.5" x14ac:dyDescent="0.25">
      <c r="A321" s="417" t="s">
        <v>12</v>
      </c>
      <c r="B321" s="207" t="s">
        <v>4553</v>
      </c>
      <c r="C321" s="548" t="str">
        <f>IF(A321="SERVIÇO",VLOOKUP(B321,SERVIÇOS!$A$6:$D$7697,2,0),IF(A321="INSUMO",VLOOKUP(B321,INSUMOS!$A$6:$D$4845,2,0),IF(A321="COTAÇÃO",VLOOKUP(B321,'014-22-cotação'!$A$9:$I$138,2,0),IF(A321="AUX",VLOOKUP('014-22-CCU''s'!B321,'014-22-CCU''s AUX'!$B$1:$H$130,2,0)))))</f>
        <v>EQUIPAMENTO BARRAS PARALELAS - PCR - CONFORME ESPECIFICAÇÕES DE PROJETO.</v>
      </c>
      <c r="D321" s="549" t="str">
        <f>IF(A321="SERVIÇO",VLOOKUP(B321,SERVIÇOS!$A$6:$E$7697,5,0),IF(A321="INSUMO",VLOOKUP(B321,INSUMOS!$A$6:$E$4845,5,0),IF(A321="COTAÇÃO",VLOOKUP(B321,'014-22-cotação'!$A$9:$J$138,10,0),IF(A321="AUX",VLOOKUP('014-22-CCU''s'!B321,'014-22-CCU''s AUX'!$B$1:$H$130,3,0)))))</f>
        <v>MAT.</v>
      </c>
      <c r="E321" s="549" t="str">
        <f>IF(A321="SERVIÇO",VLOOKUP(B321,SERVIÇOS!$A$6:$D$7697,3,0),IF(A321="INSUMO",VLOOKUP(B321,INSUMOS!$A$6:$D$4845,3,0),IF(A321="COTAÇÃO",VLOOKUP(B321,'014-22-cotação'!$A$9:$I$138,4,0),IF(A321="AUX",VLOOKUP('014-22-CCU''s'!B321,'014-22-CCU''s AUX'!$B$1:$H$130,4,0)))))</f>
        <v>UN</v>
      </c>
      <c r="F321" s="566">
        <v>1</v>
      </c>
      <c r="G321" s="550">
        <f>IF(A321="SERVIÇO",VLOOKUP(B321,SERVIÇOS!$A$6:$D$7697,4,0),IF(A321="INSUMO",VLOOKUP(B321,INSUMOS!$A$6:$D$4845,4,0),IF(A321="COTAÇÃO",VLOOKUP(B321,'014-22-cotação'!$A$9:$I$138,3,0),IF(A321="AUX",VLOOKUP('014-22-CCU''s'!B321,'014-22-CCU''s AUX'!$B$1:$H$130,7,0)))))</f>
        <v>3322.2</v>
      </c>
      <c r="H321" s="561">
        <f>TRUNC((F321*G321),2)</f>
        <v>3322.2</v>
      </c>
      <c r="J321" s="422"/>
      <c r="S321" s="420"/>
      <c r="T321" s="421"/>
    </row>
    <row r="322" spans="1:68" s="418" customFormat="1" ht="25.5" x14ac:dyDescent="0.25">
      <c r="A322" s="417" t="s">
        <v>1120</v>
      </c>
      <c r="B322" s="207">
        <v>88309</v>
      </c>
      <c r="C322" s="548" t="str">
        <f>IF(A322="SERVIÇO",VLOOKUP(B322,SERVIÇOS!$A$6:$D$7697,2,0),IF(A322="INSUMO",VLOOKUP(B322,INSUMOS!$A$6:$D$4845,2,0),IF(A322="COTAÇÃO",VLOOKUP(B322,'014-22-cotação'!$A$9:$I$138,2,0),IF(A322="AUX",VLOOKUP('014-22-CCU''s'!B322,'014-22-CCU''s AUX'!$B$1:$H$130,2,0)))))</f>
        <v>PEDREIRO COM ENCARGOS COMPLEMENTARES</v>
      </c>
      <c r="D322" s="549" t="str">
        <f>IF(A322="SERVIÇO",VLOOKUP(B322,SERVIÇOS!$A$6:$E$7697,5,0),IF(A322="INSUMO",VLOOKUP(B322,INSUMOS!$A$6:$E$4845,5,0),IF(A322="COTAÇÃO",VLOOKUP(B322,'014-22-cotação'!$A$9:$J$138,10,0),IF(A322="AUX",VLOOKUP('014-22-CCU''s'!B322,'014-22-CCU''s AUX'!$B$1:$H$130,3,0)))))</f>
        <v>M.O</v>
      </c>
      <c r="E322" s="549" t="str">
        <f>IF(A322="SERVIÇO",VLOOKUP(B322,SERVIÇOS!$A$6:$D$7697,3,0),IF(A322="INSUMO",VLOOKUP(B322,INSUMOS!$A$6:$D$4845,3,0),IF(A322="COTAÇÃO",VLOOKUP(B322,'014-22-cotação'!$A$9:$I$138,4,0),IF(A322="AUX",VLOOKUP('014-22-CCU''s'!B322,'014-22-CCU''s AUX'!$B$1:$H$130,4,0)))))</f>
        <v>H</v>
      </c>
      <c r="F322" s="566">
        <v>1.3735999999999999</v>
      </c>
      <c r="G322" s="550">
        <f>IF(A322="SERVIÇO",VLOOKUP(B322,SERVIÇOS!$A$6:$D$7697,4,0),IF(A322="INSUMO",VLOOKUP(B322,INSUMOS!$A$6:$D$4845,4,0),IF(A322="COTAÇÃO",VLOOKUP(B322,'014-22-cotação'!$A$9:$I$138,3,0),IF(A322="AUX",VLOOKUP('014-22-CCU''s'!B322,'014-22-CCU''s AUX'!$B$1:$H$130,7,0)))))</f>
        <v>31.1</v>
      </c>
      <c r="H322" s="561">
        <f>TRUNC((F322*G322),2)</f>
        <v>42.71</v>
      </c>
      <c r="J322" s="422"/>
      <c r="S322" s="420"/>
      <c r="T322" s="421"/>
    </row>
    <row r="323" spans="1:68" s="418" customFormat="1" ht="25.5" x14ac:dyDescent="0.25">
      <c r="A323" s="417" t="s">
        <v>1120</v>
      </c>
      <c r="B323" s="207">
        <v>88316</v>
      </c>
      <c r="C323" s="548" t="str">
        <f>IF(A323="SERVIÇO",VLOOKUP(B323,SERVIÇOS!$A$6:$D$7697,2,0),IF(A323="INSUMO",VLOOKUP(B323,INSUMOS!$A$6:$D$4845,2,0),IF(A323="COTAÇÃO",VLOOKUP(B323,'014-22-cotação'!$A$9:$I$138,2,0),IF(A323="AUX",VLOOKUP('014-22-CCU''s'!B323,'014-22-CCU''s AUX'!$B$1:$H$130,2,0)))))</f>
        <v>SERVENTE COM ENCARGOS COMPLEMENTARES</v>
      </c>
      <c r="D323" s="549" t="str">
        <f>IF(A323="SERVIÇO",VLOOKUP(B323,SERVIÇOS!$A$6:$E$7697,5,0),IF(A323="INSUMO",VLOOKUP(B323,INSUMOS!$A$6:$E$4845,5,0),IF(A323="COTAÇÃO",VLOOKUP(B323,'014-22-cotação'!$A$9:$J$138,10,0),IF(A323="AUX",VLOOKUP('014-22-CCU''s'!B323,'014-22-CCU''s AUX'!$B$1:$H$130,3,0)))))</f>
        <v>M.O</v>
      </c>
      <c r="E323" s="549" t="str">
        <f>IF(A323="SERVIÇO",VLOOKUP(B323,SERVIÇOS!$A$6:$D$7697,3,0),IF(A323="INSUMO",VLOOKUP(B323,INSUMOS!$A$6:$D$4845,3,0),IF(A323="COTAÇÃO",VLOOKUP(B323,'014-22-cotação'!$A$9:$I$138,4,0),IF(A323="AUX",VLOOKUP('014-22-CCU''s'!B323,'014-22-CCU''s AUX'!$B$1:$H$130,4,0)))))</f>
        <v>H</v>
      </c>
      <c r="F323" s="566">
        <v>0.68679999999999997</v>
      </c>
      <c r="G323" s="550">
        <f>IF(A323="SERVIÇO",VLOOKUP(B323,SERVIÇOS!$A$6:$D$7697,4,0),IF(A323="INSUMO",VLOOKUP(B323,INSUMOS!$A$6:$D$4845,4,0),IF(A323="COTAÇÃO",VLOOKUP(B323,'014-22-cotação'!$A$9:$I$138,3,0),IF(A323="AUX",VLOOKUP('014-22-CCU''s'!B323,'014-22-CCU''s AUX'!$B$1:$H$130,7,0)))))</f>
        <v>23.4</v>
      </c>
      <c r="H323" s="561">
        <f>TRUNC((F323*G323),2)</f>
        <v>16.07</v>
      </c>
      <c r="J323" s="422"/>
      <c r="S323" s="420"/>
      <c r="T323" s="421"/>
    </row>
    <row r="324" spans="1:68" s="418" customFormat="1" ht="12.75" x14ac:dyDescent="0.25">
      <c r="A324" s="417"/>
      <c r="B324" s="207" t="s">
        <v>109</v>
      </c>
      <c r="C324" s="382" t="s">
        <v>4547</v>
      </c>
      <c r="D324" s="383"/>
      <c r="E324" s="383"/>
      <c r="F324" s="383"/>
      <c r="G324" s="383"/>
      <c r="H324" s="384"/>
      <c r="J324" s="422"/>
      <c r="S324" s="420"/>
      <c r="T324" s="421"/>
    </row>
    <row r="325" spans="1:68" s="418" customFormat="1" ht="12.75" x14ac:dyDescent="0.25">
      <c r="A325" s="417"/>
      <c r="B325" s="208"/>
      <c r="C325" s="175"/>
      <c r="D325" s="176"/>
      <c r="E325" s="176"/>
      <c r="F325" s="176"/>
      <c r="G325" s="176"/>
      <c r="H325" s="176"/>
      <c r="J325" s="422"/>
      <c r="S325" s="420"/>
      <c r="T325" s="421"/>
    </row>
    <row r="326" spans="1:68" s="418" customFormat="1" ht="38.25" x14ac:dyDescent="0.25">
      <c r="A326" s="417"/>
      <c r="B326" s="263" t="s">
        <v>3478</v>
      </c>
      <c r="C326" s="177" t="s">
        <v>4554</v>
      </c>
      <c r="D326" s="178" t="s">
        <v>101</v>
      </c>
      <c r="E326" s="178" t="s">
        <v>1104</v>
      </c>
      <c r="F326" s="179"/>
      <c r="G326" s="180"/>
      <c r="H326" s="181">
        <f>ROUND(SUM(H327:H329),2)</f>
        <v>2380.61</v>
      </c>
      <c r="J326" s="419"/>
      <c r="S326" s="420"/>
      <c r="T326" s="421"/>
    </row>
    <row r="327" spans="1:68" s="418" customFormat="1" ht="25.5" x14ac:dyDescent="0.25">
      <c r="A327" s="417" t="s">
        <v>12</v>
      </c>
      <c r="B327" s="207" t="s">
        <v>4556</v>
      </c>
      <c r="C327" s="548" t="str">
        <f>IF(A327="SERVIÇO",VLOOKUP(B327,SERVIÇOS!$A$6:$D$7697,2,0),IF(A327="INSUMO",VLOOKUP(B327,INSUMOS!$A$6:$D$4845,2,0),IF(A327="COTAÇÃO",VLOOKUP(B327,'014-22-cotação'!$A$9:$I$138,2,0),IF(A327="AUX",VLOOKUP('014-22-CCU''s'!B327,'014-22-CCU''s AUX'!$B$1:$H$130,2,0)))))</f>
        <v>EQUIPAMENTO GIRO DE PUNHO - PCR - CONFORME ESPECIFICAÇÕES DE PROJETO</v>
      </c>
      <c r="D327" s="549" t="str">
        <f>IF(A327="SERVIÇO",VLOOKUP(B327,SERVIÇOS!$A$6:$E$7697,5,0),IF(A327="INSUMO",VLOOKUP(B327,INSUMOS!$A$6:$E$4845,5,0),IF(A327="COTAÇÃO",VLOOKUP(B327,'014-22-cotação'!$A$9:$J$138,10,0),IF(A327="AUX",VLOOKUP('014-22-CCU''s'!B327,'014-22-CCU''s AUX'!$B$1:$H$130,3,0)))))</f>
        <v>MAT.</v>
      </c>
      <c r="E327" s="549" t="str">
        <f>IF(A327="SERVIÇO",VLOOKUP(B327,SERVIÇOS!$A$6:$D$7697,3,0),IF(A327="INSUMO",VLOOKUP(B327,INSUMOS!$A$6:$D$4845,3,0),IF(A327="COTAÇÃO",VLOOKUP(B327,'014-22-cotação'!$A$9:$I$138,4,0),IF(A327="AUX",VLOOKUP('014-22-CCU''s'!B327,'014-22-CCU''s AUX'!$B$1:$H$130,4,0)))))</f>
        <v>UN</v>
      </c>
      <c r="F327" s="566">
        <v>1</v>
      </c>
      <c r="G327" s="550">
        <f>IF(A327="SERVIÇO",VLOOKUP(B327,SERVIÇOS!$A$6:$D$7697,4,0),IF(A327="INSUMO",VLOOKUP(B327,INSUMOS!$A$6:$D$4845,4,0),IF(A327="COTAÇÃO",VLOOKUP(B327,'014-22-cotação'!$A$9:$I$138,3,0),IF(A327="AUX",VLOOKUP('014-22-CCU''s'!B327,'014-22-CCU''s AUX'!$B$1:$H$130,7,0)))))</f>
        <v>2327.7999999999997</v>
      </c>
      <c r="H327" s="561">
        <f>TRUNC((F327*G327),2)</f>
        <v>2327.8000000000002</v>
      </c>
      <c r="J327" s="422"/>
      <c r="S327" s="420"/>
      <c r="T327" s="421"/>
    </row>
    <row r="328" spans="1:68" s="418" customFormat="1" ht="25.5" x14ac:dyDescent="0.25">
      <c r="A328" s="417" t="s">
        <v>1120</v>
      </c>
      <c r="B328" s="207">
        <v>88309</v>
      </c>
      <c r="C328" s="548" t="str">
        <f>IF(A328="SERVIÇO",VLOOKUP(B328,SERVIÇOS!$A$6:$D$7697,2,0),IF(A328="INSUMO",VLOOKUP(B328,INSUMOS!$A$6:$D$4845,2,0),IF(A328="COTAÇÃO",VLOOKUP(B328,'014-22-cotação'!$A$9:$I$138,2,0),IF(A328="AUX",VLOOKUP('014-22-CCU''s'!B328,'014-22-CCU''s AUX'!$B$1:$H$130,2,0)))))</f>
        <v>PEDREIRO COM ENCARGOS COMPLEMENTARES</v>
      </c>
      <c r="D328" s="549" t="str">
        <f>IF(A328="SERVIÇO",VLOOKUP(B328,SERVIÇOS!$A$6:$E$7697,5,0),IF(A328="INSUMO",VLOOKUP(B328,INSUMOS!$A$6:$E$4845,5,0),IF(A328="COTAÇÃO",VLOOKUP(B328,'014-22-cotação'!$A$9:$J$138,10,0),IF(A328="AUX",VLOOKUP('014-22-CCU''s'!B328,'014-22-CCU''s AUX'!$B$1:$H$130,3,0)))))</f>
        <v>M.O</v>
      </c>
      <c r="E328" s="549" t="str">
        <f>IF(A328="SERVIÇO",VLOOKUP(B328,SERVIÇOS!$A$6:$D$7697,3,0),IF(A328="INSUMO",VLOOKUP(B328,INSUMOS!$A$6:$D$4845,3,0),IF(A328="COTAÇÃO",VLOOKUP(B328,'014-22-cotação'!$A$9:$I$138,4,0),IF(A328="AUX",VLOOKUP('014-22-CCU''s'!B328,'014-22-CCU''s AUX'!$B$1:$H$130,4,0)))))</f>
        <v>H</v>
      </c>
      <c r="F328" s="566">
        <v>1.2341</v>
      </c>
      <c r="G328" s="550">
        <f>IF(A328="SERVIÇO",VLOOKUP(B328,SERVIÇOS!$A$6:$D$7697,4,0),IF(A328="INSUMO",VLOOKUP(B328,INSUMOS!$A$6:$D$4845,4,0),IF(A328="COTAÇÃO",VLOOKUP(B328,'014-22-cotação'!$A$9:$I$138,3,0),IF(A328="AUX",VLOOKUP('014-22-CCU''s'!B328,'014-22-CCU''s AUX'!$B$1:$H$130,7,0)))))</f>
        <v>31.1</v>
      </c>
      <c r="H328" s="561">
        <f>TRUNC((F328*G328),2)</f>
        <v>38.380000000000003</v>
      </c>
      <c r="J328" s="419"/>
      <c r="S328" s="420"/>
      <c r="T328" s="421"/>
    </row>
    <row r="329" spans="1:68" s="213" customFormat="1" ht="25.5" x14ac:dyDescent="0.25">
      <c r="A329" s="199" t="s">
        <v>1120</v>
      </c>
      <c r="B329" s="207">
        <v>88316</v>
      </c>
      <c r="C329" s="548" t="str">
        <f>IF(A329="SERVIÇO",VLOOKUP(B329,SERVIÇOS!$A$6:$D$7697,2,0),IF(A329="INSUMO",VLOOKUP(B329,INSUMOS!$A$6:$D$4845,2,0),IF(A329="COTAÇÃO",VLOOKUP(B329,'014-22-cotação'!$A$9:$I$138,2,0),IF(A329="AUX",VLOOKUP('014-22-CCU''s'!B329,'014-22-CCU''s AUX'!$B$1:$H$130,2,0)))))</f>
        <v>SERVENTE COM ENCARGOS COMPLEMENTARES</v>
      </c>
      <c r="D329" s="549" t="str">
        <f>IF(A329="SERVIÇO",VLOOKUP(B329,SERVIÇOS!$A$6:$E$7697,5,0),IF(A329="INSUMO",VLOOKUP(B329,INSUMOS!$A$6:$E$4845,5,0),IF(A329="COTAÇÃO",VLOOKUP(B329,'014-22-cotação'!$A$9:$J$138,10,0),IF(A329="AUX",VLOOKUP('014-22-CCU''s'!B329,'014-22-CCU''s AUX'!$B$1:$H$130,3,0)))))</f>
        <v>M.O</v>
      </c>
      <c r="E329" s="549" t="str">
        <f>IF(A329="SERVIÇO",VLOOKUP(B329,SERVIÇOS!$A$6:$D$7697,3,0),IF(A329="INSUMO",VLOOKUP(B329,INSUMOS!$A$6:$D$4845,3,0),IF(A329="COTAÇÃO",VLOOKUP(B329,'014-22-cotação'!$A$9:$I$138,4,0),IF(A329="AUX",VLOOKUP('014-22-CCU''s'!B329,'014-22-CCU''s AUX'!$B$1:$H$130,4,0)))))</f>
        <v>H</v>
      </c>
      <c r="F329" s="566">
        <v>0.61699999999999999</v>
      </c>
      <c r="G329" s="550">
        <f>IF(A329="SERVIÇO",VLOOKUP(B329,SERVIÇOS!$A$6:$D$7697,4,0),IF(A329="INSUMO",VLOOKUP(B329,INSUMOS!$A$6:$D$4845,4,0),IF(A329="COTAÇÃO",VLOOKUP(B329,'014-22-cotação'!$A$9:$I$138,3,0),IF(A329="AUX",VLOOKUP('014-22-CCU''s'!B329,'014-22-CCU''s AUX'!$B$1:$H$130,7,0)))))</f>
        <v>23.4</v>
      </c>
      <c r="H329" s="561">
        <f>TRUNC((F329*G329),2)</f>
        <v>14.43</v>
      </c>
      <c r="J329" s="330"/>
      <c r="S329" s="331"/>
      <c r="T329" s="343"/>
    </row>
    <row r="330" spans="1:68" s="213" customFormat="1" ht="12.75" x14ac:dyDescent="0.25">
      <c r="A330" s="199"/>
      <c r="B330" s="207" t="s">
        <v>109</v>
      </c>
      <c r="C330" s="382" t="s">
        <v>4557</v>
      </c>
      <c r="D330" s="383"/>
      <c r="E330" s="383"/>
      <c r="F330" s="383"/>
      <c r="G330" s="383"/>
      <c r="H330" s="384"/>
      <c r="J330" s="330"/>
      <c r="S330" s="331"/>
      <c r="T330" s="342"/>
    </row>
    <row r="331" spans="1:68" s="347" customFormat="1" ht="12.75" x14ac:dyDescent="0.25">
      <c r="A331" s="264"/>
      <c r="B331" s="208"/>
      <c r="C331" s="175"/>
      <c r="D331" s="176"/>
      <c r="E331" s="176"/>
      <c r="F331" s="176"/>
      <c r="G331" s="176"/>
      <c r="H331" s="176"/>
      <c r="I331" s="213"/>
      <c r="J331" s="330"/>
      <c r="K331" s="213"/>
      <c r="L331" s="213"/>
      <c r="M331" s="213"/>
      <c r="N331" s="213"/>
      <c r="O331" s="213"/>
      <c r="P331" s="213"/>
      <c r="Q331" s="213"/>
      <c r="R331" s="213"/>
      <c r="S331" s="331"/>
      <c r="T331" s="342"/>
      <c r="U331" s="213"/>
      <c r="V331" s="213"/>
      <c r="W331" s="213"/>
      <c r="X331" s="213"/>
      <c r="Y331" s="213"/>
      <c r="Z331" s="213"/>
      <c r="AA331" s="213"/>
      <c r="AB331" s="213"/>
      <c r="AC331" s="213"/>
      <c r="AD331" s="213"/>
      <c r="AE331" s="213"/>
      <c r="AF331" s="213"/>
      <c r="AG331" s="213"/>
      <c r="AH331" s="213"/>
      <c r="AI331" s="213"/>
      <c r="AJ331" s="213"/>
      <c r="AK331" s="213"/>
      <c r="AL331" s="213"/>
      <c r="AM331" s="213"/>
      <c r="AN331" s="213"/>
      <c r="AO331" s="213"/>
      <c r="AP331" s="213"/>
      <c r="AQ331" s="213"/>
      <c r="AR331" s="213"/>
      <c r="AS331" s="213"/>
      <c r="AT331" s="213"/>
      <c r="AU331" s="213"/>
      <c r="AV331" s="213"/>
      <c r="AW331" s="213"/>
      <c r="AX331" s="213"/>
      <c r="AY331" s="213"/>
      <c r="AZ331" s="213"/>
      <c r="BA331" s="213"/>
      <c r="BB331" s="213"/>
      <c r="BC331" s="213"/>
      <c r="BD331" s="213"/>
      <c r="BE331" s="213"/>
      <c r="BF331" s="213"/>
      <c r="BG331" s="213"/>
      <c r="BH331" s="213"/>
      <c r="BI331" s="213"/>
      <c r="BJ331" s="213"/>
      <c r="BK331" s="213"/>
      <c r="BL331" s="213"/>
      <c r="BM331" s="213"/>
      <c r="BN331" s="213"/>
      <c r="BO331" s="213"/>
      <c r="BP331" s="213"/>
    </row>
    <row r="332" spans="1:68" s="399" customFormat="1" ht="38.25" x14ac:dyDescent="0.25">
      <c r="A332" s="398"/>
      <c r="B332" s="263" t="s">
        <v>3479</v>
      </c>
      <c r="C332" s="177" t="s">
        <v>4558</v>
      </c>
      <c r="D332" s="178" t="s">
        <v>101</v>
      </c>
      <c r="E332" s="178" t="s">
        <v>1104</v>
      </c>
      <c r="F332" s="179"/>
      <c r="G332" s="180"/>
      <c r="H332" s="181">
        <f>ROUND(SUM(H333:H335),2)</f>
        <v>1864.52</v>
      </c>
      <c r="J332" s="401"/>
      <c r="S332" s="402"/>
      <c r="T332" s="400"/>
    </row>
    <row r="333" spans="1:68" s="399" customFormat="1" ht="25.5" x14ac:dyDescent="0.25">
      <c r="A333" s="398" t="s">
        <v>12</v>
      </c>
      <c r="B333" s="207" t="s">
        <v>4559</v>
      </c>
      <c r="C333" s="548" t="str">
        <f>IF(A333="SERVIÇO",VLOOKUP(B333,SERVIÇOS!$A$6:$D$7697,2,0),IF(A333="INSUMO",VLOOKUP(B333,INSUMOS!$A$6:$D$4845,2,0),IF(A333="COTAÇÃO",VLOOKUP(B333,'014-22-cotação'!$A$9:$I$138,2,0),IF(A333="AUX",VLOOKUP('014-22-CCU''s'!B333,'014-22-CCU''s AUX'!$B$1:$H$130,2,0)))))</f>
        <v>EQUIPAMENTO BICICLETA DE MÃO - PCR - CONFORME ESPECIFICAÇÕES DE PROJETO.</v>
      </c>
      <c r="D333" s="549" t="str">
        <f>IF(A333="SERVIÇO",VLOOKUP(B333,SERVIÇOS!$A$6:$E$7697,5,0),IF(A333="INSUMO",VLOOKUP(B333,INSUMOS!$A$6:$E$4845,5,0),IF(A333="COTAÇÃO",VLOOKUP(B333,'014-22-cotação'!$A$9:$J$138,10,0),IF(A333="AUX",VLOOKUP('014-22-CCU''s'!B333,'014-22-CCU''s AUX'!$B$1:$H$130,3,0)))))</f>
        <v>MAT.</v>
      </c>
      <c r="E333" s="549" t="str">
        <f>IF(A333="SERVIÇO",VLOOKUP(B333,SERVIÇOS!$A$6:$D$7697,3,0),IF(A333="INSUMO",VLOOKUP(B333,INSUMOS!$A$6:$D$4845,3,0),IF(A333="COTAÇÃO",VLOOKUP(B333,'014-22-cotação'!$A$9:$I$138,4,0),IF(A333="AUX",VLOOKUP('014-22-CCU''s'!B333,'014-22-CCU''s AUX'!$B$1:$H$130,4,0)))))</f>
        <v>UN</v>
      </c>
      <c r="F333" s="566">
        <v>1</v>
      </c>
      <c r="G333" s="550">
        <f>IF(A333="SERVIÇO",VLOOKUP(B333,SERVIÇOS!$A$6:$D$7697,4,0),IF(A333="INSUMO",VLOOKUP(B333,INSUMOS!$A$6:$D$4845,4,0),IF(A333="COTAÇÃO",VLOOKUP(B333,'014-22-cotação'!$A$9:$I$138,3,0),IF(A333="AUX",VLOOKUP('014-22-CCU''s'!B333,'014-22-CCU''s AUX'!$B$1:$H$130,7,0)))))</f>
        <v>1811.71</v>
      </c>
      <c r="H333" s="561">
        <f>TRUNC((F333*G333),2)</f>
        <v>1811.71</v>
      </c>
      <c r="J333" s="407"/>
      <c r="S333" s="402"/>
      <c r="T333" s="400"/>
    </row>
    <row r="334" spans="1:68" s="399" customFormat="1" ht="25.5" x14ac:dyDescent="0.25">
      <c r="A334" s="398" t="s">
        <v>1120</v>
      </c>
      <c r="B334" s="207">
        <v>88309</v>
      </c>
      <c r="C334" s="548" t="str">
        <f>IF(A334="SERVIÇO",VLOOKUP(B334,SERVIÇOS!$A$6:$D$7697,2,0),IF(A334="INSUMO",VLOOKUP(B334,INSUMOS!$A$6:$D$4845,2,0),IF(A334="COTAÇÃO",VLOOKUP(B334,'014-22-cotação'!$A$9:$I$138,2,0),IF(A334="AUX",VLOOKUP('014-22-CCU''s'!B334,'014-22-CCU''s AUX'!$B$1:$H$130,2,0)))))</f>
        <v>PEDREIRO COM ENCARGOS COMPLEMENTARES</v>
      </c>
      <c r="D334" s="549" t="str">
        <f>IF(A334="SERVIÇO",VLOOKUP(B334,SERVIÇOS!$A$6:$E$7697,5,0),IF(A334="INSUMO",VLOOKUP(B334,INSUMOS!$A$6:$E$4845,5,0),IF(A334="COTAÇÃO",VLOOKUP(B334,'014-22-cotação'!$A$9:$J$138,10,0),IF(A334="AUX",VLOOKUP('014-22-CCU''s'!B334,'014-22-CCU''s AUX'!$B$1:$H$130,3,0)))))</f>
        <v>M.O</v>
      </c>
      <c r="E334" s="549" t="str">
        <f>IF(A334="SERVIÇO",VLOOKUP(B334,SERVIÇOS!$A$6:$D$7697,3,0),IF(A334="INSUMO",VLOOKUP(B334,INSUMOS!$A$6:$D$4845,3,0),IF(A334="COTAÇÃO",VLOOKUP(B334,'014-22-cotação'!$A$9:$I$138,4,0),IF(A334="AUX",VLOOKUP('014-22-CCU''s'!B334,'014-22-CCU''s AUX'!$B$1:$H$130,4,0)))))</f>
        <v>H</v>
      </c>
      <c r="F334" s="566">
        <v>1.2341</v>
      </c>
      <c r="G334" s="550">
        <f>IF(A334="SERVIÇO",VLOOKUP(B334,SERVIÇOS!$A$6:$D$7697,4,0),IF(A334="INSUMO",VLOOKUP(B334,INSUMOS!$A$6:$D$4845,4,0),IF(A334="COTAÇÃO",VLOOKUP(B334,'014-22-cotação'!$A$9:$I$138,3,0),IF(A334="AUX",VLOOKUP('014-22-CCU''s'!B334,'014-22-CCU''s AUX'!$B$1:$H$130,7,0)))))</f>
        <v>31.1</v>
      </c>
      <c r="H334" s="561">
        <f>TRUNC((F334*G334),2)</f>
        <v>38.380000000000003</v>
      </c>
      <c r="J334" s="407"/>
      <c r="S334" s="402"/>
      <c r="T334" s="400"/>
    </row>
    <row r="335" spans="1:68" s="213" customFormat="1" ht="25.5" x14ac:dyDescent="0.25">
      <c r="A335" s="199" t="s">
        <v>1120</v>
      </c>
      <c r="B335" s="207">
        <v>88316</v>
      </c>
      <c r="C335" s="548" t="str">
        <f>IF(A335="SERVIÇO",VLOOKUP(B335,SERVIÇOS!$A$6:$D$7697,2,0),IF(A335="INSUMO",VLOOKUP(B335,INSUMOS!$A$6:$D$4845,2,0),IF(A335="COTAÇÃO",VLOOKUP(B335,'014-22-cotação'!$A$9:$I$138,2,0),IF(A335="AUX",VLOOKUP('014-22-CCU''s'!B335,'014-22-CCU''s AUX'!$B$1:$H$130,2,0)))))</f>
        <v>SERVENTE COM ENCARGOS COMPLEMENTARES</v>
      </c>
      <c r="D335" s="549" t="str">
        <f>IF(A335="SERVIÇO",VLOOKUP(B335,SERVIÇOS!$A$6:$E$7697,5,0),IF(A335="INSUMO",VLOOKUP(B335,INSUMOS!$A$6:$E$4845,5,0),IF(A335="COTAÇÃO",VLOOKUP(B335,'014-22-cotação'!$A$9:$J$138,10,0),IF(A335="AUX",VLOOKUP('014-22-CCU''s'!B335,'014-22-CCU''s AUX'!$B$1:$H$130,3,0)))))</f>
        <v>M.O</v>
      </c>
      <c r="E335" s="549" t="str">
        <f>IF(A335="SERVIÇO",VLOOKUP(B335,SERVIÇOS!$A$6:$D$7697,3,0),IF(A335="INSUMO",VLOOKUP(B335,INSUMOS!$A$6:$D$4845,3,0),IF(A335="COTAÇÃO",VLOOKUP(B335,'014-22-cotação'!$A$9:$I$138,4,0),IF(A335="AUX",VLOOKUP('014-22-CCU''s'!B335,'014-22-CCU''s AUX'!$B$1:$H$130,4,0)))))</f>
        <v>H</v>
      </c>
      <c r="F335" s="566">
        <v>0.61699999999999999</v>
      </c>
      <c r="G335" s="550">
        <f>IF(A335="SERVIÇO",VLOOKUP(B335,SERVIÇOS!$A$6:$D$7697,4,0),IF(A335="INSUMO",VLOOKUP(B335,INSUMOS!$A$6:$D$4845,4,0),IF(A335="COTAÇÃO",VLOOKUP(B335,'014-22-cotação'!$A$9:$I$138,3,0),IF(A335="AUX",VLOOKUP('014-22-CCU''s'!B335,'014-22-CCU''s AUX'!$B$1:$H$130,7,0)))))</f>
        <v>23.4</v>
      </c>
      <c r="H335" s="561">
        <f>TRUNC((F335*G335),2)</f>
        <v>14.43</v>
      </c>
      <c r="J335" s="330"/>
      <c r="S335" s="331"/>
      <c r="T335" s="343"/>
    </row>
    <row r="336" spans="1:68" s="213" customFormat="1" ht="12.75" x14ac:dyDescent="0.25">
      <c r="A336" s="199"/>
      <c r="B336" s="207" t="s">
        <v>109</v>
      </c>
      <c r="C336" s="382" t="s">
        <v>4557</v>
      </c>
      <c r="D336" s="383"/>
      <c r="E336" s="383"/>
      <c r="F336" s="383"/>
      <c r="G336" s="383"/>
      <c r="H336" s="384"/>
      <c r="J336" s="330"/>
      <c r="S336" s="331"/>
      <c r="T336" s="342"/>
    </row>
    <row r="337" spans="1:68" s="347" customFormat="1" ht="12.75" x14ac:dyDescent="0.25">
      <c r="A337" s="264"/>
      <c r="B337" s="208"/>
      <c r="C337" s="175"/>
      <c r="D337" s="176"/>
      <c r="E337" s="176"/>
      <c r="F337" s="176"/>
      <c r="G337" s="176"/>
      <c r="H337" s="176"/>
      <c r="I337" s="213"/>
      <c r="J337" s="330"/>
      <c r="K337" s="213"/>
      <c r="L337" s="213"/>
      <c r="M337" s="213"/>
      <c r="N337" s="213"/>
      <c r="O337" s="213"/>
      <c r="P337" s="213"/>
      <c r="Q337" s="213"/>
      <c r="R337" s="213"/>
      <c r="S337" s="331"/>
      <c r="T337" s="342"/>
      <c r="U337" s="213"/>
      <c r="V337" s="213"/>
      <c r="W337" s="213"/>
      <c r="X337" s="213"/>
      <c r="Y337" s="213"/>
      <c r="Z337" s="213"/>
      <c r="AA337" s="213"/>
      <c r="AB337" s="213"/>
      <c r="AC337" s="213"/>
      <c r="AD337" s="213"/>
      <c r="AE337" s="213"/>
      <c r="AF337" s="213"/>
      <c r="AG337" s="213"/>
      <c r="AH337" s="213"/>
      <c r="AI337" s="213"/>
      <c r="AJ337" s="213"/>
      <c r="AK337" s="213"/>
      <c r="AL337" s="213"/>
      <c r="AM337" s="213"/>
      <c r="AN337" s="213"/>
      <c r="AO337" s="213"/>
      <c r="AP337" s="213"/>
      <c r="AQ337" s="213"/>
      <c r="AR337" s="213"/>
      <c r="AS337" s="213"/>
      <c r="AT337" s="213"/>
      <c r="AU337" s="213"/>
      <c r="AV337" s="213"/>
      <c r="AW337" s="213"/>
      <c r="AX337" s="213"/>
      <c r="AY337" s="213"/>
      <c r="AZ337" s="213"/>
      <c r="BA337" s="213"/>
      <c r="BB337" s="213"/>
      <c r="BC337" s="213"/>
      <c r="BD337" s="213"/>
      <c r="BE337" s="213"/>
      <c r="BF337" s="213"/>
      <c r="BG337" s="213"/>
      <c r="BH337" s="213"/>
      <c r="BI337" s="213"/>
      <c r="BJ337" s="213"/>
      <c r="BK337" s="213"/>
      <c r="BL337" s="213"/>
      <c r="BM337" s="213"/>
      <c r="BN337" s="213"/>
      <c r="BO337" s="213"/>
      <c r="BP337" s="213"/>
    </row>
    <row r="338" spans="1:68" s="399" customFormat="1" ht="38.25" x14ac:dyDescent="0.25">
      <c r="A338" s="398"/>
      <c r="B338" s="263" t="s">
        <v>3480</v>
      </c>
      <c r="C338" s="177" t="s">
        <v>4561</v>
      </c>
      <c r="D338" s="178" t="s">
        <v>101</v>
      </c>
      <c r="E338" s="178" t="s">
        <v>1104</v>
      </c>
      <c r="F338" s="179"/>
      <c r="G338" s="180"/>
      <c r="H338" s="181">
        <f>ROUND(SUM(H339:H341),2)</f>
        <v>5250.88</v>
      </c>
      <c r="J338" s="401"/>
      <c r="S338" s="402"/>
      <c r="T338" s="400"/>
    </row>
    <row r="339" spans="1:68" s="399" customFormat="1" ht="63.75" x14ac:dyDescent="0.25">
      <c r="A339" s="398" t="s">
        <v>1122</v>
      </c>
      <c r="B339" s="207">
        <v>42434</v>
      </c>
      <c r="C339" s="548" t="str">
        <f>IF(A339="SERVIÇO",VLOOKUP(B339,SERVIÇOS!$A$6:$D$7697,2,0),IF(A339="INSUMO",VLOOKUP(B339,INSUMOS!$A$6:$D$4845,2,0),IF(A339="COTAÇÃO",VLOOKUP(B339,'014-22-cotação'!$A$9:$I$138,2,0),IF(A339="AUX",VLOOKUP('014-22-CCU''s'!B339,'014-22-CCU''s AUX'!$B$1:$H$130,2,0)))))</f>
        <v xml:space="preserve">SIMULADOR DE CAVALGADA TRIPLO, EM TUBO DE ACO CARBONO, PINTURA NO PROCESSO ELETROSTATICO - EQUIPAMENTO DE GINASTICA PARA ACADEMIA AO AR LIVRE / ACADEMIA DA TERCEIRA IDADE - ATI                                                                                                                                                                                                                                                                                                                          </v>
      </c>
      <c r="D339" s="549" t="str">
        <f>IF(A339="SERVIÇO",VLOOKUP(B339,SERVIÇOS!$A$6:$E$7697,5,0),IF(A339="INSUMO",VLOOKUP(B339,INSUMOS!$A$6:$E$4845,5,0),IF(A339="COTAÇÃO",VLOOKUP(B339,'014-22-cotação'!$A$9:$J$138,10,0),IF(A339="AUX",VLOOKUP('014-22-CCU''s'!B339,'014-22-CCU''s AUX'!$B$1:$H$130,3,0)))))</f>
        <v>MAT.</v>
      </c>
      <c r="E339" s="549" t="str">
        <f>IF(A339="SERVIÇO",VLOOKUP(B339,SERVIÇOS!$A$6:$D$7697,3,0),IF(A339="INSUMO",VLOOKUP(B339,INSUMOS!$A$6:$D$4845,3,0),IF(A339="COTAÇÃO",VLOOKUP(B339,'014-22-cotação'!$A$9:$I$138,4,0),IF(A339="AUX",VLOOKUP('014-22-CCU''s'!B339,'014-22-CCU''s AUX'!$B$1:$H$130,4,0)))))</f>
        <v xml:space="preserve">UN    </v>
      </c>
      <c r="F339" s="566">
        <v>1</v>
      </c>
      <c r="G339" s="550">
        <f>IF(A339="SERVIÇO",VLOOKUP(B339,SERVIÇOS!$A$6:$D$7697,4,0),IF(A339="INSUMO",VLOOKUP(B339,INSUMOS!$A$6:$D$4845,4,0),IF(A339="COTAÇÃO",VLOOKUP(B339,'014-22-cotação'!$A$9:$I$138,3,0),IF(A339="AUX",VLOOKUP('014-22-CCU''s'!B339,'014-22-CCU''s AUX'!$B$1:$H$130,7,0)))))</f>
        <v>5175.3999999999996</v>
      </c>
      <c r="H339" s="561">
        <f>TRUNC((F339*G339),2)</f>
        <v>5175.3999999999996</v>
      </c>
      <c r="J339" s="407"/>
      <c r="S339" s="402"/>
      <c r="T339" s="400"/>
    </row>
    <row r="340" spans="1:68" s="399" customFormat="1" ht="25.5" x14ac:dyDescent="0.25">
      <c r="A340" s="398" t="s">
        <v>1120</v>
      </c>
      <c r="B340" s="207">
        <v>88309</v>
      </c>
      <c r="C340" s="548" t="str">
        <f>IF(A340="SERVIÇO",VLOOKUP(B340,SERVIÇOS!$A$6:$D$7697,2,0),IF(A340="INSUMO",VLOOKUP(B340,INSUMOS!$A$6:$D$4845,2,0),IF(A340="COTAÇÃO",VLOOKUP(B340,'014-22-cotação'!$A$9:$I$138,2,0),IF(A340="AUX",VLOOKUP('014-22-CCU''s'!B340,'014-22-CCU''s AUX'!$B$1:$H$130,2,0)))))</f>
        <v>PEDREIRO COM ENCARGOS COMPLEMENTARES</v>
      </c>
      <c r="D340" s="549" t="str">
        <f>IF(A340="SERVIÇO",VLOOKUP(B340,SERVIÇOS!$A$6:$E$7697,5,0),IF(A340="INSUMO",VLOOKUP(B340,INSUMOS!$A$6:$E$4845,5,0),IF(A340="COTAÇÃO",VLOOKUP(B340,'014-22-cotação'!$A$9:$J$138,10,0),IF(A340="AUX",VLOOKUP('014-22-CCU''s'!B340,'014-22-CCU''s AUX'!$B$1:$H$130,3,0)))))</f>
        <v>M.O</v>
      </c>
      <c r="E340" s="549" t="str">
        <f>IF(A340="SERVIÇO",VLOOKUP(B340,SERVIÇOS!$A$6:$D$7697,3,0),IF(A340="INSUMO",VLOOKUP(B340,INSUMOS!$A$6:$D$4845,3,0),IF(A340="COTAÇÃO",VLOOKUP(B340,'014-22-cotação'!$A$9:$I$138,4,0),IF(A340="AUX",VLOOKUP('014-22-CCU''s'!B340,'014-22-CCU''s AUX'!$B$1:$H$130,4,0)))))</f>
        <v>H</v>
      </c>
      <c r="F340" s="566">
        <v>1.7638</v>
      </c>
      <c r="G340" s="550">
        <f>IF(A340="SERVIÇO",VLOOKUP(B340,SERVIÇOS!$A$6:$D$7697,4,0),IF(A340="INSUMO",VLOOKUP(B340,INSUMOS!$A$6:$D$4845,4,0),IF(A340="COTAÇÃO",VLOOKUP(B340,'014-22-cotação'!$A$9:$I$138,3,0),IF(A340="AUX",VLOOKUP('014-22-CCU''s'!B340,'014-22-CCU''s AUX'!$B$1:$H$130,7,0)))))</f>
        <v>31.1</v>
      </c>
      <c r="H340" s="561">
        <f>TRUNC((F340*G340),2)</f>
        <v>54.85</v>
      </c>
      <c r="J340" s="407"/>
      <c r="S340" s="402"/>
      <c r="T340" s="400"/>
    </row>
    <row r="341" spans="1:68" s="213" customFormat="1" ht="25.5" x14ac:dyDescent="0.25">
      <c r="A341" s="199" t="s">
        <v>1120</v>
      </c>
      <c r="B341" s="207">
        <v>88316</v>
      </c>
      <c r="C341" s="548" t="str">
        <f>IF(A341="SERVIÇO",VLOOKUP(B341,SERVIÇOS!$A$6:$D$7697,2,0),IF(A341="INSUMO",VLOOKUP(B341,INSUMOS!$A$6:$D$4845,2,0),IF(A341="COTAÇÃO",VLOOKUP(B341,'014-22-cotação'!$A$9:$I$138,2,0),IF(A341="AUX",VLOOKUP('014-22-CCU''s'!B341,'014-22-CCU''s AUX'!$B$1:$H$130,2,0)))))</f>
        <v>SERVENTE COM ENCARGOS COMPLEMENTARES</v>
      </c>
      <c r="D341" s="549" t="str">
        <f>IF(A341="SERVIÇO",VLOOKUP(B341,SERVIÇOS!$A$6:$E$7697,5,0),IF(A341="INSUMO",VLOOKUP(B341,INSUMOS!$A$6:$E$4845,5,0),IF(A341="COTAÇÃO",VLOOKUP(B341,'014-22-cotação'!$A$9:$J$138,10,0),IF(A341="AUX",VLOOKUP('014-22-CCU''s'!B341,'014-22-CCU''s AUX'!$B$1:$H$130,3,0)))))</f>
        <v>M.O</v>
      </c>
      <c r="E341" s="549" t="str">
        <f>IF(A341="SERVIÇO",VLOOKUP(B341,SERVIÇOS!$A$6:$D$7697,3,0),IF(A341="INSUMO",VLOOKUP(B341,INSUMOS!$A$6:$D$4845,3,0),IF(A341="COTAÇÃO",VLOOKUP(B341,'014-22-cotação'!$A$9:$I$138,4,0),IF(A341="AUX",VLOOKUP('014-22-CCU''s'!B341,'014-22-CCU''s AUX'!$B$1:$H$130,4,0)))))</f>
        <v>H</v>
      </c>
      <c r="F341" s="566">
        <v>0.88190000000000002</v>
      </c>
      <c r="G341" s="550">
        <f>IF(A341="SERVIÇO",VLOOKUP(B341,SERVIÇOS!$A$6:$D$7697,4,0),IF(A341="INSUMO",VLOOKUP(B341,INSUMOS!$A$6:$D$4845,4,0),IF(A341="COTAÇÃO",VLOOKUP(B341,'014-22-cotação'!$A$9:$I$138,3,0),IF(A341="AUX",VLOOKUP('014-22-CCU''s'!B341,'014-22-CCU''s AUX'!$B$1:$H$130,7,0)))))</f>
        <v>23.4</v>
      </c>
      <c r="H341" s="561">
        <f>TRUNC((F341*G341),2)</f>
        <v>20.63</v>
      </c>
      <c r="J341" s="330"/>
      <c r="S341" s="331"/>
      <c r="T341" s="343"/>
    </row>
    <row r="342" spans="1:68" s="213" customFormat="1" ht="12.75" x14ac:dyDescent="0.25">
      <c r="A342" s="199"/>
      <c r="B342" s="207" t="s">
        <v>109</v>
      </c>
      <c r="C342" s="382" t="s">
        <v>4562</v>
      </c>
      <c r="D342" s="383"/>
      <c r="E342" s="383"/>
      <c r="F342" s="383"/>
      <c r="G342" s="383"/>
      <c r="H342" s="384"/>
      <c r="J342" s="330"/>
      <c r="S342" s="331"/>
      <c r="T342" s="342"/>
    </row>
    <row r="343" spans="1:68" s="347" customFormat="1" ht="12.75" x14ac:dyDescent="0.25">
      <c r="A343" s="264"/>
      <c r="B343" s="208"/>
      <c r="C343" s="175"/>
      <c r="D343" s="176"/>
      <c r="E343" s="176"/>
      <c r="F343" s="176"/>
      <c r="G343" s="176"/>
      <c r="H343" s="176"/>
      <c r="I343" s="213"/>
      <c r="J343" s="330"/>
      <c r="K343" s="213"/>
      <c r="L343" s="213"/>
      <c r="M343" s="213"/>
      <c r="N343" s="213"/>
      <c r="O343" s="213"/>
      <c r="P343" s="213"/>
      <c r="Q343" s="213"/>
      <c r="R343" s="213"/>
      <c r="S343" s="331"/>
      <c r="T343" s="342"/>
      <c r="U343" s="213"/>
      <c r="V343" s="213"/>
      <c r="W343" s="213"/>
      <c r="X343" s="213"/>
      <c r="Y343" s="213"/>
      <c r="Z343" s="213"/>
      <c r="AA343" s="213"/>
      <c r="AB343" s="213"/>
      <c r="AC343" s="213"/>
      <c r="AD343" s="213"/>
      <c r="AE343" s="213"/>
      <c r="AF343" s="213"/>
      <c r="AG343" s="213"/>
      <c r="AH343" s="213"/>
      <c r="AI343" s="213"/>
      <c r="AJ343" s="213"/>
      <c r="AK343" s="213"/>
      <c r="AL343" s="213"/>
      <c r="AM343" s="213"/>
      <c r="AN343" s="213"/>
      <c r="AO343" s="213"/>
      <c r="AP343" s="213"/>
      <c r="AQ343" s="213"/>
      <c r="AR343" s="213"/>
      <c r="AS343" s="213"/>
      <c r="AT343" s="213"/>
      <c r="AU343" s="213"/>
      <c r="AV343" s="213"/>
      <c r="AW343" s="213"/>
      <c r="AX343" s="213"/>
      <c r="AY343" s="213"/>
      <c r="AZ343" s="213"/>
      <c r="BA343" s="213"/>
      <c r="BB343" s="213"/>
      <c r="BC343" s="213"/>
      <c r="BD343" s="213"/>
      <c r="BE343" s="213"/>
      <c r="BF343" s="213"/>
      <c r="BG343" s="213"/>
      <c r="BH343" s="213"/>
      <c r="BI343" s="213"/>
      <c r="BJ343" s="213"/>
      <c r="BK343" s="213"/>
      <c r="BL343" s="213"/>
      <c r="BM343" s="213"/>
      <c r="BN343" s="213"/>
      <c r="BO343" s="213"/>
      <c r="BP343" s="213"/>
    </row>
    <row r="344" spans="1:68" s="399" customFormat="1" ht="38.25" x14ac:dyDescent="0.25">
      <c r="A344" s="398"/>
      <c r="B344" s="263" t="s">
        <v>3481</v>
      </c>
      <c r="C344" s="177" t="s">
        <v>4563</v>
      </c>
      <c r="D344" s="178" t="s">
        <v>101</v>
      </c>
      <c r="E344" s="178" t="s">
        <v>1104</v>
      </c>
      <c r="F344" s="179"/>
      <c r="G344" s="180"/>
      <c r="H344" s="181">
        <f>ROUND(SUM(H345:H347),2)</f>
        <v>4010.66</v>
      </c>
      <c r="J344" s="401"/>
      <c r="S344" s="402"/>
      <c r="T344" s="400"/>
    </row>
    <row r="345" spans="1:68" s="399" customFormat="1" ht="63.75" x14ac:dyDescent="0.25">
      <c r="A345" s="398" t="s">
        <v>1122</v>
      </c>
      <c r="B345" s="207">
        <v>42431</v>
      </c>
      <c r="C345" s="548" t="str">
        <f>IF(A345="SERVIÇO",VLOOKUP(B345,SERVIÇOS!$A$6:$D$7697,2,0),IF(A345="INSUMO",VLOOKUP(B345,INSUMOS!$A$6:$D$4845,2,0),IF(A345="COTAÇÃO",VLOOKUP(B345,'014-22-cotação'!$A$9:$I$138,2,0),IF(A345="AUX",VLOOKUP('014-22-CCU''s'!B345,'014-22-CCU''s AUX'!$B$1:$H$130,2,0)))))</f>
        <v xml:space="preserve">PRESSAO DE PERNAS TRIPLO, EM TUBO DE ACO CARBONO, PINTURA NO PROCESSO ELETROSTATICO - EQUIPAMENTO DE GINASTICA PARA ACADEMIA AO AR LIVRE / ACADEMIA DA TERCEIRA IDADE - ATI                                                                                                                                                                                                                                                                                                                               </v>
      </c>
      <c r="D345" s="549" t="str">
        <f>IF(A345="SERVIÇO",VLOOKUP(B345,SERVIÇOS!$A$6:$E$7697,5,0),IF(A345="INSUMO",VLOOKUP(B345,INSUMOS!$A$6:$E$4845,5,0),IF(A345="COTAÇÃO",VLOOKUP(B345,'014-22-cotação'!$A$9:$J$138,10,0),IF(A345="AUX",VLOOKUP('014-22-CCU''s'!B345,'014-22-CCU''s AUX'!$B$1:$H$130,3,0)))))</f>
        <v>MAT.</v>
      </c>
      <c r="E345" s="549" t="str">
        <f>IF(A345="SERVIÇO",VLOOKUP(B345,SERVIÇOS!$A$6:$D$7697,3,0),IF(A345="INSUMO",VLOOKUP(B345,INSUMOS!$A$6:$D$4845,3,0),IF(A345="COTAÇÃO",VLOOKUP(B345,'014-22-cotação'!$A$9:$I$138,4,0),IF(A345="AUX",VLOOKUP('014-22-CCU''s'!B345,'014-22-CCU''s AUX'!$B$1:$H$130,4,0)))))</f>
        <v xml:space="preserve">UN    </v>
      </c>
      <c r="F345" s="566">
        <v>1</v>
      </c>
      <c r="G345" s="550">
        <f>IF(A345="SERVIÇO",VLOOKUP(B345,SERVIÇOS!$A$6:$D$7697,4,0),IF(A345="INSUMO",VLOOKUP(B345,INSUMOS!$A$6:$D$4845,4,0),IF(A345="COTAÇÃO",VLOOKUP(B345,'014-22-cotação'!$A$9:$I$138,3,0),IF(A345="AUX",VLOOKUP('014-22-CCU''s'!B345,'014-22-CCU''s AUX'!$B$1:$H$130,7,0)))))</f>
        <v>3957.85</v>
      </c>
      <c r="H345" s="561">
        <f>TRUNC((F345*G345),2)</f>
        <v>3957.85</v>
      </c>
      <c r="J345" s="407"/>
      <c r="S345" s="402"/>
      <c r="T345" s="400"/>
    </row>
    <row r="346" spans="1:68" s="126" customFormat="1" ht="25.5" x14ac:dyDescent="0.2">
      <c r="A346" s="398" t="s">
        <v>1120</v>
      </c>
      <c r="B346" s="207">
        <v>88309</v>
      </c>
      <c r="C346" s="548" t="str">
        <f>IF(A346="SERVIÇO",VLOOKUP(B346,SERVIÇOS!$A$6:$D$7697,2,0),IF(A346="INSUMO",VLOOKUP(B346,INSUMOS!$A$6:$D$4845,2,0),IF(A346="COTAÇÃO",VLOOKUP(B346,'014-22-cotação'!$A$9:$I$138,2,0),IF(A346="AUX",VLOOKUP('014-22-CCU''s'!B346,'014-22-CCU''s AUX'!$B$1:$H$130,2,0)))))</f>
        <v>PEDREIRO COM ENCARGOS COMPLEMENTARES</v>
      </c>
      <c r="D346" s="549" t="str">
        <f>IF(A346="SERVIÇO",VLOOKUP(B346,SERVIÇOS!$A$6:$E$7697,5,0),IF(A346="INSUMO",VLOOKUP(B346,INSUMOS!$A$6:$E$4845,5,0),IF(A346="COTAÇÃO",VLOOKUP(B346,'014-22-cotação'!$A$9:$J$138,10,0),IF(A346="AUX",VLOOKUP('014-22-CCU''s'!B346,'014-22-CCU''s AUX'!$B$1:$H$130,3,0)))))</f>
        <v>M.O</v>
      </c>
      <c r="E346" s="549" t="str">
        <f>IF(A346="SERVIÇO",VLOOKUP(B346,SERVIÇOS!$A$6:$D$7697,3,0),IF(A346="INSUMO",VLOOKUP(B346,INSUMOS!$A$6:$D$4845,3,0),IF(A346="COTAÇÃO",VLOOKUP(B346,'014-22-cotação'!$A$9:$I$138,4,0),IF(A346="AUX",VLOOKUP('014-22-CCU''s'!B346,'014-22-CCU''s AUX'!$B$1:$H$130,4,0)))))</f>
        <v>H</v>
      </c>
      <c r="F346" s="566">
        <v>1.2341</v>
      </c>
      <c r="G346" s="550">
        <f>IF(A346="SERVIÇO",VLOOKUP(B346,SERVIÇOS!$A$6:$D$7697,4,0),IF(A346="INSUMO",VLOOKUP(B346,INSUMOS!$A$6:$D$4845,4,0),IF(A346="COTAÇÃO",VLOOKUP(B346,'014-22-cotação'!$A$9:$I$138,3,0),IF(A346="AUX",VLOOKUP('014-22-CCU''s'!B346,'014-22-CCU''s AUX'!$B$1:$H$130,7,0)))))</f>
        <v>31.1</v>
      </c>
      <c r="H346" s="561">
        <f>TRUNC((F346*G346),2)</f>
        <v>38.380000000000003</v>
      </c>
      <c r="J346" s="413"/>
    </row>
    <row r="347" spans="1:68" s="399" customFormat="1" ht="25.5" x14ac:dyDescent="0.25">
      <c r="A347" s="398" t="s">
        <v>1120</v>
      </c>
      <c r="B347" s="207">
        <v>88316</v>
      </c>
      <c r="C347" s="548" t="str">
        <f>IF(A347="SERVIÇO",VLOOKUP(B347,SERVIÇOS!$A$6:$D$7697,2,0),IF(A347="INSUMO",VLOOKUP(B347,INSUMOS!$A$6:$D$4845,2,0),IF(A347="COTAÇÃO",VLOOKUP(B347,'014-22-cotação'!$A$9:$I$138,2,0),IF(A347="AUX",VLOOKUP('014-22-CCU''s'!B347,'014-22-CCU''s AUX'!$B$1:$H$130,2,0)))))</f>
        <v>SERVENTE COM ENCARGOS COMPLEMENTARES</v>
      </c>
      <c r="D347" s="549" t="str">
        <f>IF(A347="SERVIÇO",VLOOKUP(B347,SERVIÇOS!$A$6:$E$7697,5,0),IF(A347="INSUMO",VLOOKUP(B347,INSUMOS!$A$6:$E$4845,5,0),IF(A347="COTAÇÃO",VLOOKUP(B347,'014-22-cotação'!$A$9:$J$138,10,0),IF(A347="AUX",VLOOKUP('014-22-CCU''s'!B347,'014-22-CCU''s AUX'!$B$1:$H$130,3,0)))))</f>
        <v>M.O</v>
      </c>
      <c r="E347" s="549" t="str">
        <f>IF(A347="SERVIÇO",VLOOKUP(B347,SERVIÇOS!$A$6:$D$7697,3,0),IF(A347="INSUMO",VLOOKUP(B347,INSUMOS!$A$6:$D$4845,3,0),IF(A347="COTAÇÃO",VLOOKUP(B347,'014-22-cotação'!$A$9:$I$138,4,0),IF(A347="AUX",VLOOKUP('014-22-CCU''s'!B347,'014-22-CCU''s AUX'!$B$1:$H$130,4,0)))))</f>
        <v>H</v>
      </c>
      <c r="F347" s="566">
        <v>0.61699999999999999</v>
      </c>
      <c r="G347" s="550">
        <f>IF(A347="SERVIÇO",VLOOKUP(B347,SERVIÇOS!$A$6:$D$7697,4,0),IF(A347="INSUMO",VLOOKUP(B347,INSUMOS!$A$6:$D$4845,4,0),IF(A347="COTAÇÃO",VLOOKUP(B347,'014-22-cotação'!$A$9:$I$138,3,0),IF(A347="AUX",VLOOKUP('014-22-CCU''s'!B347,'014-22-CCU''s AUX'!$B$1:$H$130,7,0)))))</f>
        <v>23.4</v>
      </c>
      <c r="H347" s="561">
        <f>TRUNC((F347*G347),2)</f>
        <v>14.43</v>
      </c>
      <c r="J347" s="407"/>
      <c r="S347" s="402"/>
      <c r="T347" s="400"/>
    </row>
    <row r="348" spans="1:68" s="399" customFormat="1" ht="12.75" x14ac:dyDescent="0.25">
      <c r="A348" s="398"/>
      <c r="B348" s="207" t="s">
        <v>109</v>
      </c>
      <c r="C348" s="382" t="s">
        <v>4557</v>
      </c>
      <c r="D348" s="383"/>
      <c r="E348" s="383"/>
      <c r="F348" s="383"/>
      <c r="G348" s="383"/>
      <c r="H348" s="384"/>
      <c r="J348" s="407"/>
      <c r="S348" s="402"/>
      <c r="T348" s="400"/>
    </row>
    <row r="349" spans="1:68" s="399" customFormat="1" ht="12.75" x14ac:dyDescent="0.25">
      <c r="A349" s="398"/>
      <c r="B349" s="208"/>
      <c r="C349" s="175"/>
      <c r="D349" s="176"/>
      <c r="E349" s="176"/>
      <c r="F349" s="176"/>
      <c r="G349" s="176"/>
      <c r="H349" s="176"/>
      <c r="J349" s="407"/>
      <c r="S349" s="402"/>
      <c r="T349" s="400"/>
    </row>
    <row r="350" spans="1:68" s="126" customFormat="1" ht="38.25" x14ac:dyDescent="0.2">
      <c r="A350" s="398"/>
      <c r="B350" s="263" t="s">
        <v>3482</v>
      </c>
      <c r="C350" s="177" t="s">
        <v>4564</v>
      </c>
      <c r="D350" s="178" t="s">
        <v>101</v>
      </c>
      <c r="E350" s="178" t="s">
        <v>1104</v>
      </c>
      <c r="F350" s="179"/>
      <c r="G350" s="180"/>
      <c r="H350" s="181">
        <f>ROUND(SUM(H351:H353),2)</f>
        <v>6168.59</v>
      </c>
      <c r="J350" s="413"/>
    </row>
    <row r="351" spans="1:68" s="399" customFormat="1" ht="63.75" x14ac:dyDescent="0.25">
      <c r="A351" s="398" t="s">
        <v>1122</v>
      </c>
      <c r="B351" s="207">
        <v>42429</v>
      </c>
      <c r="C351" s="548" t="str">
        <f>IF(A351="SERVIÇO",VLOOKUP(B351,SERVIÇOS!$A$6:$D$7697,2,0),IF(A351="INSUMO",VLOOKUP(B351,INSUMOS!$A$6:$D$4845,2,0),IF(A351="COTAÇÃO",VLOOKUP(B351,'014-22-cotação'!$A$9:$I$138,2,0),IF(A351="AUX",VLOOKUP('014-22-CCU''s'!B351,'014-22-CCU''s AUX'!$B$1:$H$130,2,0)))))</f>
        <v xml:space="preserve">ESQUI TRIPLO, EM TUBO DE ACO CARBONO, PINTURA NO PROCESSO ELETROSTATICO - EQUIPAMENTO DE GINASTICA PARA ACADEMIA AO AR LIVRE / ACADEMIA DA TERCEIRA IDADE - ATI                                                                                                                                                                                                                                                                                                                                           </v>
      </c>
      <c r="D351" s="549" t="str">
        <f>IF(A351="SERVIÇO",VLOOKUP(B351,SERVIÇOS!$A$6:$E$7697,5,0),IF(A351="INSUMO",VLOOKUP(B351,INSUMOS!$A$6:$E$4845,5,0),IF(A351="COTAÇÃO",VLOOKUP(B351,'014-22-cotação'!$A$9:$J$138,10,0),IF(A351="AUX",VLOOKUP('014-22-CCU''s'!B351,'014-22-CCU''s AUX'!$B$1:$H$130,3,0)))))</f>
        <v>MAT.</v>
      </c>
      <c r="E351" s="549" t="str">
        <f>IF(A351="SERVIÇO",VLOOKUP(B351,SERVIÇOS!$A$6:$D$7697,3,0),IF(A351="INSUMO",VLOOKUP(B351,INSUMOS!$A$6:$D$4845,3,0),IF(A351="COTAÇÃO",VLOOKUP(B351,'014-22-cotação'!$A$9:$I$138,4,0),IF(A351="AUX",VLOOKUP('014-22-CCU''s'!B351,'014-22-CCU''s AUX'!$B$1:$H$130,4,0)))))</f>
        <v xml:space="preserve">UN    </v>
      </c>
      <c r="F351" s="566">
        <v>1</v>
      </c>
      <c r="G351" s="550">
        <f>IF(A351="SERVIÇO",VLOOKUP(B351,SERVIÇOS!$A$6:$D$7697,4,0),IF(A351="INSUMO",VLOOKUP(B351,INSUMOS!$A$6:$D$4845,4,0),IF(A351="COTAÇÃO",VLOOKUP(B351,'014-22-cotação'!$A$9:$I$138,3,0),IF(A351="AUX",VLOOKUP('014-22-CCU''s'!B351,'014-22-CCU''s AUX'!$B$1:$H$130,7,0)))))</f>
        <v>6025.1</v>
      </c>
      <c r="H351" s="561">
        <f>TRUNC((F351*G351),2)</f>
        <v>6025.1</v>
      </c>
      <c r="J351" s="407"/>
      <c r="S351" s="402"/>
      <c r="T351" s="400"/>
    </row>
    <row r="352" spans="1:68" s="399" customFormat="1" ht="25.5" x14ac:dyDescent="0.25">
      <c r="A352" s="398" t="s">
        <v>1120</v>
      </c>
      <c r="B352" s="207">
        <v>88309</v>
      </c>
      <c r="C352" s="548" t="str">
        <f>IF(A352="SERVIÇO",VLOOKUP(B352,SERVIÇOS!$A$6:$D$7697,2,0),IF(A352="INSUMO",VLOOKUP(B352,INSUMOS!$A$6:$D$4845,2,0),IF(A352="COTAÇÃO",VLOOKUP(B352,'014-22-cotação'!$A$9:$I$138,2,0),IF(A352="AUX",VLOOKUP('014-22-CCU''s'!B352,'014-22-CCU''s AUX'!$B$1:$H$130,2,0)))))</f>
        <v>PEDREIRO COM ENCARGOS COMPLEMENTARES</v>
      </c>
      <c r="D352" s="549" t="str">
        <f>IF(A352="SERVIÇO",VLOOKUP(B352,SERVIÇOS!$A$6:$E$7697,5,0),IF(A352="INSUMO",VLOOKUP(B352,INSUMOS!$A$6:$E$4845,5,0),IF(A352="COTAÇÃO",VLOOKUP(B352,'014-22-cotação'!$A$9:$J$138,10,0),IF(A352="AUX",VLOOKUP('014-22-CCU''s'!B352,'014-22-CCU''s AUX'!$B$1:$H$130,3,0)))))</f>
        <v>M.O</v>
      </c>
      <c r="E352" s="549" t="str">
        <f>IF(A352="SERVIÇO",VLOOKUP(B352,SERVIÇOS!$A$6:$D$7697,3,0),IF(A352="INSUMO",VLOOKUP(B352,INSUMOS!$A$6:$D$4845,3,0),IF(A352="COTAÇÃO",VLOOKUP(B352,'014-22-cotação'!$A$9:$I$138,4,0),IF(A352="AUX",VLOOKUP('014-22-CCU''s'!B352,'014-22-CCU''s AUX'!$B$1:$H$130,4,0)))))</f>
        <v>H</v>
      </c>
      <c r="F352" s="566">
        <v>3.3527999999999998</v>
      </c>
      <c r="G352" s="550">
        <f>IF(A352="SERVIÇO",VLOOKUP(B352,SERVIÇOS!$A$6:$D$7697,4,0),IF(A352="INSUMO",VLOOKUP(B352,INSUMOS!$A$6:$D$4845,4,0),IF(A352="COTAÇÃO",VLOOKUP(B352,'014-22-cotação'!$A$9:$I$138,3,0),IF(A352="AUX",VLOOKUP('014-22-CCU''s'!B352,'014-22-CCU''s AUX'!$B$1:$H$130,7,0)))))</f>
        <v>31.1</v>
      </c>
      <c r="H352" s="561">
        <f>TRUNC((F352*G352),2)</f>
        <v>104.27</v>
      </c>
      <c r="J352" s="407"/>
      <c r="S352" s="402"/>
      <c r="T352" s="400"/>
    </row>
    <row r="353" spans="1:20" s="399" customFormat="1" ht="25.5" x14ac:dyDescent="0.25">
      <c r="A353" s="398" t="s">
        <v>1120</v>
      </c>
      <c r="B353" s="207">
        <v>88316</v>
      </c>
      <c r="C353" s="548" t="str">
        <f>IF(A353="SERVIÇO",VLOOKUP(B353,SERVIÇOS!$A$6:$D$7697,2,0),IF(A353="INSUMO",VLOOKUP(B353,INSUMOS!$A$6:$D$4845,2,0),IF(A353="COTAÇÃO",VLOOKUP(B353,'014-22-cotação'!$A$9:$I$138,2,0),IF(A353="AUX",VLOOKUP('014-22-CCU''s'!B353,'014-22-CCU''s AUX'!$B$1:$H$130,2,0)))))</f>
        <v>SERVENTE COM ENCARGOS COMPLEMENTARES</v>
      </c>
      <c r="D353" s="549" t="str">
        <f>IF(A353="SERVIÇO",VLOOKUP(B353,SERVIÇOS!$A$6:$E$7697,5,0),IF(A353="INSUMO",VLOOKUP(B353,INSUMOS!$A$6:$E$4845,5,0),IF(A353="COTAÇÃO",VLOOKUP(B353,'014-22-cotação'!$A$9:$J$138,10,0),IF(A353="AUX",VLOOKUP('014-22-CCU''s'!B353,'014-22-CCU''s AUX'!$B$1:$H$130,3,0)))))</f>
        <v>M.O</v>
      </c>
      <c r="E353" s="549" t="str">
        <f>IF(A353="SERVIÇO",VLOOKUP(B353,SERVIÇOS!$A$6:$D$7697,3,0),IF(A353="INSUMO",VLOOKUP(B353,INSUMOS!$A$6:$D$4845,3,0),IF(A353="COTAÇÃO",VLOOKUP(B353,'014-22-cotação'!$A$9:$I$138,4,0),IF(A353="AUX",VLOOKUP('014-22-CCU''s'!B353,'014-22-CCU''s AUX'!$B$1:$H$130,4,0)))))</f>
        <v>H</v>
      </c>
      <c r="F353" s="566">
        <v>1.6763999999999999</v>
      </c>
      <c r="G353" s="550">
        <f>IF(A353="SERVIÇO",VLOOKUP(B353,SERVIÇOS!$A$6:$D$7697,4,0),IF(A353="INSUMO",VLOOKUP(B353,INSUMOS!$A$6:$D$4845,4,0),IF(A353="COTAÇÃO",VLOOKUP(B353,'014-22-cotação'!$A$9:$I$138,3,0),IF(A353="AUX",VLOOKUP('014-22-CCU''s'!B353,'014-22-CCU''s AUX'!$B$1:$H$130,7,0)))))</f>
        <v>23.4</v>
      </c>
      <c r="H353" s="561">
        <f>TRUNC((F353*G353),2)</f>
        <v>39.22</v>
      </c>
      <c r="J353" s="407"/>
      <c r="K353" s="399">
        <v>11963</v>
      </c>
      <c r="S353" s="402"/>
      <c r="T353" s="400"/>
    </row>
    <row r="354" spans="1:20" s="399" customFormat="1" ht="12.75" x14ac:dyDescent="0.25">
      <c r="A354" s="398"/>
      <c r="B354" s="207" t="s">
        <v>109</v>
      </c>
      <c r="C354" s="382" t="s">
        <v>4565</v>
      </c>
      <c r="D354" s="383"/>
      <c r="E354" s="383"/>
      <c r="F354" s="383"/>
      <c r="G354" s="383"/>
      <c r="H354" s="384"/>
      <c r="J354" s="407"/>
      <c r="S354" s="402"/>
      <c r="T354" s="400"/>
    </row>
    <row r="355" spans="1:20" s="126" customFormat="1" ht="12.75" x14ac:dyDescent="0.2">
      <c r="A355" s="398"/>
      <c r="B355" s="208"/>
      <c r="C355" s="175"/>
      <c r="D355" s="176"/>
      <c r="E355" s="176"/>
      <c r="F355" s="176"/>
      <c r="G355" s="176"/>
      <c r="H355" s="176"/>
      <c r="J355" s="413"/>
    </row>
    <row r="356" spans="1:20" s="399" customFormat="1" ht="38.25" x14ac:dyDescent="0.25">
      <c r="A356" s="398"/>
      <c r="B356" s="263" t="s">
        <v>3483</v>
      </c>
      <c r="C356" s="177" t="s">
        <v>4566</v>
      </c>
      <c r="D356" s="178" t="s">
        <v>101</v>
      </c>
      <c r="E356" s="178" t="s">
        <v>1104</v>
      </c>
      <c r="F356" s="179"/>
      <c r="G356" s="180"/>
      <c r="H356" s="181">
        <f>ROUND(SUM(H357:H359),2)</f>
        <v>2633.59</v>
      </c>
      <c r="J356" s="407"/>
      <c r="S356" s="402"/>
      <c r="T356" s="400"/>
    </row>
    <row r="357" spans="1:20" s="213" customFormat="1" ht="63.75" x14ac:dyDescent="0.25">
      <c r="A357" s="199" t="s">
        <v>1122</v>
      </c>
      <c r="B357" s="207">
        <v>42435</v>
      </c>
      <c r="C357" s="548" t="str">
        <f>IF(A357="SERVIÇO",VLOOKUP(B357,SERVIÇOS!$A$6:$D$7697,2,0),IF(A357="INSUMO",VLOOKUP(B357,INSUMOS!$A$6:$D$4845,2,0),IF(A357="COTAÇÃO",VLOOKUP(B357,'014-22-cotação'!$A$9:$I$138,2,0),IF(A357="AUX",VLOOKUP('014-22-CCU''s'!B357,'014-22-CCU''s AUX'!$B$1:$H$130,2,0)))))</f>
        <v xml:space="preserve">SIMULADOR DE REMO INDIVIDUAL, EM TUBO DE ACO CARBONO, PINTURA NO PROCESSO ELETROSTATICO - EQUIPAMENTO DE GINASTICA PARA ACADEMIA AO AR LIVRE / ACADEMIA DA TERCEIRA IDADE - ATI                                                                                                                                                                                                                                                                                                                           </v>
      </c>
      <c r="D357" s="549" t="str">
        <f>IF(A357="SERVIÇO",VLOOKUP(B357,SERVIÇOS!$A$6:$E$7697,5,0),IF(A357="INSUMO",VLOOKUP(B357,INSUMOS!$A$6:$E$4845,5,0),IF(A357="COTAÇÃO",VLOOKUP(B357,'014-22-cotação'!$A$9:$J$138,10,0),IF(A357="AUX",VLOOKUP('014-22-CCU''s'!B357,'014-22-CCU''s AUX'!$B$1:$H$130,3,0)))))</f>
        <v>MAT.</v>
      </c>
      <c r="E357" s="549" t="str">
        <f>IF(A357="SERVIÇO",VLOOKUP(B357,SERVIÇOS!$A$6:$D$7697,3,0),IF(A357="INSUMO",VLOOKUP(B357,INSUMOS!$A$6:$D$4845,3,0),IF(A357="COTAÇÃO",VLOOKUP(B357,'014-22-cotação'!$A$9:$I$138,4,0),IF(A357="AUX",VLOOKUP('014-22-CCU''s'!B357,'014-22-CCU''s AUX'!$B$1:$H$130,4,0)))))</f>
        <v xml:space="preserve">UN    </v>
      </c>
      <c r="F357" s="566">
        <v>1</v>
      </c>
      <c r="G357" s="550">
        <f>IF(A357="SERVIÇO",VLOOKUP(B357,SERVIÇOS!$A$6:$D$7697,4,0),IF(A357="INSUMO",VLOOKUP(B357,INSUMOS!$A$6:$D$4845,4,0),IF(A357="COTAÇÃO",VLOOKUP(B357,'014-22-cotação'!$A$9:$I$138,3,0),IF(A357="AUX",VLOOKUP('014-22-CCU''s'!B357,'014-22-CCU''s AUX'!$B$1:$H$130,7,0)))))</f>
        <v>2580.7800000000002</v>
      </c>
      <c r="H357" s="561">
        <f>TRUNC((F357*G357),2)</f>
        <v>2580.7800000000002</v>
      </c>
      <c r="J357" s="330"/>
      <c r="S357" s="331"/>
      <c r="T357" s="342"/>
    </row>
    <row r="358" spans="1:20" s="213" customFormat="1" ht="25.5" x14ac:dyDescent="0.25">
      <c r="A358" s="199" t="s">
        <v>1120</v>
      </c>
      <c r="B358" s="207">
        <v>88309</v>
      </c>
      <c r="C358" s="548" t="str">
        <f>IF(A358="SERVIÇO",VLOOKUP(B358,SERVIÇOS!$A$6:$D$7697,2,0),IF(A358="INSUMO",VLOOKUP(B358,INSUMOS!$A$6:$D$4845,2,0),IF(A358="COTAÇÃO",VLOOKUP(B358,'014-22-cotação'!$A$9:$I$138,2,0),IF(A358="AUX",VLOOKUP('014-22-CCU''s'!B358,'014-22-CCU''s AUX'!$B$1:$H$130,2,0)))))</f>
        <v>PEDREIRO COM ENCARGOS COMPLEMENTARES</v>
      </c>
      <c r="D358" s="549" t="str">
        <f>IF(A358="SERVIÇO",VLOOKUP(B358,SERVIÇOS!$A$6:$E$7697,5,0),IF(A358="INSUMO",VLOOKUP(B358,INSUMOS!$A$6:$E$4845,5,0),IF(A358="COTAÇÃO",VLOOKUP(B358,'014-22-cotação'!$A$9:$J$138,10,0),IF(A358="AUX",VLOOKUP('014-22-CCU''s'!B358,'014-22-CCU''s AUX'!$B$1:$H$130,3,0)))))</f>
        <v>M.O</v>
      </c>
      <c r="E358" s="549" t="str">
        <f>IF(A358="SERVIÇO",VLOOKUP(B358,SERVIÇOS!$A$6:$D$7697,3,0),IF(A358="INSUMO",VLOOKUP(B358,INSUMOS!$A$6:$D$4845,3,0),IF(A358="COTAÇÃO",VLOOKUP(B358,'014-22-cotação'!$A$9:$I$138,4,0),IF(A358="AUX",VLOOKUP('014-22-CCU''s'!B358,'014-22-CCU''s AUX'!$B$1:$H$130,4,0)))))</f>
        <v>H</v>
      </c>
      <c r="F358" s="566">
        <v>1.2341</v>
      </c>
      <c r="G358" s="550">
        <f>IF(A358="SERVIÇO",VLOOKUP(B358,SERVIÇOS!$A$6:$D$7697,4,0),IF(A358="INSUMO",VLOOKUP(B358,INSUMOS!$A$6:$D$4845,4,0),IF(A358="COTAÇÃO",VLOOKUP(B358,'014-22-cotação'!$A$9:$I$138,3,0),IF(A358="AUX",VLOOKUP('014-22-CCU''s'!B358,'014-22-CCU''s AUX'!$B$1:$H$130,7,0)))))</f>
        <v>31.1</v>
      </c>
      <c r="H358" s="561">
        <f>TRUNC((F358*G358),2)</f>
        <v>38.380000000000003</v>
      </c>
      <c r="J358" s="83"/>
      <c r="S358" s="331"/>
      <c r="T358" s="342"/>
    </row>
    <row r="359" spans="1:20" s="213" customFormat="1" ht="25.5" x14ac:dyDescent="0.25">
      <c r="A359" s="199" t="s">
        <v>1120</v>
      </c>
      <c r="B359" s="207">
        <v>88316</v>
      </c>
      <c r="C359" s="548" t="str">
        <f>IF(A359="SERVIÇO",VLOOKUP(B359,SERVIÇOS!$A$6:$D$7697,2,0),IF(A359="INSUMO",VLOOKUP(B359,INSUMOS!$A$6:$D$4845,2,0),IF(A359="COTAÇÃO",VLOOKUP(B359,'014-22-cotação'!$A$9:$I$138,2,0),IF(A359="AUX",VLOOKUP('014-22-CCU''s'!B359,'014-22-CCU''s AUX'!$B$1:$H$130,2,0)))))</f>
        <v>SERVENTE COM ENCARGOS COMPLEMENTARES</v>
      </c>
      <c r="D359" s="549" t="str">
        <f>IF(A359="SERVIÇO",VLOOKUP(B359,SERVIÇOS!$A$6:$E$7697,5,0),IF(A359="INSUMO",VLOOKUP(B359,INSUMOS!$A$6:$E$4845,5,0),IF(A359="COTAÇÃO",VLOOKUP(B359,'014-22-cotação'!$A$9:$J$138,10,0),IF(A359="AUX",VLOOKUP('014-22-CCU''s'!B359,'014-22-CCU''s AUX'!$B$1:$H$130,3,0)))))</f>
        <v>M.O</v>
      </c>
      <c r="E359" s="549" t="str">
        <f>IF(A359="SERVIÇO",VLOOKUP(B359,SERVIÇOS!$A$6:$D$7697,3,0),IF(A359="INSUMO",VLOOKUP(B359,INSUMOS!$A$6:$D$4845,3,0),IF(A359="COTAÇÃO",VLOOKUP(B359,'014-22-cotação'!$A$9:$I$138,4,0),IF(A359="AUX",VLOOKUP('014-22-CCU''s'!B359,'014-22-CCU''s AUX'!$B$1:$H$130,4,0)))))</f>
        <v>H</v>
      </c>
      <c r="F359" s="566">
        <v>0.61699999999999999</v>
      </c>
      <c r="G359" s="550">
        <f>IF(A359="SERVIÇO",VLOOKUP(B359,SERVIÇOS!$A$6:$D$7697,4,0),IF(A359="INSUMO",VLOOKUP(B359,INSUMOS!$A$6:$D$4845,4,0),IF(A359="COTAÇÃO",VLOOKUP(B359,'014-22-cotação'!$A$9:$I$138,3,0),IF(A359="AUX",VLOOKUP('014-22-CCU''s'!B359,'014-22-CCU''s AUX'!$B$1:$H$130,7,0)))))</f>
        <v>23.4</v>
      </c>
      <c r="H359" s="561">
        <f>TRUNC((F359*G359),2)</f>
        <v>14.43</v>
      </c>
      <c r="J359" s="83"/>
      <c r="S359" s="331"/>
      <c r="T359" s="342"/>
    </row>
    <row r="360" spans="1:20" s="399" customFormat="1" ht="12.75" x14ac:dyDescent="0.25">
      <c r="A360" s="398"/>
      <c r="B360" s="207" t="s">
        <v>109</v>
      </c>
      <c r="C360" s="382" t="s">
        <v>4557</v>
      </c>
      <c r="D360" s="383"/>
      <c r="E360" s="383"/>
      <c r="F360" s="383"/>
      <c r="G360" s="383"/>
      <c r="H360" s="384"/>
      <c r="J360" s="401"/>
      <c r="S360" s="402"/>
      <c r="T360" s="400"/>
    </row>
    <row r="361" spans="1:20" s="399" customFormat="1" ht="12.75" x14ac:dyDescent="0.25">
      <c r="A361" s="398"/>
      <c r="B361" s="208"/>
      <c r="C361" s="175"/>
      <c r="D361" s="176"/>
      <c r="E361" s="176"/>
      <c r="F361" s="176"/>
      <c r="G361" s="176"/>
      <c r="H361" s="176"/>
      <c r="J361" s="401"/>
      <c r="S361" s="402"/>
      <c r="T361" s="400"/>
    </row>
    <row r="362" spans="1:20" s="399" customFormat="1" ht="38.25" x14ac:dyDescent="0.25">
      <c r="A362" s="398"/>
      <c r="B362" s="263" t="s">
        <v>3484</v>
      </c>
      <c r="C362" s="177" t="s">
        <v>4567</v>
      </c>
      <c r="D362" s="178" t="s">
        <v>101</v>
      </c>
      <c r="E362" s="178" t="s">
        <v>1104</v>
      </c>
      <c r="F362" s="179"/>
      <c r="G362" s="180"/>
      <c r="H362" s="181">
        <f>ROUND(SUM(H363:H365),2)</f>
        <v>2323.81</v>
      </c>
      <c r="J362" s="401" t="s">
        <v>4546</v>
      </c>
      <c r="S362" s="402"/>
      <c r="T362" s="400"/>
    </row>
    <row r="363" spans="1:20" s="213" customFormat="1" ht="63.75" x14ac:dyDescent="0.25">
      <c r="A363" s="199" t="s">
        <v>1122</v>
      </c>
      <c r="B363" s="207">
        <v>42428</v>
      </c>
      <c r="C363" s="548" t="str">
        <f>IF(A363="SERVIÇO",VLOOKUP(B363,SERVIÇOS!$A$6:$D$7697,2,0),IF(A363="INSUMO",VLOOKUP(B363,INSUMOS!$A$6:$D$4845,2,0),IF(A363="COTAÇÃO",VLOOKUP(B363,'014-22-cotação'!$A$9:$I$138,2,0),IF(A363="AUX",VLOOKUP('014-22-CCU''s'!B363,'014-22-CCU''s AUX'!$B$1:$H$130,2,0)))))</f>
        <v xml:space="preserve">ALONGADOR COM TRES ALTURAS, EM TUBO DE ACO CARBONO, PINTURA NO PROCESSO ELETROSTATICO - EQUIPAMENTO DE GINASTICA PARA ACADEMIA AO AR LIVRE / ACADEMIA DA TERCEIRA IDADE - ATI                                                                                                                                                                                                                                                                                                                             </v>
      </c>
      <c r="D363" s="549" t="str">
        <f>IF(A363="SERVIÇO",VLOOKUP(B363,SERVIÇOS!$A$6:$E$7697,5,0),IF(A363="INSUMO",VLOOKUP(B363,INSUMOS!$A$6:$E$4845,5,0),IF(A363="COTAÇÃO",VLOOKUP(B363,'014-22-cotação'!$A$9:$J$138,10,0),IF(A363="AUX",VLOOKUP('014-22-CCU''s'!B363,'014-22-CCU''s AUX'!$B$1:$H$130,3,0)))))</f>
        <v>MAT.</v>
      </c>
      <c r="E363" s="549" t="str">
        <f>IF(A363="SERVIÇO",VLOOKUP(B363,SERVIÇOS!$A$6:$D$7697,3,0),IF(A363="INSUMO",VLOOKUP(B363,INSUMOS!$A$6:$D$4845,3,0),IF(A363="COTAÇÃO",VLOOKUP(B363,'014-22-cotação'!$A$9:$I$138,4,0),IF(A363="AUX",VLOOKUP('014-22-CCU''s'!B363,'014-22-CCU''s AUX'!$B$1:$H$130,4,0)))))</f>
        <v xml:space="preserve">UN    </v>
      </c>
      <c r="F363" s="566">
        <v>1</v>
      </c>
      <c r="G363" s="550">
        <f>IF(A363="SERVIÇO",VLOOKUP(B363,SERVIÇOS!$A$6:$D$7697,4,0),IF(A363="INSUMO",VLOOKUP(B363,INSUMOS!$A$6:$D$4845,4,0),IF(A363="COTAÇÃO",VLOOKUP(B363,'014-22-cotação'!$A$9:$I$138,3,0),IF(A363="AUX",VLOOKUP('014-22-CCU''s'!B363,'014-22-CCU''s AUX'!$B$1:$H$130,7,0)))))</f>
        <v>2271</v>
      </c>
      <c r="H363" s="561">
        <f>TRUNC((F363*G363),2)</f>
        <v>2271</v>
      </c>
      <c r="J363" s="83"/>
      <c r="S363" s="331"/>
      <c r="T363" s="342"/>
    </row>
    <row r="364" spans="1:20" s="213" customFormat="1" ht="25.5" x14ac:dyDescent="0.25">
      <c r="A364" s="199" t="s">
        <v>1120</v>
      </c>
      <c r="B364" s="207">
        <v>88309</v>
      </c>
      <c r="C364" s="548" t="str">
        <f>IF(A364="SERVIÇO",VLOOKUP(B364,SERVIÇOS!$A$6:$D$7697,2,0),IF(A364="INSUMO",VLOOKUP(B364,INSUMOS!$A$6:$D$4845,2,0),IF(A364="COTAÇÃO",VLOOKUP(B364,'014-22-cotação'!$A$9:$I$138,2,0),IF(A364="AUX",VLOOKUP('014-22-CCU''s'!B364,'014-22-CCU''s AUX'!$B$1:$H$130,2,0)))))</f>
        <v>PEDREIRO COM ENCARGOS COMPLEMENTARES</v>
      </c>
      <c r="D364" s="549" t="str">
        <f>IF(A364="SERVIÇO",VLOOKUP(B364,SERVIÇOS!$A$6:$E$7697,5,0),IF(A364="INSUMO",VLOOKUP(B364,INSUMOS!$A$6:$E$4845,5,0),IF(A364="COTAÇÃO",VLOOKUP(B364,'014-22-cotação'!$A$9:$J$138,10,0),IF(A364="AUX",VLOOKUP('014-22-CCU''s'!B364,'014-22-CCU''s AUX'!$B$1:$H$130,3,0)))))</f>
        <v>M.O</v>
      </c>
      <c r="E364" s="549" t="str">
        <f>IF(A364="SERVIÇO",VLOOKUP(B364,SERVIÇOS!$A$6:$D$7697,3,0),IF(A364="INSUMO",VLOOKUP(B364,INSUMOS!$A$6:$D$4845,3,0),IF(A364="COTAÇÃO",VLOOKUP(B364,'014-22-cotação'!$A$9:$I$138,4,0),IF(A364="AUX",VLOOKUP('014-22-CCU''s'!B364,'014-22-CCU''s AUX'!$B$1:$H$130,4,0)))))</f>
        <v>H</v>
      </c>
      <c r="F364" s="566">
        <v>1.2341</v>
      </c>
      <c r="G364" s="550">
        <f>IF(A364="SERVIÇO",VLOOKUP(B364,SERVIÇOS!$A$6:$D$7697,4,0),IF(A364="INSUMO",VLOOKUP(B364,INSUMOS!$A$6:$D$4845,4,0),IF(A364="COTAÇÃO",VLOOKUP(B364,'014-22-cotação'!$A$9:$I$138,3,0),IF(A364="AUX",VLOOKUP('014-22-CCU''s'!B364,'014-22-CCU''s AUX'!$B$1:$H$130,7,0)))))</f>
        <v>31.1</v>
      </c>
      <c r="H364" s="561">
        <f>TRUNC((F364*G364),2)</f>
        <v>38.380000000000003</v>
      </c>
      <c r="J364" s="83"/>
      <c r="S364" s="331"/>
      <c r="T364" s="342"/>
    </row>
    <row r="365" spans="1:20" s="213" customFormat="1" ht="25.5" x14ac:dyDescent="0.25">
      <c r="A365" s="199" t="s">
        <v>1120</v>
      </c>
      <c r="B365" s="207">
        <v>88316</v>
      </c>
      <c r="C365" s="548" t="str">
        <f>IF(A365="SERVIÇO",VLOOKUP(B365,SERVIÇOS!$A$6:$D$7697,2,0),IF(A365="INSUMO",VLOOKUP(B365,INSUMOS!$A$6:$D$4845,2,0),IF(A365="COTAÇÃO",VLOOKUP(B365,'014-22-cotação'!$A$9:$I$138,2,0),IF(A365="AUX",VLOOKUP('014-22-CCU''s'!B365,'014-22-CCU''s AUX'!$B$1:$H$130,2,0)))))</f>
        <v>SERVENTE COM ENCARGOS COMPLEMENTARES</v>
      </c>
      <c r="D365" s="549" t="str">
        <f>IF(A365="SERVIÇO",VLOOKUP(B365,SERVIÇOS!$A$6:$E$7697,5,0),IF(A365="INSUMO",VLOOKUP(B365,INSUMOS!$A$6:$E$4845,5,0),IF(A365="COTAÇÃO",VLOOKUP(B365,'014-22-cotação'!$A$9:$J$138,10,0),IF(A365="AUX",VLOOKUP('014-22-CCU''s'!B365,'014-22-CCU''s AUX'!$B$1:$H$130,3,0)))))</f>
        <v>M.O</v>
      </c>
      <c r="E365" s="549" t="str">
        <f>IF(A365="SERVIÇO",VLOOKUP(B365,SERVIÇOS!$A$6:$D$7697,3,0),IF(A365="INSUMO",VLOOKUP(B365,INSUMOS!$A$6:$D$4845,3,0),IF(A365="COTAÇÃO",VLOOKUP(B365,'014-22-cotação'!$A$9:$I$138,4,0),IF(A365="AUX",VLOOKUP('014-22-CCU''s'!B365,'014-22-CCU''s AUX'!$B$1:$H$130,4,0)))))</f>
        <v>H</v>
      </c>
      <c r="F365" s="566">
        <v>0.61699999999999999</v>
      </c>
      <c r="G365" s="550">
        <f>IF(A365="SERVIÇO",VLOOKUP(B365,SERVIÇOS!$A$6:$D$7697,4,0),IF(A365="INSUMO",VLOOKUP(B365,INSUMOS!$A$6:$D$4845,4,0),IF(A365="COTAÇÃO",VLOOKUP(B365,'014-22-cotação'!$A$9:$I$138,3,0),IF(A365="AUX",VLOOKUP('014-22-CCU''s'!B365,'014-22-CCU''s AUX'!$B$1:$H$130,7,0)))))</f>
        <v>23.4</v>
      </c>
      <c r="H365" s="561">
        <f>TRUNC((F365*G365),2)</f>
        <v>14.43</v>
      </c>
      <c r="J365" s="83"/>
      <c r="S365" s="331"/>
      <c r="T365" s="342"/>
    </row>
    <row r="366" spans="1:20" s="399" customFormat="1" ht="12.75" x14ac:dyDescent="0.25">
      <c r="A366" s="398"/>
      <c r="B366" s="207" t="s">
        <v>109</v>
      </c>
      <c r="C366" s="382" t="s">
        <v>4557</v>
      </c>
      <c r="D366" s="383"/>
      <c r="E366" s="383"/>
      <c r="F366" s="383"/>
      <c r="G366" s="383"/>
      <c r="H366" s="384"/>
      <c r="J366" s="401"/>
      <c r="S366" s="402"/>
      <c r="T366" s="400"/>
    </row>
    <row r="367" spans="1:20" s="399" customFormat="1" ht="12.75" x14ac:dyDescent="0.25">
      <c r="A367" s="398"/>
      <c r="B367" s="208"/>
      <c r="C367" s="175"/>
      <c r="D367" s="176"/>
      <c r="E367" s="176"/>
      <c r="F367" s="176"/>
      <c r="G367" s="176"/>
      <c r="H367" s="176"/>
      <c r="J367" s="401"/>
      <c r="S367" s="402"/>
      <c r="T367" s="400"/>
    </row>
    <row r="368" spans="1:20" s="399" customFormat="1" ht="38.25" x14ac:dyDescent="0.25">
      <c r="A368" s="398"/>
      <c r="B368" s="263" t="s">
        <v>3485</v>
      </c>
      <c r="C368" s="177" t="s">
        <v>4568</v>
      </c>
      <c r="D368" s="178" t="s">
        <v>101</v>
      </c>
      <c r="E368" s="178" t="s">
        <v>1104</v>
      </c>
      <c r="F368" s="179"/>
      <c r="G368" s="180"/>
      <c r="H368" s="181">
        <f>ROUND(SUM(H369:H371),2)</f>
        <v>4887.33</v>
      </c>
      <c r="J368" s="401" t="s">
        <v>4546</v>
      </c>
      <c r="S368" s="402"/>
      <c r="T368" s="400"/>
    </row>
    <row r="369" spans="1:20" s="213" customFormat="1" ht="63.75" x14ac:dyDescent="0.25">
      <c r="A369" s="199" t="s">
        <v>1122</v>
      </c>
      <c r="B369" s="207">
        <v>42433</v>
      </c>
      <c r="C369" s="548" t="str">
        <f>IF(A369="SERVIÇO",VLOOKUP(B369,SERVIÇOS!$A$6:$D$7697,2,0),IF(A369="INSUMO",VLOOKUP(B369,INSUMOS!$A$6:$D$4845,2,0),IF(A369="COTAÇÃO",VLOOKUP(B369,'014-22-cotação'!$A$9:$I$138,2,0),IF(A369="AUX",VLOOKUP('014-22-CCU''s'!B369,'014-22-CCU''s AUX'!$B$1:$H$130,2,0)))))</f>
        <v xml:space="preserve">SIMULADOR DE CAMINHADA TRIPLO, EM TUBO DE ACO CARBONO, PINTURA NO PROCESSO ELETROSTATICO - EQUIPAMENTO DE GINASTICA PARA ACADEMIA AO AR LIVRE / ACADEMIA DA TERCEIRA IDADE - ATI                                                                                                                                                                                                                                                                                                                          </v>
      </c>
      <c r="D369" s="549" t="str">
        <f>IF(A369="SERVIÇO",VLOOKUP(B369,SERVIÇOS!$A$6:$E$7697,5,0),IF(A369="INSUMO",VLOOKUP(B369,INSUMOS!$A$6:$E$4845,5,0),IF(A369="COTAÇÃO",VLOOKUP(B369,'014-22-cotação'!$A$9:$J$138,10,0),IF(A369="AUX",VLOOKUP('014-22-CCU''s'!B369,'014-22-CCU''s AUX'!$B$1:$H$130,3,0)))))</f>
        <v>MAT.</v>
      </c>
      <c r="E369" s="549" t="str">
        <f>IF(A369="SERVIÇO",VLOOKUP(B369,SERVIÇOS!$A$6:$D$7697,3,0),IF(A369="INSUMO",VLOOKUP(B369,INSUMOS!$A$6:$D$4845,3,0),IF(A369="COTAÇÃO",VLOOKUP(B369,'014-22-cotação'!$A$9:$I$138,4,0),IF(A369="AUX",VLOOKUP('014-22-CCU''s'!B369,'014-22-CCU''s AUX'!$B$1:$H$130,4,0)))))</f>
        <v xml:space="preserve">UN    </v>
      </c>
      <c r="F369" s="566">
        <v>1</v>
      </c>
      <c r="G369" s="550">
        <f>IF(A369="SERVIÇO",VLOOKUP(B369,SERVIÇOS!$A$6:$D$7697,4,0),IF(A369="INSUMO",VLOOKUP(B369,INSUMOS!$A$6:$D$4845,4,0),IF(A369="COTAÇÃO",VLOOKUP(B369,'014-22-cotação'!$A$9:$I$138,3,0),IF(A369="AUX",VLOOKUP('014-22-CCU''s'!B369,'014-22-CCU''s AUX'!$B$1:$H$130,7,0)))))</f>
        <v>4789.18</v>
      </c>
      <c r="H369" s="561">
        <f>TRUNC((F369*G369),2)</f>
        <v>4789.18</v>
      </c>
      <c r="J369" s="83"/>
      <c r="S369" s="331"/>
      <c r="T369" s="342"/>
    </row>
    <row r="370" spans="1:20" s="213" customFormat="1" ht="25.5" x14ac:dyDescent="0.25">
      <c r="A370" s="199" t="s">
        <v>1120</v>
      </c>
      <c r="B370" s="207">
        <v>88309</v>
      </c>
      <c r="C370" s="548" t="str">
        <f>IF(A370="SERVIÇO",VLOOKUP(B370,SERVIÇOS!$A$6:$D$7697,2,0),IF(A370="INSUMO",VLOOKUP(B370,INSUMOS!$A$6:$D$4845,2,0),IF(A370="COTAÇÃO",VLOOKUP(B370,'014-22-cotação'!$A$9:$I$138,2,0),IF(A370="AUX",VLOOKUP('014-22-CCU''s'!B370,'014-22-CCU''s AUX'!$B$1:$H$130,2,0)))))</f>
        <v>PEDREIRO COM ENCARGOS COMPLEMENTARES</v>
      </c>
      <c r="D370" s="549" t="str">
        <f>IF(A370="SERVIÇO",VLOOKUP(B370,SERVIÇOS!$A$6:$E$7697,5,0),IF(A370="INSUMO",VLOOKUP(B370,INSUMOS!$A$6:$E$4845,5,0),IF(A370="COTAÇÃO",VLOOKUP(B370,'014-22-cotação'!$A$9:$J$138,10,0),IF(A370="AUX",VLOOKUP('014-22-CCU''s'!B370,'014-22-CCU''s AUX'!$B$1:$H$130,3,0)))))</f>
        <v>M.O</v>
      </c>
      <c r="E370" s="549" t="str">
        <f>IF(A370="SERVIÇO",VLOOKUP(B370,SERVIÇOS!$A$6:$D$7697,3,0),IF(A370="INSUMO",VLOOKUP(B370,INSUMOS!$A$6:$D$4845,3,0),IF(A370="COTAÇÃO",VLOOKUP(B370,'014-22-cotação'!$A$9:$I$138,4,0),IF(A370="AUX",VLOOKUP('014-22-CCU''s'!B370,'014-22-CCU''s AUX'!$B$1:$H$130,4,0)))))</f>
        <v>H</v>
      </c>
      <c r="F370" s="566">
        <v>2.2934999999999999</v>
      </c>
      <c r="G370" s="550">
        <f>IF(A370="SERVIÇO",VLOOKUP(B370,SERVIÇOS!$A$6:$D$7697,4,0),IF(A370="INSUMO",VLOOKUP(B370,INSUMOS!$A$6:$D$4845,4,0),IF(A370="COTAÇÃO",VLOOKUP(B370,'014-22-cotação'!$A$9:$I$138,3,0),IF(A370="AUX",VLOOKUP('014-22-CCU''s'!B370,'014-22-CCU''s AUX'!$B$1:$H$130,7,0)))))</f>
        <v>31.1</v>
      </c>
      <c r="H370" s="561">
        <f>TRUNC((F370*G370),2)</f>
        <v>71.319999999999993</v>
      </c>
      <c r="J370" s="83"/>
      <c r="S370" s="331"/>
      <c r="T370" s="342"/>
    </row>
    <row r="371" spans="1:20" s="213" customFormat="1" ht="25.5" x14ac:dyDescent="0.25">
      <c r="A371" s="199" t="s">
        <v>1120</v>
      </c>
      <c r="B371" s="207">
        <v>88316</v>
      </c>
      <c r="C371" s="548" t="str">
        <f>IF(A371="SERVIÇO",VLOOKUP(B371,SERVIÇOS!$A$6:$D$7697,2,0),IF(A371="INSUMO",VLOOKUP(B371,INSUMOS!$A$6:$D$4845,2,0),IF(A371="COTAÇÃO",VLOOKUP(B371,'014-22-cotação'!$A$9:$I$138,2,0),IF(A371="AUX",VLOOKUP('014-22-CCU''s'!B371,'014-22-CCU''s AUX'!$B$1:$H$130,2,0)))))</f>
        <v>SERVENTE COM ENCARGOS COMPLEMENTARES</v>
      </c>
      <c r="D371" s="549" t="str">
        <f>IF(A371="SERVIÇO",VLOOKUP(B371,SERVIÇOS!$A$6:$E$7697,5,0),IF(A371="INSUMO",VLOOKUP(B371,INSUMOS!$A$6:$E$4845,5,0),IF(A371="COTAÇÃO",VLOOKUP(B371,'014-22-cotação'!$A$9:$J$138,10,0),IF(A371="AUX",VLOOKUP('014-22-CCU''s'!B371,'014-22-CCU''s AUX'!$B$1:$H$130,3,0)))))</f>
        <v>M.O</v>
      </c>
      <c r="E371" s="549" t="str">
        <f>IF(A371="SERVIÇO",VLOOKUP(B371,SERVIÇOS!$A$6:$D$7697,3,0),IF(A371="INSUMO",VLOOKUP(B371,INSUMOS!$A$6:$D$4845,3,0),IF(A371="COTAÇÃO",VLOOKUP(B371,'014-22-cotação'!$A$9:$I$138,4,0),IF(A371="AUX",VLOOKUP('014-22-CCU''s'!B371,'014-22-CCU''s AUX'!$B$1:$H$130,4,0)))))</f>
        <v>H</v>
      </c>
      <c r="F371" s="566">
        <v>1.1467000000000001</v>
      </c>
      <c r="G371" s="550">
        <f>IF(A371="SERVIÇO",VLOOKUP(B371,SERVIÇOS!$A$6:$D$7697,4,0),IF(A371="INSUMO",VLOOKUP(B371,INSUMOS!$A$6:$D$4845,4,0),IF(A371="COTAÇÃO",VLOOKUP(B371,'014-22-cotação'!$A$9:$I$138,3,0),IF(A371="AUX",VLOOKUP('014-22-CCU''s'!B371,'014-22-CCU''s AUX'!$B$1:$H$130,7,0)))))</f>
        <v>23.4</v>
      </c>
      <c r="H371" s="561">
        <f>TRUNC((F371*G371),2)</f>
        <v>26.83</v>
      </c>
      <c r="J371" s="83"/>
      <c r="S371" s="331"/>
      <c r="T371" s="342"/>
    </row>
    <row r="372" spans="1:20" s="399" customFormat="1" ht="12.75" x14ac:dyDescent="0.25">
      <c r="A372" s="398"/>
      <c r="B372" s="207" t="s">
        <v>109</v>
      </c>
      <c r="C372" s="382" t="s">
        <v>4569</v>
      </c>
      <c r="D372" s="383"/>
      <c r="E372" s="383"/>
      <c r="F372" s="383"/>
      <c r="G372" s="383"/>
      <c r="H372" s="384"/>
      <c r="J372" s="401"/>
      <c r="S372" s="402"/>
      <c r="T372" s="400"/>
    </row>
    <row r="373" spans="1:20" s="399" customFormat="1" ht="12.75" x14ac:dyDescent="0.25">
      <c r="A373" s="398"/>
      <c r="B373" s="208"/>
      <c r="C373" s="175"/>
      <c r="D373" s="176"/>
      <c r="E373" s="176"/>
      <c r="F373" s="176"/>
      <c r="G373" s="176"/>
      <c r="H373" s="176"/>
      <c r="J373" s="401"/>
      <c r="S373" s="402"/>
      <c r="T373" s="400"/>
    </row>
    <row r="374" spans="1:20" s="399" customFormat="1" ht="38.25" x14ac:dyDescent="0.25">
      <c r="A374" s="398"/>
      <c r="B374" s="263" t="s">
        <v>3486</v>
      </c>
      <c r="C374" s="177" t="s">
        <v>4570</v>
      </c>
      <c r="D374" s="178" t="s">
        <v>101</v>
      </c>
      <c r="E374" s="178" t="s">
        <v>1104</v>
      </c>
      <c r="F374" s="179"/>
      <c r="G374" s="180"/>
      <c r="H374" s="181">
        <f>ROUND(SUM(H375:H377),2)</f>
        <v>2477.4499999999998</v>
      </c>
      <c r="J374" s="401" t="s">
        <v>4546</v>
      </c>
      <c r="S374" s="402"/>
      <c r="T374" s="400"/>
    </row>
    <row r="375" spans="1:20" s="213" customFormat="1" ht="76.5" x14ac:dyDescent="0.25">
      <c r="A375" s="199" t="s">
        <v>1122</v>
      </c>
      <c r="B375" s="207">
        <v>42432</v>
      </c>
      <c r="C375" s="548" t="str">
        <f>IF(A375="SERVIÇO",VLOOKUP(B375,SERVIÇOS!$A$6:$D$7697,2,0),IF(A375="INSUMO",VLOOKUP(B375,INSUMOS!$A$6:$D$4845,2,0),IF(A375="COTAÇÃO",VLOOKUP(B375,'014-22-cotação'!$A$9:$I$138,2,0),IF(A375="AUX",VLOOKUP('014-22-CCU''s'!B375,'014-22-CCU''s AUX'!$B$1:$H$130,2,0)))))</f>
        <v xml:space="preserve">ROTACAO DIAGONAL DUPLA, APARELHO TRIPLO, EM TUBO DE ACO CARBONO, PINTURA NO PROCESSO ELETROSTATICO - EQUIPAMENTO DE GINASTICA PARA ACADEMIA AO AR LIVRE / ACADEMIA DA TERCEIRA IDADE - ATI                                                                                                                                                                                                                                                                                                                </v>
      </c>
      <c r="D375" s="549" t="str">
        <f>IF(A375="SERVIÇO",VLOOKUP(B375,SERVIÇOS!$A$6:$E$7697,5,0),IF(A375="INSUMO",VLOOKUP(B375,INSUMOS!$A$6:$E$4845,5,0),IF(A375="COTAÇÃO",VLOOKUP(B375,'014-22-cotação'!$A$9:$J$138,10,0),IF(A375="AUX",VLOOKUP('014-22-CCU''s'!B375,'014-22-CCU''s AUX'!$B$1:$H$130,3,0)))))</f>
        <v>MAT.</v>
      </c>
      <c r="E375" s="549" t="str">
        <f>IF(A375="SERVIÇO",VLOOKUP(B375,SERVIÇOS!$A$6:$D$7697,3,0),IF(A375="INSUMO",VLOOKUP(B375,INSUMOS!$A$6:$D$4845,3,0),IF(A375="COTAÇÃO",VLOOKUP(B375,'014-22-cotação'!$A$9:$I$138,4,0),IF(A375="AUX",VLOOKUP('014-22-CCU''s'!B375,'014-22-CCU''s AUX'!$B$1:$H$130,4,0)))))</f>
        <v xml:space="preserve">UN    </v>
      </c>
      <c r="F375" s="566">
        <v>1</v>
      </c>
      <c r="G375" s="550">
        <f>IF(A375="SERVIÇO",VLOOKUP(B375,SERVIÇOS!$A$6:$D$7697,4,0),IF(A375="INSUMO",VLOOKUP(B375,INSUMOS!$A$6:$D$4845,4,0),IF(A375="COTAÇÃO",VLOOKUP(B375,'014-22-cotação'!$A$9:$I$138,3,0),IF(A375="AUX",VLOOKUP('014-22-CCU''s'!B375,'014-22-CCU''s AUX'!$B$1:$H$130,7,0)))))</f>
        <v>2424.64</v>
      </c>
      <c r="H375" s="561">
        <f>TRUNC((F375*G375),2)</f>
        <v>2424.64</v>
      </c>
      <c r="J375" s="83"/>
      <c r="S375" s="331"/>
      <c r="T375" s="342"/>
    </row>
    <row r="376" spans="1:20" s="213" customFormat="1" ht="25.5" x14ac:dyDescent="0.25">
      <c r="A376" s="199" t="s">
        <v>1120</v>
      </c>
      <c r="B376" s="207">
        <v>88309</v>
      </c>
      <c r="C376" s="548" t="str">
        <f>IF(A376="SERVIÇO",VLOOKUP(B376,SERVIÇOS!$A$6:$D$7697,2,0),IF(A376="INSUMO",VLOOKUP(B376,INSUMOS!$A$6:$D$4845,2,0),IF(A376="COTAÇÃO",VLOOKUP(B376,'014-22-cotação'!$A$9:$I$138,2,0),IF(A376="AUX",VLOOKUP('014-22-CCU''s'!B376,'014-22-CCU''s AUX'!$B$1:$H$130,2,0)))))</f>
        <v>PEDREIRO COM ENCARGOS COMPLEMENTARES</v>
      </c>
      <c r="D376" s="549" t="str">
        <f>IF(A376="SERVIÇO",VLOOKUP(B376,SERVIÇOS!$A$6:$E$7697,5,0),IF(A376="INSUMO",VLOOKUP(B376,INSUMOS!$A$6:$E$4845,5,0),IF(A376="COTAÇÃO",VLOOKUP(B376,'014-22-cotação'!$A$9:$J$138,10,0),IF(A376="AUX",VLOOKUP('014-22-CCU''s'!B376,'014-22-CCU''s AUX'!$B$1:$H$130,3,0)))))</f>
        <v>M.O</v>
      </c>
      <c r="E376" s="549" t="str">
        <f>IF(A376="SERVIÇO",VLOOKUP(B376,SERVIÇOS!$A$6:$D$7697,3,0),IF(A376="INSUMO",VLOOKUP(B376,INSUMOS!$A$6:$D$4845,3,0),IF(A376="COTAÇÃO",VLOOKUP(B376,'014-22-cotação'!$A$9:$I$138,4,0),IF(A376="AUX",VLOOKUP('014-22-CCU''s'!B376,'014-22-CCU''s AUX'!$B$1:$H$130,4,0)))))</f>
        <v>H</v>
      </c>
      <c r="F376" s="566">
        <v>1.2341</v>
      </c>
      <c r="G376" s="550">
        <f>IF(A376="SERVIÇO",VLOOKUP(B376,SERVIÇOS!$A$6:$D$7697,4,0),IF(A376="INSUMO",VLOOKUP(B376,INSUMOS!$A$6:$D$4845,4,0),IF(A376="COTAÇÃO",VLOOKUP(B376,'014-22-cotação'!$A$9:$I$138,3,0),IF(A376="AUX",VLOOKUP('014-22-CCU''s'!B376,'014-22-CCU''s AUX'!$B$1:$H$130,7,0)))))</f>
        <v>31.1</v>
      </c>
      <c r="H376" s="561">
        <f>TRUNC((F376*G376),2)</f>
        <v>38.380000000000003</v>
      </c>
      <c r="J376" s="83"/>
      <c r="S376" s="331"/>
      <c r="T376" s="342"/>
    </row>
    <row r="377" spans="1:20" s="213" customFormat="1" ht="25.5" x14ac:dyDescent="0.25">
      <c r="A377" s="199" t="s">
        <v>1120</v>
      </c>
      <c r="B377" s="207">
        <v>88316</v>
      </c>
      <c r="C377" s="548" t="str">
        <f>IF(A377="SERVIÇO",VLOOKUP(B377,SERVIÇOS!$A$6:$D$7697,2,0),IF(A377="INSUMO",VLOOKUP(B377,INSUMOS!$A$6:$D$4845,2,0),IF(A377="COTAÇÃO",VLOOKUP(B377,'014-22-cotação'!$A$9:$I$138,2,0),IF(A377="AUX",VLOOKUP('014-22-CCU''s'!B377,'014-22-CCU''s AUX'!$B$1:$H$130,2,0)))))</f>
        <v>SERVENTE COM ENCARGOS COMPLEMENTARES</v>
      </c>
      <c r="D377" s="549" t="str">
        <f>IF(A377="SERVIÇO",VLOOKUP(B377,SERVIÇOS!$A$6:$E$7697,5,0),IF(A377="INSUMO",VLOOKUP(B377,INSUMOS!$A$6:$E$4845,5,0),IF(A377="COTAÇÃO",VLOOKUP(B377,'014-22-cotação'!$A$9:$J$138,10,0),IF(A377="AUX",VLOOKUP('014-22-CCU''s'!B377,'014-22-CCU''s AUX'!$B$1:$H$130,3,0)))))</f>
        <v>M.O</v>
      </c>
      <c r="E377" s="549" t="str">
        <f>IF(A377="SERVIÇO",VLOOKUP(B377,SERVIÇOS!$A$6:$D$7697,3,0),IF(A377="INSUMO",VLOOKUP(B377,INSUMOS!$A$6:$D$4845,3,0),IF(A377="COTAÇÃO",VLOOKUP(B377,'014-22-cotação'!$A$9:$I$138,4,0),IF(A377="AUX",VLOOKUP('014-22-CCU''s'!B377,'014-22-CCU''s AUX'!$B$1:$H$130,4,0)))))</f>
        <v>H</v>
      </c>
      <c r="F377" s="566">
        <v>0.61699999999999999</v>
      </c>
      <c r="G377" s="550">
        <f>IF(A377="SERVIÇO",VLOOKUP(B377,SERVIÇOS!$A$6:$D$7697,4,0),IF(A377="INSUMO",VLOOKUP(B377,INSUMOS!$A$6:$D$4845,4,0),IF(A377="COTAÇÃO",VLOOKUP(B377,'014-22-cotação'!$A$9:$I$138,3,0),IF(A377="AUX",VLOOKUP('014-22-CCU''s'!B377,'014-22-CCU''s AUX'!$B$1:$H$130,7,0)))))</f>
        <v>23.4</v>
      </c>
      <c r="H377" s="561">
        <f>TRUNC((F377*G377),2)</f>
        <v>14.43</v>
      </c>
      <c r="J377" s="83"/>
      <c r="S377" s="331"/>
      <c r="T377" s="342"/>
    </row>
    <row r="378" spans="1:20" s="399" customFormat="1" ht="12.75" x14ac:dyDescent="0.25">
      <c r="A378" s="398"/>
      <c r="B378" s="207" t="s">
        <v>109</v>
      </c>
      <c r="C378" s="382" t="s">
        <v>4557</v>
      </c>
      <c r="D378" s="383"/>
      <c r="E378" s="383"/>
      <c r="F378" s="383"/>
      <c r="G378" s="383"/>
      <c r="H378" s="384"/>
      <c r="J378" s="401"/>
      <c r="S378" s="402"/>
      <c r="T378" s="400"/>
    </row>
    <row r="379" spans="1:20" s="399" customFormat="1" ht="12.75" x14ac:dyDescent="0.25">
      <c r="A379" s="398"/>
      <c r="B379" s="208"/>
      <c r="C379" s="175"/>
      <c r="D379" s="176"/>
      <c r="E379" s="176"/>
      <c r="F379" s="176"/>
      <c r="G379" s="176"/>
      <c r="H379" s="176"/>
      <c r="J379" s="401"/>
      <c r="S379" s="402"/>
      <c r="T379" s="400"/>
    </row>
    <row r="380" spans="1:20" s="399" customFormat="1" ht="38.25" x14ac:dyDescent="0.25">
      <c r="A380" s="398"/>
      <c r="B380" s="263" t="s">
        <v>3487</v>
      </c>
      <c r="C380" s="177" t="s">
        <v>4571</v>
      </c>
      <c r="D380" s="178" t="s">
        <v>101</v>
      </c>
      <c r="E380" s="178" t="s">
        <v>1104</v>
      </c>
      <c r="F380" s="179"/>
      <c r="G380" s="180"/>
      <c r="H380" s="181">
        <f>ROUND(SUM(H381:H383),2)</f>
        <v>2318.46</v>
      </c>
      <c r="J380" s="401" t="s">
        <v>4546</v>
      </c>
      <c r="S380" s="402"/>
      <c r="T380" s="400"/>
    </row>
    <row r="381" spans="1:20" s="213" customFormat="1" ht="38.25" x14ac:dyDescent="0.25">
      <c r="A381" s="199" t="s">
        <v>12</v>
      </c>
      <c r="B381" s="207" t="s">
        <v>3445</v>
      </c>
      <c r="C381" s="548" t="str">
        <f>IF(A381="SERVIÇO",VLOOKUP(B381,SERVIÇOS!$A$6:$D$7697,2,0),IF(A381="INSUMO",VLOOKUP(B381,INSUMOS!$A$6:$D$4845,2,0),IF(A381="COTAÇÃO",VLOOKUP(B381,'014-22-cotação'!$A$9:$I$138,2,0),IF(A381="AUX",VLOOKUP('014-22-CCU''s'!B381,'014-22-CCU''s AUX'!$B$1:$H$130,2,0)))))</f>
        <v>EQUIPAMENTO ROTAÇÃO VERTICAL - RODA TRIPLA - CONFORME ESPECIFICAÇÕES DE PROJETO.</v>
      </c>
      <c r="D381" s="549" t="str">
        <f>IF(A381="SERVIÇO",VLOOKUP(B381,SERVIÇOS!$A$6:$E$7697,5,0),IF(A381="INSUMO",VLOOKUP(B381,INSUMOS!$A$6:$E$4845,5,0),IF(A381="COTAÇÃO",VLOOKUP(B381,'014-22-cotação'!$A$9:$J$138,10,0),IF(A381="AUX",VLOOKUP('014-22-CCU''s'!B381,'014-22-CCU''s AUX'!$B$1:$H$130,3,0)))))</f>
        <v>MAT.</v>
      </c>
      <c r="E381" s="549" t="str">
        <f>IF(A381="SERVIÇO",VLOOKUP(B381,SERVIÇOS!$A$6:$D$7697,3,0),IF(A381="INSUMO",VLOOKUP(B381,INSUMOS!$A$6:$D$4845,3,0),IF(A381="COTAÇÃO",VLOOKUP(B381,'014-22-cotação'!$A$9:$I$138,4,0),IF(A381="AUX",VLOOKUP('014-22-CCU''s'!B381,'014-22-CCU''s AUX'!$B$1:$H$130,4,0)))))</f>
        <v>UN</v>
      </c>
      <c r="F381" s="566">
        <v>1</v>
      </c>
      <c r="G381" s="550">
        <f>IF(A381="SERVIÇO",VLOOKUP(B381,SERVIÇOS!$A$6:$D$7697,4,0),IF(A381="INSUMO",VLOOKUP(B381,INSUMOS!$A$6:$D$4845,4,0),IF(A381="COTAÇÃO",VLOOKUP(B381,'014-22-cotação'!$A$9:$I$138,3,0),IF(A381="AUX",VLOOKUP('014-22-CCU''s'!B381,'014-22-CCU''s AUX'!$B$1:$H$130,7,0)))))</f>
        <v>2265.6499999999996</v>
      </c>
      <c r="H381" s="561">
        <f>TRUNC((F381*G381),2)</f>
        <v>2265.65</v>
      </c>
      <c r="J381" s="83"/>
      <c r="S381" s="331"/>
      <c r="T381" s="342"/>
    </row>
    <row r="382" spans="1:20" s="213" customFormat="1" ht="25.5" x14ac:dyDescent="0.25">
      <c r="A382" s="199" t="s">
        <v>1120</v>
      </c>
      <c r="B382" s="207">
        <v>88309</v>
      </c>
      <c r="C382" s="548" t="str">
        <f>IF(A382="SERVIÇO",VLOOKUP(B382,SERVIÇOS!$A$6:$D$7697,2,0),IF(A382="INSUMO",VLOOKUP(B382,INSUMOS!$A$6:$D$4845,2,0),IF(A382="COTAÇÃO",VLOOKUP(B382,'014-22-cotação'!$A$9:$I$138,2,0),IF(A382="AUX",VLOOKUP('014-22-CCU''s'!B382,'014-22-CCU''s AUX'!$B$1:$H$130,2,0)))))</f>
        <v>PEDREIRO COM ENCARGOS COMPLEMENTARES</v>
      </c>
      <c r="D382" s="549" t="str">
        <f>IF(A382="SERVIÇO",VLOOKUP(B382,SERVIÇOS!$A$6:$E$7697,5,0),IF(A382="INSUMO",VLOOKUP(B382,INSUMOS!$A$6:$E$4845,5,0),IF(A382="COTAÇÃO",VLOOKUP(B382,'014-22-cotação'!$A$9:$J$138,10,0),IF(A382="AUX",VLOOKUP('014-22-CCU''s'!B382,'014-22-CCU''s AUX'!$B$1:$H$130,3,0)))))</f>
        <v>M.O</v>
      </c>
      <c r="E382" s="549" t="str">
        <f>IF(A382="SERVIÇO",VLOOKUP(B382,SERVIÇOS!$A$6:$D$7697,3,0),IF(A382="INSUMO",VLOOKUP(B382,INSUMOS!$A$6:$D$4845,3,0),IF(A382="COTAÇÃO",VLOOKUP(B382,'014-22-cotação'!$A$9:$I$138,4,0),IF(A382="AUX",VLOOKUP('014-22-CCU''s'!B382,'014-22-CCU''s AUX'!$B$1:$H$130,4,0)))))</f>
        <v>H</v>
      </c>
      <c r="F382" s="566">
        <v>1.2341</v>
      </c>
      <c r="G382" s="550">
        <f>IF(A382="SERVIÇO",VLOOKUP(B382,SERVIÇOS!$A$6:$D$7697,4,0),IF(A382="INSUMO",VLOOKUP(B382,INSUMOS!$A$6:$D$4845,4,0),IF(A382="COTAÇÃO",VLOOKUP(B382,'014-22-cotação'!$A$9:$I$138,3,0),IF(A382="AUX",VLOOKUP('014-22-CCU''s'!B382,'014-22-CCU''s AUX'!$B$1:$H$130,7,0)))))</f>
        <v>31.1</v>
      </c>
      <c r="H382" s="561">
        <f>TRUNC((F382*G382),2)</f>
        <v>38.380000000000003</v>
      </c>
      <c r="J382" s="83"/>
      <c r="S382" s="331"/>
      <c r="T382" s="342"/>
    </row>
    <row r="383" spans="1:20" s="213" customFormat="1" ht="25.5" x14ac:dyDescent="0.25">
      <c r="A383" s="199" t="s">
        <v>1120</v>
      </c>
      <c r="B383" s="207">
        <v>88316</v>
      </c>
      <c r="C383" s="548" t="str">
        <f>IF(A383="SERVIÇO",VLOOKUP(B383,SERVIÇOS!$A$6:$D$7697,2,0),IF(A383="INSUMO",VLOOKUP(B383,INSUMOS!$A$6:$D$4845,2,0),IF(A383="COTAÇÃO",VLOOKUP(B383,'014-22-cotação'!$A$9:$I$138,2,0),IF(A383="AUX",VLOOKUP('014-22-CCU''s'!B383,'014-22-CCU''s AUX'!$B$1:$H$130,2,0)))))</f>
        <v>SERVENTE COM ENCARGOS COMPLEMENTARES</v>
      </c>
      <c r="D383" s="549" t="str">
        <f>IF(A383="SERVIÇO",VLOOKUP(B383,SERVIÇOS!$A$6:$E$7697,5,0),IF(A383="INSUMO",VLOOKUP(B383,INSUMOS!$A$6:$E$4845,5,0),IF(A383="COTAÇÃO",VLOOKUP(B383,'014-22-cotação'!$A$9:$J$138,10,0),IF(A383="AUX",VLOOKUP('014-22-CCU''s'!B383,'014-22-CCU''s AUX'!$B$1:$H$130,3,0)))))</f>
        <v>M.O</v>
      </c>
      <c r="E383" s="549" t="str">
        <f>IF(A383="SERVIÇO",VLOOKUP(B383,SERVIÇOS!$A$6:$D$7697,3,0),IF(A383="INSUMO",VLOOKUP(B383,INSUMOS!$A$6:$D$4845,3,0),IF(A383="COTAÇÃO",VLOOKUP(B383,'014-22-cotação'!$A$9:$I$138,4,0),IF(A383="AUX",VLOOKUP('014-22-CCU''s'!B383,'014-22-CCU''s AUX'!$B$1:$H$130,4,0)))))</f>
        <v>H</v>
      </c>
      <c r="F383" s="566">
        <v>0.61699999999999999</v>
      </c>
      <c r="G383" s="550">
        <f>IF(A383="SERVIÇO",VLOOKUP(B383,SERVIÇOS!$A$6:$D$7697,4,0),IF(A383="INSUMO",VLOOKUP(B383,INSUMOS!$A$6:$D$4845,4,0),IF(A383="COTAÇÃO",VLOOKUP(B383,'014-22-cotação'!$A$9:$I$138,3,0),IF(A383="AUX",VLOOKUP('014-22-CCU''s'!B383,'014-22-CCU''s AUX'!$B$1:$H$130,7,0)))))</f>
        <v>23.4</v>
      </c>
      <c r="H383" s="561">
        <f>TRUNC((F383*G383),2)</f>
        <v>14.43</v>
      </c>
      <c r="J383" s="83"/>
      <c r="S383" s="331"/>
      <c r="T383" s="342"/>
    </row>
    <row r="384" spans="1:20" s="399" customFormat="1" ht="12.75" x14ac:dyDescent="0.25">
      <c r="A384" s="398"/>
      <c r="B384" s="207" t="s">
        <v>109</v>
      </c>
      <c r="C384" s="382" t="s">
        <v>4557</v>
      </c>
      <c r="D384" s="383"/>
      <c r="E384" s="383"/>
      <c r="F384" s="383"/>
      <c r="G384" s="383"/>
      <c r="H384" s="384"/>
      <c r="J384" s="401"/>
      <c r="S384" s="402"/>
      <c r="T384" s="400"/>
    </row>
    <row r="385" spans="1:20" s="399" customFormat="1" ht="12.75" x14ac:dyDescent="0.25">
      <c r="A385" s="398"/>
      <c r="B385" s="208"/>
      <c r="C385" s="175"/>
      <c r="D385" s="176"/>
      <c r="E385" s="176"/>
      <c r="F385" s="176"/>
      <c r="G385" s="176"/>
      <c r="H385" s="176"/>
      <c r="J385" s="401"/>
      <c r="S385" s="402"/>
      <c r="T385" s="400"/>
    </row>
    <row r="386" spans="1:20" s="399" customFormat="1" ht="38.25" x14ac:dyDescent="0.25">
      <c r="A386" s="398"/>
      <c r="B386" s="263" t="s">
        <v>3488</v>
      </c>
      <c r="C386" s="177" t="s">
        <v>4573</v>
      </c>
      <c r="D386" s="178" t="s">
        <v>101</v>
      </c>
      <c r="E386" s="178" t="s">
        <v>1104</v>
      </c>
      <c r="F386" s="179"/>
      <c r="G386" s="180"/>
      <c r="H386" s="181">
        <f>ROUND(SUM(H387:H389),2)</f>
        <v>2754.15</v>
      </c>
      <c r="J386" s="401" t="s">
        <v>4546</v>
      </c>
      <c r="S386" s="402"/>
      <c r="T386" s="400"/>
    </row>
    <row r="387" spans="1:20" s="213" customFormat="1" ht="63.75" x14ac:dyDescent="0.25">
      <c r="A387" s="199" t="s">
        <v>1122</v>
      </c>
      <c r="B387" s="207">
        <v>42436</v>
      </c>
      <c r="C387" s="548" t="str">
        <f>IF(A387="SERVIÇO",VLOOKUP(B387,SERVIÇOS!$A$6:$D$7697,2,0),IF(A387="INSUMO",VLOOKUP(B387,INSUMOS!$A$6:$D$4845,2,0),IF(A387="COTAÇÃO",VLOOKUP(B387,'014-22-cotação'!$A$9:$I$138,2,0),IF(A387="AUX",VLOOKUP('014-22-CCU''s'!B387,'014-22-CCU''s AUX'!$B$1:$H$130,2,0)))))</f>
        <v xml:space="preserve">SURF DUPLO, EM TUBO DE ACO CARBONO, PINTURA NO PROCESSO ELETROSTATICO - EQUIPAMENTO DE GINASTICA PARA ACADEMIA AO AR LIVRE / ACADEMIA DA TERCEIRA IDADE - ATI                                                                                                                                                                                                                                                                                                                                             </v>
      </c>
      <c r="D387" s="549" t="str">
        <f>IF(A387="SERVIÇO",VLOOKUP(B387,SERVIÇOS!$A$6:$E$7697,5,0),IF(A387="INSUMO",VLOOKUP(B387,INSUMOS!$A$6:$E$4845,5,0),IF(A387="COTAÇÃO",VLOOKUP(B387,'014-22-cotação'!$A$9:$J$138,10,0),IF(A387="AUX",VLOOKUP('014-22-CCU''s'!B387,'014-22-CCU''s AUX'!$B$1:$H$130,3,0)))))</f>
        <v>MAT.</v>
      </c>
      <c r="E387" s="549" t="str">
        <f>IF(A387="SERVIÇO",VLOOKUP(B387,SERVIÇOS!$A$6:$D$7697,3,0),IF(A387="INSUMO",VLOOKUP(B387,INSUMOS!$A$6:$D$4845,3,0),IF(A387="COTAÇÃO",VLOOKUP(B387,'014-22-cotação'!$A$9:$I$138,4,0),IF(A387="AUX",VLOOKUP('014-22-CCU''s'!B387,'014-22-CCU''s AUX'!$B$1:$H$130,4,0)))))</f>
        <v xml:space="preserve">UN    </v>
      </c>
      <c r="F387" s="566">
        <v>1</v>
      </c>
      <c r="G387" s="550">
        <f>IF(A387="SERVIÇO",VLOOKUP(B387,SERVIÇOS!$A$6:$D$7697,4,0),IF(A387="INSUMO",VLOOKUP(B387,INSUMOS!$A$6:$D$4845,4,0),IF(A387="COTAÇÃO",VLOOKUP(B387,'014-22-cotação'!$A$9:$I$138,3,0),IF(A387="AUX",VLOOKUP('014-22-CCU''s'!B387,'014-22-CCU''s AUX'!$B$1:$H$130,7,0)))))</f>
        <v>2701.34</v>
      </c>
      <c r="H387" s="561">
        <f>TRUNC((F387*G387),2)</f>
        <v>2701.34</v>
      </c>
      <c r="J387" s="83"/>
      <c r="S387" s="331"/>
      <c r="T387" s="342"/>
    </row>
    <row r="388" spans="1:20" s="213" customFormat="1" ht="25.5" x14ac:dyDescent="0.25">
      <c r="A388" s="199" t="s">
        <v>1120</v>
      </c>
      <c r="B388" s="207">
        <v>88309</v>
      </c>
      <c r="C388" s="548" t="str">
        <f>IF(A388="SERVIÇO",VLOOKUP(B388,SERVIÇOS!$A$6:$D$7697,2,0),IF(A388="INSUMO",VLOOKUP(B388,INSUMOS!$A$6:$D$4845,2,0),IF(A388="COTAÇÃO",VLOOKUP(B388,'014-22-cotação'!$A$9:$I$138,2,0),IF(A388="AUX",VLOOKUP('014-22-CCU''s'!B388,'014-22-CCU''s AUX'!$B$1:$H$130,2,0)))))</f>
        <v>PEDREIRO COM ENCARGOS COMPLEMENTARES</v>
      </c>
      <c r="D388" s="549" t="str">
        <f>IF(A388="SERVIÇO",VLOOKUP(B388,SERVIÇOS!$A$6:$E$7697,5,0),IF(A388="INSUMO",VLOOKUP(B388,INSUMOS!$A$6:$E$4845,5,0),IF(A388="COTAÇÃO",VLOOKUP(B388,'014-22-cotação'!$A$9:$J$138,10,0),IF(A388="AUX",VLOOKUP('014-22-CCU''s'!B388,'014-22-CCU''s AUX'!$B$1:$H$130,3,0)))))</f>
        <v>M.O</v>
      </c>
      <c r="E388" s="549" t="str">
        <f>IF(A388="SERVIÇO",VLOOKUP(B388,SERVIÇOS!$A$6:$D$7697,3,0),IF(A388="INSUMO",VLOOKUP(B388,INSUMOS!$A$6:$D$4845,3,0),IF(A388="COTAÇÃO",VLOOKUP(B388,'014-22-cotação'!$A$9:$I$138,4,0),IF(A388="AUX",VLOOKUP('014-22-CCU''s'!B388,'014-22-CCU''s AUX'!$B$1:$H$130,4,0)))))</f>
        <v>H</v>
      </c>
      <c r="F388" s="566">
        <v>1.2341</v>
      </c>
      <c r="G388" s="550">
        <f>IF(A388="SERVIÇO",VLOOKUP(B388,SERVIÇOS!$A$6:$D$7697,4,0),IF(A388="INSUMO",VLOOKUP(B388,INSUMOS!$A$6:$D$4845,4,0),IF(A388="COTAÇÃO",VLOOKUP(B388,'014-22-cotação'!$A$9:$I$138,3,0),IF(A388="AUX",VLOOKUP('014-22-CCU''s'!B388,'014-22-CCU''s AUX'!$B$1:$H$130,7,0)))))</f>
        <v>31.1</v>
      </c>
      <c r="H388" s="561">
        <f>TRUNC((F388*G388),2)</f>
        <v>38.380000000000003</v>
      </c>
      <c r="J388" s="83"/>
      <c r="S388" s="331"/>
      <c r="T388" s="342"/>
    </row>
    <row r="389" spans="1:20" s="213" customFormat="1" ht="25.5" x14ac:dyDescent="0.25">
      <c r="A389" s="199" t="s">
        <v>1120</v>
      </c>
      <c r="B389" s="207">
        <v>88316</v>
      </c>
      <c r="C389" s="548" t="str">
        <f>IF(A389="SERVIÇO",VLOOKUP(B389,SERVIÇOS!$A$6:$D$7697,2,0),IF(A389="INSUMO",VLOOKUP(B389,INSUMOS!$A$6:$D$4845,2,0),IF(A389="COTAÇÃO",VLOOKUP(B389,'014-22-cotação'!$A$9:$I$138,2,0),IF(A389="AUX",VLOOKUP('014-22-CCU''s'!B389,'014-22-CCU''s AUX'!$B$1:$H$130,2,0)))))</f>
        <v>SERVENTE COM ENCARGOS COMPLEMENTARES</v>
      </c>
      <c r="D389" s="549" t="str">
        <f>IF(A389="SERVIÇO",VLOOKUP(B389,SERVIÇOS!$A$6:$E$7697,5,0),IF(A389="INSUMO",VLOOKUP(B389,INSUMOS!$A$6:$E$4845,5,0),IF(A389="COTAÇÃO",VLOOKUP(B389,'014-22-cotação'!$A$9:$J$138,10,0),IF(A389="AUX",VLOOKUP('014-22-CCU''s'!B389,'014-22-CCU''s AUX'!$B$1:$H$130,3,0)))))</f>
        <v>M.O</v>
      </c>
      <c r="E389" s="549" t="str">
        <f>IF(A389="SERVIÇO",VLOOKUP(B389,SERVIÇOS!$A$6:$D$7697,3,0),IF(A389="INSUMO",VLOOKUP(B389,INSUMOS!$A$6:$D$4845,3,0),IF(A389="COTAÇÃO",VLOOKUP(B389,'014-22-cotação'!$A$9:$I$138,4,0),IF(A389="AUX",VLOOKUP('014-22-CCU''s'!B389,'014-22-CCU''s AUX'!$B$1:$H$130,4,0)))))</f>
        <v>H</v>
      </c>
      <c r="F389" s="566">
        <v>0.61699999999999999</v>
      </c>
      <c r="G389" s="550">
        <f>IF(A389="SERVIÇO",VLOOKUP(B389,SERVIÇOS!$A$6:$D$7697,4,0),IF(A389="INSUMO",VLOOKUP(B389,INSUMOS!$A$6:$D$4845,4,0),IF(A389="COTAÇÃO",VLOOKUP(B389,'014-22-cotação'!$A$9:$I$138,3,0),IF(A389="AUX",VLOOKUP('014-22-CCU''s'!B389,'014-22-CCU''s AUX'!$B$1:$H$130,7,0)))))</f>
        <v>23.4</v>
      </c>
      <c r="H389" s="561">
        <f>TRUNC((F389*G389),2)</f>
        <v>14.43</v>
      </c>
      <c r="J389" s="83"/>
      <c r="S389" s="331"/>
      <c r="T389" s="342"/>
    </row>
    <row r="390" spans="1:20" s="399" customFormat="1" ht="12.75" x14ac:dyDescent="0.25">
      <c r="A390" s="398"/>
      <c r="B390" s="207" t="s">
        <v>109</v>
      </c>
      <c r="C390" s="382" t="s">
        <v>4557</v>
      </c>
      <c r="D390" s="383"/>
      <c r="E390" s="383"/>
      <c r="F390" s="383"/>
      <c r="G390" s="383"/>
      <c r="H390" s="384"/>
      <c r="J390" s="401"/>
      <c r="S390" s="402"/>
      <c r="T390" s="400"/>
    </row>
    <row r="391" spans="1:20" s="399" customFormat="1" ht="12.75" x14ac:dyDescent="0.25">
      <c r="A391" s="398"/>
      <c r="B391" s="208"/>
      <c r="C391" s="175"/>
      <c r="D391" s="176"/>
      <c r="E391" s="176"/>
      <c r="F391" s="176"/>
      <c r="G391" s="176"/>
      <c r="H391" s="176"/>
      <c r="J391" s="401"/>
      <c r="S391" s="402"/>
      <c r="T391" s="400"/>
    </row>
    <row r="392" spans="1:20" s="399" customFormat="1" ht="25.5" x14ac:dyDescent="0.25">
      <c r="A392" s="398"/>
      <c r="B392" s="263" t="s">
        <v>3489</v>
      </c>
      <c r="C392" s="177" t="s">
        <v>4544</v>
      </c>
      <c r="D392" s="178" t="s">
        <v>101</v>
      </c>
      <c r="E392" s="178" t="s">
        <v>10</v>
      </c>
      <c r="F392" s="179"/>
      <c r="G392" s="180"/>
      <c r="H392" s="181">
        <f>ROUND(SUM(H393:H393),2)</f>
        <v>10.45</v>
      </c>
      <c r="J392" s="401" t="s">
        <v>4546</v>
      </c>
      <c r="S392" s="402"/>
      <c r="T392" s="400"/>
    </row>
    <row r="393" spans="1:20" s="213" customFormat="1" ht="38.25" x14ac:dyDescent="0.25">
      <c r="A393" s="199" t="s">
        <v>1122</v>
      </c>
      <c r="B393" s="207">
        <v>11963</v>
      </c>
      <c r="C393" s="548" t="str">
        <f>IF(A393="SERVIÇO",VLOOKUP(B393,SERVIÇOS!$A$6:$D$7697,2,0),IF(A393="INSUMO",VLOOKUP(B393,INSUMOS!$A$6:$D$4845,2,0),IF(A393="COTAÇÃO",VLOOKUP(B393,'014-22-cotação'!$A$9:$I$138,2,0),IF(A393="AUX",VLOOKUP('014-22-CCU''s'!B393,'014-22-CCU''s AUX'!$B$1:$H$130,2,0)))))</f>
        <v xml:space="preserve">PARAFUSO DE ACO ZINCADO, TIPO CHUMBADOR PARABOLT, DIAMETRO 1/2", COMPRIMENTO 75 MM                                                                                                                                                                                                                                                                                                                                                                                                                        </v>
      </c>
      <c r="D393" s="549" t="str">
        <f>IF(A393="SERVIÇO",VLOOKUP(B393,SERVIÇOS!$A$6:$E$7697,5,0),IF(A393="INSUMO",VLOOKUP(B393,INSUMOS!$A$6:$E$4845,5,0),IF(A393="COTAÇÃO",VLOOKUP(B393,'014-22-cotação'!$A$9:$J$138,10,0),IF(A393="AUX",VLOOKUP('014-22-CCU''s'!B393,'014-22-CCU''s AUX'!$B$1:$H$130,3,0)))))</f>
        <v>MAT.</v>
      </c>
      <c r="E393" s="549" t="str">
        <f>IF(A393="SERVIÇO",VLOOKUP(B393,SERVIÇOS!$A$6:$D$7697,3,0),IF(A393="INSUMO",VLOOKUP(B393,INSUMOS!$A$6:$D$4845,3,0),IF(A393="COTAÇÃO",VLOOKUP(B393,'014-22-cotação'!$A$9:$I$138,4,0),IF(A393="AUX",VLOOKUP('014-22-CCU''s'!B393,'014-22-CCU''s AUX'!$B$1:$H$130,4,0)))))</f>
        <v xml:space="preserve">UN    </v>
      </c>
      <c r="F393" s="562">
        <v>1</v>
      </c>
      <c r="G393" s="550">
        <f>IF(A393="SERVIÇO",VLOOKUP(B393,SERVIÇOS!$A$6:$D$7697,4,0),IF(A393="INSUMO",VLOOKUP(B393,INSUMOS!$A$6:$D$4845,4,0),IF(A393="COTAÇÃO",VLOOKUP(B393,'014-22-cotação'!$A$9:$I$138,3,0),IF(A393="AUX",VLOOKUP('014-22-CCU''s'!B393,'014-22-CCU''s AUX'!$B$1:$H$130,7,0)))))</f>
        <v>10.45</v>
      </c>
      <c r="H393" s="561">
        <f>TRUNC((F393*G393),2)</f>
        <v>10.45</v>
      </c>
      <c r="J393" s="83"/>
      <c r="S393" s="331"/>
      <c r="T393" s="342"/>
    </row>
    <row r="394" spans="1:20" s="213" customFormat="1" ht="12.75" x14ac:dyDescent="0.25">
      <c r="A394" s="199"/>
      <c r="B394" s="207" t="s">
        <v>109</v>
      </c>
      <c r="C394" s="382" t="s">
        <v>3496</v>
      </c>
      <c r="D394" s="383"/>
      <c r="E394" s="383"/>
      <c r="F394" s="383"/>
      <c r="G394" s="383"/>
      <c r="H394" s="384"/>
      <c r="J394" s="83"/>
      <c r="S394" s="331"/>
      <c r="T394" s="342"/>
    </row>
    <row r="395" spans="1:20" s="213" customFormat="1" ht="12.75" x14ac:dyDescent="0.25">
      <c r="A395" s="199"/>
      <c r="B395" s="371"/>
      <c r="C395" s="372"/>
      <c r="D395" s="372"/>
      <c r="E395" s="372"/>
      <c r="F395" s="372"/>
      <c r="G395" s="372"/>
      <c r="H395" s="372"/>
      <c r="J395" s="83"/>
      <c r="S395" s="331"/>
      <c r="T395" s="342"/>
    </row>
    <row r="396" spans="1:20" s="399" customFormat="1" ht="38.25" x14ac:dyDescent="0.25">
      <c r="A396" s="398"/>
      <c r="B396" s="263" t="s">
        <v>3490</v>
      </c>
      <c r="C396" s="177" t="s">
        <v>4576</v>
      </c>
      <c r="D396" s="178" t="s">
        <v>101</v>
      </c>
      <c r="E396" s="178" t="s">
        <v>10</v>
      </c>
      <c r="F396" s="179"/>
      <c r="G396" s="180"/>
      <c r="H396" s="181">
        <f>ROUND(SUM(H397:H398),2)</f>
        <v>111.68</v>
      </c>
      <c r="J396" s="401"/>
      <c r="S396" s="402"/>
      <c r="T396" s="400"/>
    </row>
    <row r="397" spans="1:20" s="399" customFormat="1" ht="38.25" x14ac:dyDescent="0.25">
      <c r="A397" s="398" t="s">
        <v>1120</v>
      </c>
      <c r="B397" s="207">
        <v>93358</v>
      </c>
      <c r="C397" s="548" t="str">
        <f>IF(A397="SERVIÇO",VLOOKUP(B397,SERVIÇOS!$A$6:$D$7697,2,0),IF(A397="INSUMO",VLOOKUP(B397,INSUMOS!$A$6:$D$4845,2,0),IF(A397="COTAÇÃO",VLOOKUP(B397,'014-22-cotação'!$A$9:$I$138,2,0),IF(A397="AUX",VLOOKUP('014-22-CCU''s'!B397,'014-22-CCU''s AUX'!$B$1:$H$130,2,0)))))</f>
        <v>ESCAVAÇÃO MANUAL DE VALA COM PROFUNDIDADE MENOR OU IGUAL A 1,30 M. AF_02/2021</v>
      </c>
      <c r="D397" s="549" t="str">
        <f>IF(A397="SERVIÇO",VLOOKUP(B397,SERVIÇOS!$A$6:$E$7697,5,0),IF(A397="INSUMO",VLOOKUP(B397,INSUMOS!$A$6:$E$4845,5,0),IF(A397="COTAÇÃO",VLOOKUP(B397,'014-22-cotação'!$A$9:$J$138,10,0),IF(A397="AUX",VLOOKUP('014-22-CCU''s'!B397,'014-22-CCU''s AUX'!$B$1:$H$130,3,0)))))</f>
        <v>SER.CG</v>
      </c>
      <c r="E397" s="549" t="str">
        <f>IF(A397="SERVIÇO",VLOOKUP(B397,SERVIÇOS!$A$6:$D$7697,3,0),IF(A397="INSUMO",VLOOKUP(B397,INSUMOS!$A$6:$D$4845,3,0),IF(A397="COTAÇÃO",VLOOKUP(B397,'014-22-cotação'!$A$9:$I$138,4,0),IF(A397="AUX",VLOOKUP('014-22-CCU''s'!B397,'014-22-CCU''s AUX'!$B$1:$H$130,4,0)))))</f>
        <v>M3</v>
      </c>
      <c r="F397" s="562">
        <f>PI()*(0.4^2)*0.8</f>
        <v>0.4021238596594936</v>
      </c>
      <c r="G397" s="550">
        <f>IF(A397="SERVIÇO",VLOOKUP(B397,SERVIÇOS!$A$6:$D$7697,4,0),IF(A397="INSUMO",VLOOKUP(B397,INSUMOS!$A$6:$D$4845,4,0),IF(A397="COTAÇÃO",VLOOKUP(B397,'014-22-cotação'!$A$9:$I$138,3,0),IF(A397="AUX",VLOOKUP('014-22-CCU''s'!B397,'014-22-CCU''s AUX'!$B$1:$H$130,7,0)))))</f>
        <v>92.57</v>
      </c>
      <c r="H397" s="561">
        <f>TRUNC((F397*G397),2)</f>
        <v>37.22</v>
      </c>
      <c r="J397" s="401"/>
      <c r="S397" s="402"/>
      <c r="T397" s="400"/>
    </row>
    <row r="398" spans="1:20" s="399" customFormat="1" ht="25.5" x14ac:dyDescent="0.25">
      <c r="A398" s="398" t="s">
        <v>3416</v>
      </c>
      <c r="B398" s="207" t="s">
        <v>3456</v>
      </c>
      <c r="C398" s="548" t="str">
        <f>IF(A398="SERVIÇO",VLOOKUP(B398,SERVIÇOS!$A$6:$D$7697,2,0),IF(A398="INSUMO",VLOOKUP(B398,INSUMOS!$A$6:$D$4845,2,0),IF(A398="COTAÇÃO",VLOOKUP(B398,'014-22-cotação'!$A$9:$I$138,2,0),IF(A398="AUX",VLOOKUP('014-22-CCU''s'!B398,'014-22-CCU''s AUX'!$B$1:$H$130,2,0)))))</f>
        <v>FORNECIMENTO E ESPALHAMENTO DE TERRA VEGETAL PREPARADA</v>
      </c>
      <c r="D398" s="549" t="str">
        <f>IF(A398="SERVIÇO",VLOOKUP(B398,SERVIÇOS!$A$6:$E$7697,5,0),IF(A398="INSUMO",VLOOKUP(B398,INSUMOS!$A$6:$E$4845,5,0),IF(A398="COTAÇÃO",VLOOKUP(B398,'014-22-cotação'!$A$9:$J$138,10,0),IF(A398="AUX",VLOOKUP('014-22-CCU''s'!B398,'014-22-CCU''s AUX'!$B$1:$H$130,3,0)))))</f>
        <v xml:space="preserve">SER.CG </v>
      </c>
      <c r="E398" s="549" t="str">
        <f>IF(A398="SERVIÇO",VLOOKUP(B398,SERVIÇOS!$A$6:$D$7697,3,0),IF(A398="INSUMO",VLOOKUP(B398,INSUMOS!$A$6:$D$4845,3,0),IF(A398="COTAÇÃO",VLOOKUP(B398,'014-22-cotação'!$A$9:$I$138,4,0),IF(A398="AUX",VLOOKUP('014-22-CCU''s'!B398,'014-22-CCU''s AUX'!$B$1:$H$130,4,0)))))</f>
        <v>M3</v>
      </c>
      <c r="F398" s="562">
        <f>F397</f>
        <v>0.4021238596594936</v>
      </c>
      <c r="G398" s="550">
        <f>IF(A398="SERVIÇO",VLOOKUP(B398,SERVIÇOS!$A$6:$D$7697,4,0),IF(A398="INSUMO",VLOOKUP(B398,INSUMOS!$A$6:$D$4845,4,0),IF(A398="COTAÇÃO",VLOOKUP(B398,'014-22-cotação'!$A$9:$I$138,3,0),IF(A398="AUX",VLOOKUP('014-22-CCU''s'!B398,'014-22-CCU''s AUX'!$B$1:$H$130,7,0)))))</f>
        <v>185.18</v>
      </c>
      <c r="H398" s="561">
        <f>TRUNC((F398*G398),2)</f>
        <v>74.459999999999994</v>
      </c>
      <c r="J398" s="401" t="s">
        <v>4546</v>
      </c>
      <c r="S398" s="402"/>
      <c r="T398" s="400"/>
    </row>
    <row r="399" spans="1:20" s="213" customFormat="1" ht="12.75" x14ac:dyDescent="0.25">
      <c r="A399" s="199"/>
      <c r="B399" s="207" t="s">
        <v>109</v>
      </c>
      <c r="C399" s="415" t="s">
        <v>3899</v>
      </c>
      <c r="D399" s="386"/>
      <c r="E399" s="386"/>
      <c r="F399" s="386"/>
      <c r="G399" s="386"/>
      <c r="H399" s="387"/>
      <c r="J399" s="83"/>
      <c r="S399" s="331"/>
      <c r="T399" s="342"/>
    </row>
    <row r="400" spans="1:20" s="213" customFormat="1" ht="12.75" x14ac:dyDescent="0.25">
      <c r="A400" s="199"/>
      <c r="B400" s="371"/>
      <c r="C400" s="372"/>
      <c r="D400" s="372"/>
      <c r="E400" s="372"/>
      <c r="F400" s="372"/>
      <c r="G400" s="372"/>
      <c r="H400" s="372"/>
      <c r="J400" s="83"/>
      <c r="S400" s="331"/>
      <c r="T400" s="342"/>
    </row>
    <row r="401" spans="1:20" s="213" customFormat="1" ht="38.25" x14ac:dyDescent="0.25">
      <c r="A401" s="199"/>
      <c r="B401" s="263" t="s">
        <v>3491</v>
      </c>
      <c r="C401" s="177" t="s">
        <v>4577</v>
      </c>
      <c r="D401" s="178" t="s">
        <v>101</v>
      </c>
      <c r="E401" s="178" t="s">
        <v>10</v>
      </c>
      <c r="F401" s="179"/>
      <c r="G401" s="180"/>
      <c r="H401" s="181">
        <f>ROUND(SUM(H402:H403),2)</f>
        <v>13.95</v>
      </c>
      <c r="J401" s="83"/>
      <c r="S401" s="331"/>
      <c r="T401" s="342"/>
    </row>
    <row r="402" spans="1:20" s="399" customFormat="1" ht="38.25" x14ac:dyDescent="0.25">
      <c r="A402" s="398" t="s">
        <v>1120</v>
      </c>
      <c r="B402" s="207">
        <v>93358</v>
      </c>
      <c r="C402" s="548" t="str">
        <f>IF(A402="SERVIÇO",VLOOKUP(B402,SERVIÇOS!$A$6:$D$7697,2,0),IF(A402="INSUMO",VLOOKUP(B402,INSUMOS!$A$6:$D$4845,2,0),IF(A402="COTAÇÃO",VLOOKUP(B402,'014-22-cotação'!$A$9:$I$138,2,0),IF(A402="AUX",VLOOKUP('014-22-CCU''s'!B402,'014-22-CCU''s AUX'!$B$1:$H$130,2,0)))))</f>
        <v>ESCAVAÇÃO MANUAL DE VALA COM PROFUNDIDADE MENOR OU IGUAL A 1,30 M. AF_02/2021</v>
      </c>
      <c r="D402" s="549" t="str">
        <f>IF(A402="SERVIÇO",VLOOKUP(B402,SERVIÇOS!$A$6:$E$7697,5,0),IF(A402="INSUMO",VLOOKUP(B402,INSUMOS!$A$6:$E$4845,5,0),IF(A402="COTAÇÃO",VLOOKUP(B402,'014-22-cotação'!$A$9:$J$138,10,0),IF(A402="AUX",VLOOKUP('014-22-CCU''s'!B402,'014-22-CCU''s AUX'!$B$1:$H$130,3,0)))))</f>
        <v>SER.CG</v>
      </c>
      <c r="E402" s="549" t="str">
        <f>IF(A402="SERVIÇO",VLOOKUP(B402,SERVIÇOS!$A$6:$D$7697,3,0),IF(A402="INSUMO",VLOOKUP(B402,INSUMOS!$A$6:$D$4845,3,0),IF(A402="COTAÇÃO",VLOOKUP(B402,'014-22-cotação'!$A$9:$I$138,4,0),IF(A402="AUX",VLOOKUP('014-22-CCU''s'!B402,'014-22-CCU''s AUX'!$B$1:$H$130,4,0)))))</f>
        <v>M3</v>
      </c>
      <c r="F402" s="562">
        <f>PI()*(0.2^2)*0.4</f>
        <v>5.02654824574367E-2</v>
      </c>
      <c r="G402" s="550">
        <f>IF(A402="SERVIÇO",VLOOKUP(B402,SERVIÇOS!$A$6:$D$7697,4,0),IF(A402="INSUMO",VLOOKUP(B402,INSUMOS!$A$6:$D$4845,4,0),IF(A402="COTAÇÃO",VLOOKUP(B402,'014-22-cotação'!$A$9:$I$138,3,0),IF(A402="AUX",VLOOKUP('014-22-CCU''s'!B402,'014-22-CCU''s AUX'!$B$1:$H$130,7,0)))))</f>
        <v>92.57</v>
      </c>
      <c r="H402" s="561">
        <f>TRUNC((F402*G402),2)</f>
        <v>4.6500000000000004</v>
      </c>
      <c r="J402" s="401"/>
      <c r="S402" s="402"/>
      <c r="T402" s="400"/>
    </row>
    <row r="403" spans="1:20" s="399" customFormat="1" ht="25.5" x14ac:dyDescent="0.25">
      <c r="A403" s="398" t="s">
        <v>3416</v>
      </c>
      <c r="B403" s="207" t="s">
        <v>3456</v>
      </c>
      <c r="C403" s="548" t="str">
        <f>IF(A403="SERVIÇO",VLOOKUP(B403,SERVIÇOS!$A$6:$D$7697,2,0),IF(A403="INSUMO",VLOOKUP(B403,INSUMOS!$A$6:$D$4845,2,0),IF(A403="COTAÇÃO",VLOOKUP(B403,'014-22-cotação'!$A$9:$I$138,2,0),IF(A403="AUX",VLOOKUP('014-22-CCU''s'!B403,'014-22-CCU''s AUX'!$B$1:$H$130,2,0)))))</f>
        <v>FORNECIMENTO E ESPALHAMENTO DE TERRA VEGETAL PREPARADA</v>
      </c>
      <c r="D403" s="549" t="str">
        <f>IF(A403="SERVIÇO",VLOOKUP(B403,SERVIÇOS!$A$6:$E$7697,5,0),IF(A403="INSUMO",VLOOKUP(B403,INSUMOS!$A$6:$E$4845,5,0),IF(A403="COTAÇÃO",VLOOKUP(B403,'014-22-cotação'!$A$9:$J$138,10,0),IF(A403="AUX",VLOOKUP('014-22-CCU''s'!B403,'014-22-CCU''s AUX'!$B$1:$H$130,3,0)))))</f>
        <v xml:space="preserve">SER.CG </v>
      </c>
      <c r="E403" s="549" t="str">
        <f>IF(A403="SERVIÇO",VLOOKUP(B403,SERVIÇOS!$A$6:$D$7697,3,0),IF(A403="INSUMO",VLOOKUP(B403,INSUMOS!$A$6:$D$4845,3,0),IF(A403="COTAÇÃO",VLOOKUP(B403,'014-22-cotação'!$A$9:$I$138,4,0),IF(A403="AUX",VLOOKUP('014-22-CCU''s'!B403,'014-22-CCU''s AUX'!$B$1:$H$130,4,0)))))</f>
        <v>M3</v>
      </c>
      <c r="F403" s="562">
        <f>F402</f>
        <v>5.02654824574367E-2</v>
      </c>
      <c r="G403" s="550">
        <f>IF(A403="SERVIÇO",VLOOKUP(B403,SERVIÇOS!$A$6:$D$7697,4,0),IF(A403="INSUMO",VLOOKUP(B403,INSUMOS!$A$6:$D$4845,4,0),IF(A403="COTAÇÃO",VLOOKUP(B403,'014-22-cotação'!$A$9:$I$138,3,0),IF(A403="AUX",VLOOKUP('014-22-CCU''s'!B403,'014-22-CCU''s AUX'!$B$1:$H$130,7,0)))))</f>
        <v>185.18</v>
      </c>
      <c r="H403" s="561">
        <f>TRUNC((F403*G403),2)</f>
        <v>9.3000000000000007</v>
      </c>
      <c r="J403" s="401"/>
      <c r="S403" s="402"/>
      <c r="T403" s="400"/>
    </row>
    <row r="404" spans="1:20" s="399" customFormat="1" ht="12.75" x14ac:dyDescent="0.25">
      <c r="A404" s="398"/>
      <c r="B404" s="207" t="s">
        <v>109</v>
      </c>
      <c r="C404" s="415" t="s">
        <v>3899</v>
      </c>
      <c r="D404" s="386"/>
      <c r="E404" s="386"/>
      <c r="F404" s="386"/>
      <c r="G404" s="386"/>
      <c r="H404" s="387"/>
      <c r="J404" s="401" t="s">
        <v>4546</v>
      </c>
      <c r="S404" s="402"/>
      <c r="T404" s="400"/>
    </row>
    <row r="405" spans="1:20" s="213" customFormat="1" ht="12.75" x14ac:dyDescent="0.25">
      <c r="A405" s="199"/>
      <c r="B405" s="371"/>
      <c r="C405" s="372"/>
      <c r="D405" s="372"/>
      <c r="E405" s="372"/>
      <c r="F405" s="372"/>
      <c r="G405" s="372"/>
      <c r="H405" s="372"/>
      <c r="J405" s="83"/>
      <c r="S405" s="331"/>
      <c r="T405" s="342"/>
    </row>
    <row r="406" spans="1:20" s="213" customFormat="1" ht="38.25" x14ac:dyDescent="0.25">
      <c r="A406" s="199"/>
      <c r="B406" s="263" t="s">
        <v>3492</v>
      </c>
      <c r="C406" s="177" t="s">
        <v>4579</v>
      </c>
      <c r="D406" s="178" t="s">
        <v>101</v>
      </c>
      <c r="E406" s="178" t="s">
        <v>10</v>
      </c>
      <c r="F406" s="179"/>
      <c r="G406" s="180"/>
      <c r="H406" s="181">
        <f>ROUND(SUM(H407:H410),2)</f>
        <v>21.68</v>
      </c>
      <c r="J406" s="83"/>
      <c r="S406" s="331"/>
      <c r="T406" s="342"/>
    </row>
    <row r="407" spans="1:20" s="213" customFormat="1" ht="38.25" x14ac:dyDescent="0.25">
      <c r="A407" s="199" t="s">
        <v>1120</v>
      </c>
      <c r="B407" s="207">
        <v>93358</v>
      </c>
      <c r="C407" s="548" t="str">
        <f>IF(A407="SERVIÇO",VLOOKUP(B407,SERVIÇOS!$A$6:$D$7697,2,0),IF(A407="INSUMO",VLOOKUP(B407,INSUMOS!$A$6:$D$4845,2,0),IF(A407="COTAÇÃO",VLOOKUP(B407,'014-22-cotação'!$A$9:$I$138,2,0),IF(A407="AUX",VLOOKUP('014-22-CCU''s'!B407,'014-22-CCU''s AUX'!$B$1:$H$130,2,0)))))</f>
        <v>ESCAVAÇÃO MANUAL DE VALA COM PROFUNDIDADE MENOR OU IGUAL A 1,30 M. AF_02/2021</v>
      </c>
      <c r="D407" s="549" t="str">
        <f>IF(A407="SERVIÇO",VLOOKUP(B407,SERVIÇOS!$A$6:$E$7697,5,0),IF(A407="INSUMO",VLOOKUP(B407,INSUMOS!$A$6:$E$4845,5,0),IF(A407="COTAÇÃO",VLOOKUP(B407,'014-22-cotação'!$A$9:$J$138,10,0),IF(A407="AUX",VLOOKUP('014-22-CCU''s'!B407,'014-22-CCU''s AUX'!$B$1:$H$130,3,0)))))</f>
        <v>SER.CG</v>
      </c>
      <c r="E407" s="549" t="str">
        <f>IF(A407="SERVIÇO",VLOOKUP(B407,SERVIÇOS!$A$6:$D$7697,3,0),IF(A407="INSUMO",VLOOKUP(B407,INSUMOS!$A$6:$D$4845,3,0),IF(A407="COTAÇÃO",VLOOKUP(B407,'014-22-cotação'!$A$9:$I$138,4,0),IF(A407="AUX",VLOOKUP('014-22-CCU''s'!B407,'014-22-CCU''s AUX'!$B$1:$H$130,4,0)))))</f>
        <v>M3</v>
      </c>
      <c r="F407" s="562">
        <f>PI()*(0.2^2)*0.4*2</f>
        <v>0.1005309649148734</v>
      </c>
      <c r="G407" s="550">
        <f>IF(A407="SERVIÇO",VLOOKUP(B407,SERVIÇOS!$A$6:$D$7697,4,0),IF(A407="INSUMO",VLOOKUP(B407,INSUMOS!$A$6:$D$4845,4,0),IF(A407="COTAÇÃO",VLOOKUP(B407,'014-22-cotação'!$A$9:$I$138,3,0),IF(A407="AUX",VLOOKUP('014-22-CCU''s'!B407,'014-22-CCU''s AUX'!$B$1:$H$130,7,0)))))</f>
        <v>92.57</v>
      </c>
      <c r="H407" s="561">
        <f>TRUNC((F407*G407),2)</f>
        <v>9.3000000000000007</v>
      </c>
      <c r="J407" s="83"/>
      <c r="S407" s="331"/>
      <c r="T407" s="342"/>
    </row>
    <row r="408" spans="1:20" s="399" customFormat="1" ht="25.5" x14ac:dyDescent="0.25">
      <c r="A408" s="398" t="s">
        <v>3416</v>
      </c>
      <c r="B408" s="207" t="s">
        <v>3456</v>
      </c>
      <c r="C408" s="548" t="str">
        <f>IF(A408="SERVIÇO",VLOOKUP(B408,SERVIÇOS!$A$6:$D$7697,2,0),IF(A408="INSUMO",VLOOKUP(B408,INSUMOS!$A$6:$D$4845,2,0),IF(A408="COTAÇÃO",VLOOKUP(B408,'014-22-cotação'!$A$9:$I$138,2,0),IF(A408="AUX",VLOOKUP('014-22-CCU''s'!B408,'014-22-CCU''s AUX'!$B$1:$H$130,2,0)))))</f>
        <v>FORNECIMENTO E ESPALHAMENTO DE TERRA VEGETAL PREPARADA</v>
      </c>
      <c r="D408" s="549" t="str">
        <f>IF(A408="SERVIÇO",VLOOKUP(B408,SERVIÇOS!$A$6:$E$7697,5,0),IF(A408="INSUMO",VLOOKUP(B408,INSUMOS!$A$6:$E$4845,5,0),IF(A408="COTAÇÃO",VLOOKUP(B408,'014-22-cotação'!$A$9:$J$138,10,0),IF(A408="AUX",VLOOKUP('014-22-CCU''s'!B408,'014-22-CCU''s AUX'!$B$1:$H$130,3,0)))))</f>
        <v xml:space="preserve">SER.CG </v>
      </c>
      <c r="E408" s="549" t="str">
        <f>IF(A408="SERVIÇO",VLOOKUP(B408,SERVIÇOS!$A$6:$D$7697,3,0),IF(A408="INSUMO",VLOOKUP(B408,INSUMOS!$A$6:$D$4845,3,0),IF(A408="COTAÇÃO",VLOOKUP(B408,'014-22-cotação'!$A$9:$I$138,4,0),IF(A408="AUX",VLOOKUP('014-22-CCU''s'!B408,'014-22-CCU''s AUX'!$B$1:$H$130,4,0)))))</f>
        <v>M3</v>
      </c>
      <c r="F408" s="562">
        <f>PI()*(0.2^2)*0.4</f>
        <v>5.02654824574367E-2</v>
      </c>
      <c r="G408" s="550">
        <f>IF(A408="SERVIÇO",VLOOKUP(B408,SERVIÇOS!$A$6:$D$7697,4,0),IF(A408="INSUMO",VLOOKUP(B408,INSUMOS!$A$6:$D$4845,4,0),IF(A408="COTAÇÃO",VLOOKUP(B408,'014-22-cotação'!$A$9:$I$138,3,0),IF(A408="AUX",VLOOKUP('014-22-CCU''s'!B408,'014-22-CCU''s AUX'!$B$1:$H$130,7,0)))))</f>
        <v>185.18</v>
      </c>
      <c r="H408" s="561">
        <f>TRUNC((F408*G408),2)</f>
        <v>9.3000000000000007</v>
      </c>
      <c r="J408" s="401"/>
      <c r="S408" s="402"/>
      <c r="T408" s="400"/>
    </row>
    <row r="409" spans="1:20" s="399" customFormat="1" ht="25.5" x14ac:dyDescent="0.25">
      <c r="A409" s="398" t="s">
        <v>1120</v>
      </c>
      <c r="B409" s="207">
        <v>88316</v>
      </c>
      <c r="C409" s="548" t="str">
        <f>IF(A409="SERVIÇO",VLOOKUP(B409,SERVIÇOS!$A$6:$D$7697,2,0),IF(A409="INSUMO",VLOOKUP(B409,INSUMOS!$A$6:$D$4845,2,0),IF(A409="COTAÇÃO",VLOOKUP(B409,'014-22-cotação'!$A$9:$I$138,2,0),IF(A409="AUX",VLOOKUP('014-22-CCU''s'!B409,'014-22-CCU''s AUX'!$B$1:$H$130,2,0)))))</f>
        <v>SERVENTE COM ENCARGOS COMPLEMENTARES</v>
      </c>
      <c r="D409" s="549" t="str">
        <f>IF(A409="SERVIÇO",VLOOKUP(B409,SERVIÇOS!$A$6:$E$7697,5,0),IF(A409="INSUMO",VLOOKUP(B409,INSUMOS!$A$6:$E$4845,5,0),IF(A409="COTAÇÃO",VLOOKUP(B409,'014-22-cotação'!$A$9:$J$138,10,0),IF(A409="AUX",VLOOKUP('014-22-CCU''s'!B409,'014-22-CCU''s AUX'!$B$1:$H$130,3,0)))))</f>
        <v>M.O</v>
      </c>
      <c r="E409" s="549" t="str">
        <f>IF(A409="SERVIÇO",VLOOKUP(B409,SERVIÇOS!$A$6:$D$7697,3,0),IF(A409="INSUMO",VLOOKUP(B409,INSUMOS!$A$6:$D$4845,3,0),IF(A409="COTAÇÃO",VLOOKUP(B409,'014-22-cotação'!$A$9:$I$138,4,0),IF(A409="AUX",VLOOKUP('014-22-CCU''s'!B409,'014-22-CCU''s AUX'!$B$1:$H$130,4,0)))))</f>
        <v>H</v>
      </c>
      <c r="F409" s="549">
        <v>0.1018</v>
      </c>
      <c r="G409" s="550">
        <f>IF(A409="SERVIÇO",VLOOKUP(B409,SERVIÇOS!$A$6:$D$7697,4,0),IF(A409="INSUMO",VLOOKUP(B409,INSUMOS!$A$6:$D$4845,4,0),IF(A409="COTAÇÃO",VLOOKUP(B409,'014-22-cotação'!$A$9:$I$138,3,0),IF(A409="AUX",VLOOKUP('014-22-CCU''s'!B409,'014-22-CCU''s AUX'!$B$1:$H$130,7,0)))))</f>
        <v>23.4</v>
      </c>
      <c r="H409" s="561">
        <f>TRUNC((F409*G409),2)</f>
        <v>2.38</v>
      </c>
      <c r="J409" s="401"/>
      <c r="S409" s="402"/>
      <c r="T409" s="400"/>
    </row>
    <row r="410" spans="1:20" s="399" customFormat="1" ht="25.5" x14ac:dyDescent="0.25">
      <c r="A410" s="398" t="s">
        <v>1120</v>
      </c>
      <c r="B410" s="207">
        <v>88441</v>
      </c>
      <c r="C410" s="548" t="str">
        <f>IF(A410="SERVIÇO",VLOOKUP(B410,SERVIÇOS!$A$6:$D$7697,2,0),IF(A410="INSUMO",VLOOKUP(B410,INSUMOS!$A$6:$D$4845,2,0),IF(A410="COTAÇÃO",VLOOKUP(B410,'014-22-cotação'!$A$9:$I$138,2,0),IF(A410="AUX",VLOOKUP('014-22-CCU''s'!B410,'014-22-CCU''s AUX'!$B$1:$H$130,2,0)))))</f>
        <v>JARDINEIRO COM ENCARGOS COMPLEMENTARES</v>
      </c>
      <c r="D410" s="549" t="str">
        <f>IF(A410="SERVIÇO",VLOOKUP(B410,SERVIÇOS!$A$6:$E$7697,5,0),IF(A410="INSUMO",VLOOKUP(B410,INSUMOS!$A$6:$E$4845,5,0),IF(A410="COTAÇÃO",VLOOKUP(B410,'014-22-cotação'!$A$9:$J$138,10,0),IF(A410="AUX",VLOOKUP('014-22-CCU''s'!B410,'014-22-CCU''s AUX'!$B$1:$H$130,3,0)))))</f>
        <v>M.O</v>
      </c>
      <c r="E410" s="549" t="str">
        <f>IF(A410="SERVIÇO",VLOOKUP(B410,SERVIÇOS!$A$6:$D$7697,3,0),IF(A410="INSUMO",VLOOKUP(B410,INSUMOS!$A$6:$D$4845,3,0),IF(A410="COTAÇÃO",VLOOKUP(B410,'014-22-cotação'!$A$9:$I$138,4,0),IF(A410="AUX",VLOOKUP('014-22-CCU''s'!B410,'014-22-CCU''s AUX'!$B$1:$H$130,4,0)))))</f>
        <v>H</v>
      </c>
      <c r="F410" s="549">
        <v>2.5499999999999998E-2</v>
      </c>
      <c r="G410" s="550">
        <f>IF(A410="SERVIÇO",VLOOKUP(B410,SERVIÇOS!$A$6:$D$7697,4,0),IF(A410="INSUMO",VLOOKUP(B410,INSUMOS!$A$6:$D$4845,4,0),IF(A410="COTAÇÃO",VLOOKUP(B410,'014-22-cotação'!$A$9:$I$138,3,0),IF(A410="AUX",VLOOKUP('014-22-CCU''s'!B410,'014-22-CCU''s AUX'!$B$1:$H$130,7,0)))))</f>
        <v>27.63</v>
      </c>
      <c r="H410" s="561">
        <f>TRUNC((F410*G410),2)</f>
        <v>0.7</v>
      </c>
      <c r="J410" s="401" t="s">
        <v>4546</v>
      </c>
      <c r="S410" s="402"/>
      <c r="T410" s="400"/>
    </row>
    <row r="411" spans="1:20" s="213" customFormat="1" ht="12.75" x14ac:dyDescent="0.25">
      <c r="A411" s="199"/>
      <c r="B411" s="207" t="s">
        <v>109</v>
      </c>
      <c r="C411" s="415" t="s">
        <v>3899</v>
      </c>
      <c r="D411" s="386"/>
      <c r="E411" s="386"/>
      <c r="F411" s="386"/>
      <c r="G411" s="386"/>
      <c r="H411" s="387"/>
      <c r="J411" s="83"/>
      <c r="S411" s="331"/>
      <c r="T411" s="342"/>
    </row>
    <row r="412" spans="1:20" s="213" customFormat="1" ht="12.75" x14ac:dyDescent="0.25">
      <c r="A412" s="199"/>
      <c r="B412" s="208"/>
      <c r="C412" s="175"/>
      <c r="D412" s="176"/>
      <c r="E412" s="176"/>
      <c r="F412" s="176"/>
      <c r="G412" s="176"/>
      <c r="H412" s="176"/>
      <c r="J412" s="83"/>
      <c r="S412" s="331"/>
      <c r="T412" s="342"/>
    </row>
    <row r="413" spans="1:20" s="213" customFormat="1" ht="12.75" x14ac:dyDescent="0.25">
      <c r="A413" s="199"/>
      <c r="B413" s="263" t="s">
        <v>3493</v>
      </c>
      <c r="C413" s="177" t="s">
        <v>4578</v>
      </c>
      <c r="D413" s="178" t="s">
        <v>101</v>
      </c>
      <c r="E413" s="178" t="s">
        <v>163</v>
      </c>
      <c r="F413" s="179"/>
      <c r="G413" s="180"/>
      <c r="H413" s="181">
        <f>ROUND(SUM(H414:H416),2)</f>
        <v>5.83</v>
      </c>
      <c r="J413" s="83"/>
      <c r="S413" s="331"/>
      <c r="T413" s="342"/>
    </row>
    <row r="414" spans="1:20" s="399" customFormat="1" ht="51" x14ac:dyDescent="0.25">
      <c r="A414" s="398" t="s">
        <v>1122</v>
      </c>
      <c r="B414" s="207">
        <v>360</v>
      </c>
      <c r="C414" s="548" t="str">
        <f>IF(A414="SERVIÇO",VLOOKUP(B414,SERVIÇOS!$A$6:$D$7697,2,0),IF(A414="INSUMO",VLOOKUP(B414,INSUMOS!$A$6:$D$4845,2,0),IF(A414="COTAÇÃO",VLOOKUP(B414,'014-22-cotação'!$A$9:$I$138,2,0),IF(A414="AUX",VLOOKUP('014-22-CCU''s'!B414,'014-22-CCU''s AUX'!$B$1:$H$130,2,0)))))</f>
        <v xml:space="preserve">MUDA DE RASTEIRA/FORRACAO, AMENDOIM RASTEIRO/ONZE HORAS/AZULZINHA/IMPATIENS OU EQUIVALENTE DA REGIAO                                                                                                                                                                                                                                                                                                                                                                                                      </v>
      </c>
      <c r="D414" s="549" t="str">
        <f>IF(A414="SERVIÇO",VLOOKUP(B414,SERVIÇOS!$A$6:$E$7697,5,0),IF(A414="INSUMO",VLOOKUP(B414,INSUMOS!$A$6:$E$4845,5,0),IF(A414="COTAÇÃO",VLOOKUP(B414,'014-22-cotação'!$A$9:$J$138,10,0),IF(A414="AUX",VLOOKUP('014-22-CCU''s'!B414,'014-22-CCU''s AUX'!$B$1:$H$130,3,0)))))</f>
        <v>MAT.</v>
      </c>
      <c r="E414" s="549" t="str">
        <f>IF(A414="SERVIÇO",VLOOKUP(B414,SERVIÇOS!$A$6:$D$7697,3,0),IF(A414="INSUMO",VLOOKUP(B414,INSUMOS!$A$6:$D$4845,3,0),IF(A414="COTAÇÃO",VLOOKUP(B414,'014-22-cotação'!$A$9:$I$138,4,0),IF(A414="AUX",VLOOKUP('014-22-CCU''s'!B414,'014-22-CCU''s AUX'!$B$1:$H$130,4,0)))))</f>
        <v xml:space="preserve">UN    </v>
      </c>
      <c r="F414" s="569">
        <v>1</v>
      </c>
      <c r="G414" s="550">
        <f>IF(A414="SERVIÇO",VLOOKUP(B414,SERVIÇOS!$A$6:$D$7697,4,0),IF(A414="INSUMO",VLOOKUP(B414,INSUMOS!$A$6:$D$4845,4,0),IF(A414="COTAÇÃO",VLOOKUP(B414,'014-22-cotação'!$A$9:$I$138,3,0),IF(A414="AUX",VLOOKUP('014-22-CCU''s'!B414,'014-22-CCU''s AUX'!$B$1:$H$130,7,0)))))</f>
        <v>2.75</v>
      </c>
      <c r="H414" s="561">
        <f>TRUNC((F414*G414),2)</f>
        <v>2.75</v>
      </c>
      <c r="J414" s="401"/>
      <c r="S414" s="402"/>
      <c r="T414" s="400"/>
    </row>
    <row r="415" spans="1:20" s="399" customFormat="1" ht="25.5" x14ac:dyDescent="0.25">
      <c r="A415" s="398" t="s">
        <v>1120</v>
      </c>
      <c r="B415" s="207">
        <v>88316</v>
      </c>
      <c r="C415" s="548" t="str">
        <f>IF(A415="SERVIÇO",VLOOKUP(B415,SERVIÇOS!$A$6:$D$7697,2,0),IF(A415="INSUMO",VLOOKUP(B415,INSUMOS!$A$6:$D$4845,2,0),IF(A415="COTAÇÃO",VLOOKUP(B415,'014-22-cotação'!$A$9:$I$138,2,0),IF(A415="AUX",VLOOKUP('014-22-CCU''s'!B415,'014-22-CCU''s AUX'!$B$1:$H$130,2,0)))))</f>
        <v>SERVENTE COM ENCARGOS COMPLEMENTARES</v>
      </c>
      <c r="D415" s="549" t="str">
        <f>IF(A415="SERVIÇO",VLOOKUP(B415,SERVIÇOS!$A$6:$E$7697,5,0),IF(A415="INSUMO",VLOOKUP(B415,INSUMOS!$A$6:$E$4845,5,0),IF(A415="COTAÇÃO",VLOOKUP(B415,'014-22-cotação'!$A$9:$J$138,10,0),IF(A415="AUX",VLOOKUP('014-22-CCU''s'!B415,'014-22-CCU''s AUX'!$B$1:$H$130,3,0)))))</f>
        <v>M.O</v>
      </c>
      <c r="E415" s="549" t="str">
        <f>IF(A415="SERVIÇO",VLOOKUP(B415,SERVIÇOS!$A$6:$D$7697,3,0),IF(A415="INSUMO",VLOOKUP(B415,INSUMOS!$A$6:$D$4845,3,0),IF(A415="COTAÇÃO",VLOOKUP(B415,'014-22-cotação'!$A$9:$I$138,4,0),IF(A415="AUX",VLOOKUP('014-22-CCU''s'!B415,'014-22-CCU''s AUX'!$B$1:$H$130,4,0)))))</f>
        <v>H</v>
      </c>
      <c r="F415" s="569">
        <v>0.1018</v>
      </c>
      <c r="G415" s="550">
        <f>IF(A415="SERVIÇO",VLOOKUP(B415,SERVIÇOS!$A$6:$D$7697,4,0),IF(A415="INSUMO",VLOOKUP(B415,INSUMOS!$A$6:$D$4845,4,0),IF(A415="COTAÇÃO",VLOOKUP(B415,'014-22-cotação'!$A$9:$I$138,3,0),IF(A415="AUX",VLOOKUP('014-22-CCU''s'!B415,'014-22-CCU''s AUX'!$B$1:$H$130,7,0)))))</f>
        <v>23.4</v>
      </c>
      <c r="H415" s="561">
        <f>TRUNC((F415*G415),2)</f>
        <v>2.38</v>
      </c>
      <c r="J415" s="401"/>
      <c r="S415" s="402"/>
      <c r="T415" s="400"/>
    </row>
    <row r="416" spans="1:20" s="399" customFormat="1" ht="25.5" x14ac:dyDescent="0.25">
      <c r="A416" s="398" t="s">
        <v>1120</v>
      </c>
      <c r="B416" s="207">
        <v>88441</v>
      </c>
      <c r="C416" s="548" t="str">
        <f>IF(A416="SERVIÇO",VLOOKUP(B416,SERVIÇOS!$A$6:$D$7697,2,0),IF(A416="INSUMO",VLOOKUP(B416,INSUMOS!$A$6:$D$4845,2,0),IF(A416="COTAÇÃO",VLOOKUP(B416,'014-22-cotação'!$A$9:$I$138,2,0),IF(A416="AUX",VLOOKUP('014-22-CCU''s'!B416,'014-22-CCU''s AUX'!$B$1:$H$130,2,0)))))</f>
        <v>JARDINEIRO COM ENCARGOS COMPLEMENTARES</v>
      </c>
      <c r="D416" s="549" t="str">
        <f>IF(A416="SERVIÇO",VLOOKUP(B416,SERVIÇOS!$A$6:$E$7697,5,0),IF(A416="INSUMO",VLOOKUP(B416,INSUMOS!$A$6:$E$4845,5,0),IF(A416="COTAÇÃO",VLOOKUP(B416,'014-22-cotação'!$A$9:$J$138,10,0),IF(A416="AUX",VLOOKUP('014-22-CCU''s'!B416,'014-22-CCU''s AUX'!$B$1:$H$130,3,0)))))</f>
        <v>M.O</v>
      </c>
      <c r="E416" s="549" t="str">
        <f>IF(A416="SERVIÇO",VLOOKUP(B416,SERVIÇOS!$A$6:$D$7697,3,0),IF(A416="INSUMO",VLOOKUP(B416,INSUMOS!$A$6:$D$4845,3,0),IF(A416="COTAÇÃO",VLOOKUP(B416,'014-22-cotação'!$A$9:$I$138,4,0),IF(A416="AUX",VLOOKUP('014-22-CCU''s'!B416,'014-22-CCU''s AUX'!$B$1:$H$130,4,0)))))</f>
        <v>H</v>
      </c>
      <c r="F416" s="569">
        <v>2.5499999999999998E-2</v>
      </c>
      <c r="G416" s="550">
        <f>IF(A416="SERVIÇO",VLOOKUP(B416,SERVIÇOS!$A$6:$D$7697,4,0),IF(A416="INSUMO",VLOOKUP(B416,INSUMOS!$A$6:$D$4845,4,0),IF(A416="COTAÇÃO",VLOOKUP(B416,'014-22-cotação'!$A$9:$I$138,3,0),IF(A416="AUX",VLOOKUP('014-22-CCU''s'!B416,'014-22-CCU''s AUX'!$B$1:$H$130,7,0)))))</f>
        <v>27.63</v>
      </c>
      <c r="H416" s="561">
        <f>TRUNC((F416*G416),2)</f>
        <v>0.7</v>
      </c>
      <c r="J416" s="401" t="s">
        <v>4546</v>
      </c>
      <c r="S416" s="402"/>
      <c r="T416" s="400"/>
    </row>
    <row r="417" spans="1:20" s="213" customFormat="1" ht="12.75" x14ac:dyDescent="0.25">
      <c r="A417" s="199"/>
      <c r="B417" s="207" t="s">
        <v>109</v>
      </c>
      <c r="C417" s="382"/>
      <c r="D417" s="383"/>
      <c r="E417" s="383"/>
      <c r="F417" s="383"/>
      <c r="G417" s="383"/>
      <c r="H417" s="384"/>
      <c r="J417" s="83"/>
      <c r="S417" s="331"/>
      <c r="T417" s="342"/>
    </row>
    <row r="418" spans="1:20" s="213" customFormat="1" ht="12.75" x14ac:dyDescent="0.25">
      <c r="A418" s="199"/>
      <c r="B418" s="208"/>
      <c r="C418" s="175"/>
      <c r="D418" s="176"/>
      <c r="E418" s="176"/>
      <c r="F418" s="176"/>
      <c r="G418" s="176"/>
      <c r="H418" s="176"/>
      <c r="J418" s="83"/>
      <c r="S418" s="331"/>
      <c r="T418" s="342"/>
    </row>
    <row r="419" spans="1:20" s="213" customFormat="1" ht="25.5" x14ac:dyDescent="0.25">
      <c r="A419" s="199"/>
      <c r="B419" s="263" t="s">
        <v>3494</v>
      </c>
      <c r="C419" s="177" t="s">
        <v>3495</v>
      </c>
      <c r="D419" s="178" t="s">
        <v>101</v>
      </c>
      <c r="E419" s="178" t="s">
        <v>163</v>
      </c>
      <c r="F419" s="179"/>
      <c r="G419" s="180"/>
      <c r="H419" s="181">
        <f>ROUND(SUM(H420:H422),2)</f>
        <v>185.18</v>
      </c>
      <c r="J419" s="83"/>
      <c r="S419" s="331"/>
      <c r="T419" s="342"/>
    </row>
    <row r="420" spans="1:20" s="399" customFormat="1" ht="25.5" x14ac:dyDescent="0.25">
      <c r="A420" s="398" t="s">
        <v>1120</v>
      </c>
      <c r="B420" s="207">
        <v>88316</v>
      </c>
      <c r="C420" s="548" t="str">
        <f>IF(A420="SERVIÇO",VLOOKUP(B420,SERVIÇOS!$A$6:$D$7697,2,0),IF(A420="INSUMO",VLOOKUP(B420,INSUMOS!$A$6:$D$4845,2,0),IF(A420="COTAÇÃO",VLOOKUP(B420,'014-22-cotação'!$A$9:$I$138,2,0),IF(A420="AUX",VLOOKUP('014-22-CCU''s'!B420,'014-22-CCU''s AUX'!$B$1:$H$130,2,0)))))</f>
        <v>SERVENTE COM ENCARGOS COMPLEMENTARES</v>
      </c>
      <c r="D420" s="549" t="str">
        <f>IF(A420="SERVIÇO",VLOOKUP(B420,SERVIÇOS!$A$6:$E$7697,5,0),IF(A420="INSUMO",VLOOKUP(B420,INSUMOS!$A$6:$E$4845,5,0),IF(A420="COTAÇÃO",VLOOKUP(B420,'014-22-cotação'!$A$9:$J$138,10,0),IF(A420="AUX",VLOOKUP('014-22-CCU''s'!B420,'014-22-CCU''s AUX'!$B$1:$H$130,3,0)))))</f>
        <v>M.O</v>
      </c>
      <c r="E420" s="549" t="str">
        <f>IF(A420="SERVIÇO",VLOOKUP(B420,SERVIÇOS!$A$6:$D$7697,3,0),IF(A420="INSUMO",VLOOKUP(B420,INSUMOS!$A$6:$D$4845,3,0),IF(A420="COTAÇÃO",VLOOKUP(B420,'014-22-cotação'!$A$9:$I$138,4,0),IF(A420="AUX",VLOOKUP('014-22-CCU''s'!B420,'014-22-CCU''s AUX'!$B$1:$H$130,4,0)))))</f>
        <v>H</v>
      </c>
      <c r="F420" s="562">
        <v>1.6</v>
      </c>
      <c r="G420" s="550">
        <f>IF(A420="SERVIÇO",VLOOKUP(B420,SERVIÇOS!$A$6:$D$7697,4,0),IF(A420="INSUMO",VLOOKUP(B420,INSUMOS!$A$6:$D$4845,4,0),IF(A420="COTAÇÃO",VLOOKUP(B420,'014-22-cotação'!$A$9:$I$138,3,0),IF(A420="AUX",VLOOKUP('014-22-CCU''s'!B420,'014-22-CCU''s AUX'!$B$1:$H$130,7,0)))))</f>
        <v>23.4</v>
      </c>
      <c r="H420" s="561">
        <f>TRUNC((F420*G420),2)</f>
        <v>37.44</v>
      </c>
      <c r="J420" s="401"/>
      <c r="S420" s="402"/>
      <c r="T420" s="400"/>
    </row>
    <row r="421" spans="1:20" s="399" customFormat="1" ht="12.75" x14ac:dyDescent="0.25">
      <c r="A421" s="398" t="s">
        <v>1122</v>
      </c>
      <c r="B421" s="207">
        <v>7253</v>
      </c>
      <c r="C421" s="548" t="str">
        <f>IF(A421="SERVIÇO",VLOOKUP(B421,SERVIÇOS!$A$6:$D$7697,2,0),IF(A421="INSUMO",VLOOKUP(B421,INSUMOS!$A$6:$D$4845,2,0),IF(A421="COTAÇÃO",VLOOKUP(B421,'014-22-cotação'!$A$9:$I$138,2,0),IF(A421="AUX",VLOOKUP('014-22-CCU''s'!B421,'014-22-CCU''s AUX'!$B$1:$H$130,2,0)))))</f>
        <v xml:space="preserve">TERRA VEGETAL (GRANEL)                                                                                                                                                                                                                                                                                                                                                                                                                                                                                    </v>
      </c>
      <c r="D421" s="549" t="str">
        <f>IF(A421="SERVIÇO",VLOOKUP(B421,SERVIÇOS!$A$6:$E$7697,5,0),IF(A421="INSUMO",VLOOKUP(B421,INSUMOS!$A$6:$E$4845,5,0),IF(A421="COTAÇÃO",VLOOKUP(B421,'014-22-cotação'!$A$9:$J$138,10,0),IF(A421="AUX",VLOOKUP('014-22-CCU''s'!B421,'014-22-CCU''s AUX'!$B$1:$H$130,3,0)))))</f>
        <v>MAT.</v>
      </c>
      <c r="E421" s="549" t="str">
        <f>IF(A421="SERVIÇO",VLOOKUP(B421,SERVIÇOS!$A$6:$D$7697,3,0),IF(A421="INSUMO",VLOOKUP(B421,INSUMOS!$A$6:$D$4845,3,0),IF(A421="COTAÇÃO",VLOOKUP(B421,'014-22-cotação'!$A$9:$I$138,4,0),IF(A421="AUX",VLOOKUP('014-22-CCU''s'!B421,'014-22-CCU''s AUX'!$B$1:$H$130,4,0)))))</f>
        <v xml:space="preserve">M3    </v>
      </c>
      <c r="F421" s="562">
        <v>0.9</v>
      </c>
      <c r="G421" s="550">
        <f>IF(A421="SERVIÇO",VLOOKUP(B421,SERVIÇOS!$A$6:$D$7697,4,0),IF(A421="INSUMO",VLOOKUP(B421,INSUMOS!$A$6:$D$4845,4,0),IF(A421="COTAÇÃO",VLOOKUP(B421,'014-22-cotação'!$A$9:$I$138,3,0),IF(A421="AUX",VLOOKUP('014-22-CCU''s'!B421,'014-22-CCU''s AUX'!$B$1:$H$130,7,0)))))</f>
        <v>150</v>
      </c>
      <c r="H421" s="561">
        <f>TRUNC((F421*G421),2)</f>
        <v>135</v>
      </c>
      <c r="J421" s="401"/>
      <c r="S421" s="402"/>
      <c r="T421" s="400"/>
    </row>
    <row r="422" spans="1:20" s="399" customFormat="1" ht="12.75" x14ac:dyDescent="0.25">
      <c r="A422" s="398" t="s">
        <v>1122</v>
      </c>
      <c r="B422" s="207" t="s">
        <v>4574</v>
      </c>
      <c r="C422" s="548" t="str">
        <f>IF(A422="SERVIÇO",VLOOKUP(B422,SERVIÇOS!$A$6:$D$7697,2,0),IF(A422="INSUMO",VLOOKUP(B422,INSUMOS!$A$6:$D$4845,2,0),IF(A422="COTAÇÃO",VLOOKUP(B422,'014-22-cotação'!$A$9:$I$138,2,0),IF(A422="AUX",VLOOKUP('014-22-CCU''s'!B422,'014-22-CCU''s AUX'!$B$1:$H$130,2,0)))))</f>
        <v>ADUBO ORGÂNICO COMPOSTO</v>
      </c>
      <c r="D422" s="549" t="str">
        <f>IF(A422="SERVIÇO",VLOOKUP(B422,SERVIÇOS!$A$6:$E$7697,5,0),IF(A422="INSUMO",VLOOKUP(B422,INSUMOS!$A$6:$E$4845,5,0),IF(A422="COTAÇÃO",VLOOKUP(B422,'014-22-cotação'!$A$9:$J$138,10,0),IF(A422="AUX",VLOOKUP('014-22-CCU''s'!B422,'014-22-CCU''s AUX'!$B$1:$H$130,3,0)))))</f>
        <v>MAT.</v>
      </c>
      <c r="E422" s="549" t="str">
        <f>IF(A422="SERVIÇO",VLOOKUP(B422,SERVIÇOS!$A$6:$D$7697,3,0),IF(A422="INSUMO",VLOOKUP(B422,INSUMOS!$A$6:$D$4845,3,0),IF(A422="COTAÇÃO",VLOOKUP(B422,'014-22-cotação'!$A$9:$I$138,4,0),IF(A422="AUX",VLOOKUP('014-22-CCU''s'!B422,'014-22-CCU''s AUX'!$B$1:$H$130,4,0)))))</f>
        <v>KG</v>
      </c>
      <c r="F422" s="562">
        <f>0.1*500</f>
        <v>50</v>
      </c>
      <c r="G422" s="550">
        <f>IF(A422="SERVIÇO",VLOOKUP(B422,SERVIÇOS!$A$6:$D$7697,4,0),IF(A422="INSUMO",VLOOKUP(B422,INSUMOS!$A$6:$D$4845,4,0),IF(A422="COTAÇÃO",VLOOKUP(B422,'014-22-cotação'!$A$9:$I$138,3,0),IF(A422="AUX",VLOOKUP('014-22-CCU''s'!B422,'014-22-CCU''s AUX'!$B$1:$H$130,7,0)))))</f>
        <v>0.25490000000000002</v>
      </c>
      <c r="H422" s="561">
        <f>TRUNC((F422*G422),2)</f>
        <v>12.74</v>
      </c>
      <c r="J422" s="401" t="s">
        <v>4546</v>
      </c>
      <c r="S422" s="402"/>
      <c r="T422" s="400"/>
    </row>
    <row r="423" spans="1:20" s="213" customFormat="1" ht="12.75" x14ac:dyDescent="0.25">
      <c r="A423" s="199"/>
      <c r="B423" s="207" t="s">
        <v>109</v>
      </c>
      <c r="C423" s="382" t="s">
        <v>4545</v>
      </c>
      <c r="D423" s="383"/>
      <c r="E423" s="383"/>
      <c r="F423" s="383"/>
      <c r="G423" s="383"/>
      <c r="H423" s="384"/>
      <c r="J423" s="83"/>
      <c r="S423" s="331"/>
      <c r="T423" s="342"/>
    </row>
    <row r="424" spans="1:20" s="213" customFormat="1" ht="12.75" x14ac:dyDescent="0.25">
      <c r="A424" s="199"/>
      <c r="B424" s="371"/>
      <c r="C424" s="372"/>
      <c r="D424" s="372"/>
      <c r="E424" s="372"/>
      <c r="F424" s="372"/>
      <c r="G424" s="372"/>
      <c r="H424" s="372"/>
      <c r="J424" s="83"/>
      <c r="S424" s="331"/>
      <c r="T424" s="342"/>
    </row>
    <row r="425" spans="1:20" s="213" customFormat="1" ht="12.75" x14ac:dyDescent="0.25">
      <c r="A425" s="199"/>
      <c r="B425" s="208"/>
      <c r="C425" s="175"/>
      <c r="D425" s="176"/>
      <c r="E425" s="176"/>
      <c r="F425" s="176"/>
      <c r="G425" s="176"/>
      <c r="H425" s="176"/>
      <c r="J425" s="83"/>
      <c r="S425" s="331"/>
      <c r="T425" s="342"/>
    </row>
    <row r="426" spans="1:20" s="399" customFormat="1" ht="38.25" x14ac:dyDescent="0.25">
      <c r="A426" s="398"/>
      <c r="B426" s="263" t="s">
        <v>1932</v>
      </c>
      <c r="C426" s="177" t="s">
        <v>4585</v>
      </c>
      <c r="D426" s="178" t="s">
        <v>101</v>
      </c>
      <c r="E426" s="178" t="s">
        <v>10</v>
      </c>
      <c r="F426" s="179"/>
      <c r="G426" s="180"/>
      <c r="H426" s="181">
        <f>SUM(H427:H429)</f>
        <v>68.509999999999991</v>
      </c>
      <c r="J426" s="401"/>
      <c r="S426" s="402"/>
      <c r="T426" s="400"/>
    </row>
    <row r="427" spans="1:20" s="399" customFormat="1" ht="25.5" x14ac:dyDescent="0.25">
      <c r="A427" s="398" t="s">
        <v>12</v>
      </c>
      <c r="B427" s="207" t="s">
        <v>3419</v>
      </c>
      <c r="C427" s="548" t="str">
        <f>IF(A427="SERVIÇO",VLOOKUP(B427,SERVIÇOS!$A$6:$D$7697,2,0),IF(A427="INSUMO",VLOOKUP(B427,INSUMOS!$A$6:$D$4845,2,0),IF(A427="COTAÇÃO",VLOOKUP(B427,'014-22-cotação'!$A$9:$I$138,2,0),IF(A427="AUX",VLOOKUP('014-22-CCU''s'!B427,'014-22-CCU''s AUX'!$B$1:$H$130,2,0)))))</f>
        <v>GRELHA PRÉ-MOLDADA DE CONCRETO 50X40CM PARA CANALETA</v>
      </c>
      <c r="D427" s="549" t="str">
        <f>IF(A427="SERVIÇO",VLOOKUP(B427,SERVIÇOS!$A$6:$E$7697,5,0),IF(A427="INSUMO",VLOOKUP(B427,INSUMOS!$A$6:$E$4845,5,0),IF(A427="COTAÇÃO",VLOOKUP(B427,'014-22-cotação'!$A$9:$J$138,10,0),IF(A427="AUX",VLOOKUP('014-22-CCU''s'!B427,'014-22-CCU''s AUX'!$B$1:$H$130,3,0)))))</f>
        <v>MAT.</v>
      </c>
      <c r="E427" s="549" t="str">
        <f>IF(A427="SERVIÇO",VLOOKUP(B427,SERVIÇOS!$A$6:$D$7697,3,0),IF(A427="INSUMO",VLOOKUP(B427,INSUMOS!$A$6:$D$4845,3,0),IF(A427="COTAÇÃO",VLOOKUP(B427,'014-22-cotação'!$A$9:$I$138,4,0),IF(A427="AUX",VLOOKUP('014-22-CCU''s'!B427,'014-22-CCU''s AUX'!$B$1:$H$130,4,0)))))</f>
        <v>UN</v>
      </c>
      <c r="F427" s="565">
        <v>1</v>
      </c>
      <c r="G427" s="550">
        <f>IF(A427="SERVIÇO",VLOOKUP(B427,SERVIÇOS!$A$6:$D$7697,4,0),IF(A427="INSUMO",VLOOKUP(B427,INSUMOS!$A$6:$D$4845,4,0),IF(A427="COTAÇÃO",VLOOKUP(B427,'014-22-cotação'!$A$9:$I$138,3,0),IF(A427="AUX",VLOOKUP('014-22-CCU''s'!B427,'014-22-CCU''s AUX'!$B$1:$H$130,7,0)))))</f>
        <v>58</v>
      </c>
      <c r="H427" s="561">
        <f>TRUNC((F427*G427),2)</f>
        <v>58</v>
      </c>
      <c r="J427" s="401"/>
      <c r="S427" s="402"/>
      <c r="T427" s="400"/>
    </row>
    <row r="428" spans="1:20" s="399" customFormat="1" ht="25.5" x14ac:dyDescent="0.25">
      <c r="A428" s="398" t="s">
        <v>1120</v>
      </c>
      <c r="B428" s="207">
        <v>88309</v>
      </c>
      <c r="C428" s="548" t="str">
        <f>IF(A428="SERVIÇO",VLOOKUP(B428,SERVIÇOS!$A$6:$D$7697,2,0),IF(A428="INSUMO",VLOOKUP(B428,INSUMOS!$A$6:$D$4845,2,0),IF(A428="COTAÇÃO",VLOOKUP(B428,'014-22-cotação'!$A$9:$I$138,2,0),IF(A428="AUX",VLOOKUP('014-22-CCU''s'!B428,'014-22-CCU''s AUX'!$B$1:$H$130,2,0)))))</f>
        <v>PEDREIRO COM ENCARGOS COMPLEMENTARES</v>
      </c>
      <c r="D428" s="549" t="str">
        <f>IF(A428="SERVIÇO",VLOOKUP(B428,SERVIÇOS!$A$6:$E$7697,5,0),IF(A428="INSUMO",VLOOKUP(B428,INSUMOS!$A$6:$E$4845,5,0),IF(A428="COTAÇÃO",VLOOKUP(B428,'014-22-cotação'!$A$9:$J$138,10,0),IF(A428="AUX",VLOOKUP('014-22-CCU''s'!B428,'014-22-CCU''s AUX'!$B$1:$H$130,3,0)))))</f>
        <v>M.O</v>
      </c>
      <c r="E428" s="549" t="str">
        <f>IF(A428="SERVIÇO",VLOOKUP(B428,SERVIÇOS!$A$6:$D$7697,3,0),IF(A428="INSUMO",VLOOKUP(B428,INSUMOS!$A$6:$D$4845,3,0),IF(A428="COTAÇÃO",VLOOKUP(B428,'014-22-cotação'!$A$9:$I$138,4,0),IF(A428="AUX",VLOOKUP('014-22-CCU''s'!B428,'014-22-CCU''s AUX'!$B$1:$H$130,4,0)))))</f>
        <v>H</v>
      </c>
      <c r="F428" s="565">
        <v>0.15</v>
      </c>
      <c r="G428" s="550">
        <f>IF(A428="SERVIÇO",VLOOKUP(B428,SERVIÇOS!$A$6:$D$7697,4,0),IF(A428="INSUMO",VLOOKUP(B428,INSUMOS!$A$6:$D$4845,4,0),IF(A428="COTAÇÃO",VLOOKUP(B428,'014-22-cotação'!$A$9:$I$138,3,0),IF(A428="AUX",VLOOKUP('014-22-CCU''s'!B428,'014-22-CCU''s AUX'!$B$1:$H$130,7,0)))))</f>
        <v>31.1</v>
      </c>
      <c r="H428" s="561">
        <f>TRUNC((F428*G428),2)</f>
        <v>4.66</v>
      </c>
      <c r="J428" s="401" t="s">
        <v>4546</v>
      </c>
      <c r="S428" s="402"/>
      <c r="T428" s="400"/>
    </row>
    <row r="429" spans="1:20" s="213" customFormat="1" ht="25.5" x14ac:dyDescent="0.25">
      <c r="A429" s="199" t="s">
        <v>1120</v>
      </c>
      <c r="B429" s="207">
        <v>88316</v>
      </c>
      <c r="C429" s="548" t="str">
        <f>IF(A429="SERVIÇO",VLOOKUP(B429,SERVIÇOS!$A$6:$D$7697,2,0),IF(A429="INSUMO",VLOOKUP(B429,INSUMOS!$A$6:$D$4845,2,0),IF(A429="COTAÇÃO",VLOOKUP(B429,'014-22-cotação'!$A$9:$I$138,2,0),IF(A429="AUX",VLOOKUP('014-22-CCU''s'!B429,'014-22-CCU''s AUX'!$B$1:$H$130,2,0)))))</f>
        <v>SERVENTE COM ENCARGOS COMPLEMENTARES</v>
      </c>
      <c r="D429" s="549" t="str">
        <f>IF(A429="SERVIÇO",VLOOKUP(B429,SERVIÇOS!$A$6:$E$7697,5,0),IF(A429="INSUMO",VLOOKUP(B429,INSUMOS!$A$6:$E$4845,5,0),IF(A429="COTAÇÃO",VLOOKUP(B429,'014-22-cotação'!$A$9:$J$138,10,0),IF(A429="AUX",VLOOKUP('014-22-CCU''s'!B429,'014-22-CCU''s AUX'!$B$1:$H$130,3,0)))))</f>
        <v>M.O</v>
      </c>
      <c r="E429" s="549" t="str">
        <f>IF(A429="SERVIÇO",VLOOKUP(B429,SERVIÇOS!$A$6:$D$7697,3,0),IF(A429="INSUMO",VLOOKUP(B429,INSUMOS!$A$6:$D$4845,3,0),IF(A429="COTAÇÃO",VLOOKUP(B429,'014-22-cotação'!$A$9:$I$138,4,0),IF(A429="AUX",VLOOKUP('014-22-CCU''s'!B429,'014-22-CCU''s AUX'!$B$1:$H$130,4,0)))))</f>
        <v>H</v>
      </c>
      <c r="F429" s="565">
        <v>0.25</v>
      </c>
      <c r="G429" s="550">
        <f>IF(A429="SERVIÇO",VLOOKUP(B429,SERVIÇOS!$A$6:$D$7697,4,0),IF(A429="INSUMO",VLOOKUP(B429,INSUMOS!$A$6:$D$4845,4,0),IF(A429="COTAÇÃO",VLOOKUP(B429,'014-22-cotação'!$A$9:$I$138,3,0),IF(A429="AUX",VLOOKUP('014-22-CCU''s'!B429,'014-22-CCU''s AUX'!$B$1:$H$130,7,0)))))</f>
        <v>23.4</v>
      </c>
      <c r="H429" s="561">
        <f>TRUNC((F429*G429),2)</f>
        <v>5.85</v>
      </c>
      <c r="J429" s="83"/>
      <c r="S429" s="331"/>
      <c r="T429" s="342"/>
    </row>
    <row r="430" spans="1:20" s="213" customFormat="1" ht="12.75" x14ac:dyDescent="0.25">
      <c r="A430" s="199"/>
      <c r="B430" s="207" t="s">
        <v>109</v>
      </c>
      <c r="C430" s="382" t="s">
        <v>4586</v>
      </c>
      <c r="D430" s="383"/>
      <c r="E430" s="383"/>
      <c r="F430" s="383"/>
      <c r="G430" s="383"/>
      <c r="H430" s="384"/>
      <c r="J430" s="83"/>
      <c r="S430" s="331"/>
      <c r="T430" s="342"/>
    </row>
    <row r="431" spans="1:20" s="213" customFormat="1" ht="12.75" x14ac:dyDescent="0.25">
      <c r="A431" s="199"/>
      <c r="B431" s="208"/>
      <c r="C431" s="175"/>
      <c r="D431" s="175"/>
      <c r="E431" s="175"/>
      <c r="F431" s="175"/>
      <c r="G431" s="175"/>
      <c r="H431" s="175"/>
      <c r="J431" s="83"/>
      <c r="S431" s="331"/>
      <c r="T431" s="342"/>
    </row>
    <row r="432" spans="1:20" s="399" customFormat="1" ht="12.75" x14ac:dyDescent="0.25">
      <c r="A432" s="398"/>
      <c r="B432" s="208"/>
      <c r="C432" s="175"/>
      <c r="D432" s="175"/>
      <c r="E432" s="175"/>
      <c r="F432" s="175"/>
      <c r="G432" s="175"/>
      <c r="H432" s="175"/>
      <c r="J432" s="401"/>
      <c r="S432" s="402"/>
      <c r="T432" s="400"/>
    </row>
    <row r="433" spans="1:20" s="399" customFormat="1" ht="12.75" x14ac:dyDescent="0.25">
      <c r="A433" s="398"/>
      <c r="B433" s="263" t="s">
        <v>1504</v>
      </c>
      <c r="C433" s="177" t="s">
        <v>1506</v>
      </c>
      <c r="D433" s="178" t="s">
        <v>101</v>
      </c>
      <c r="E433" s="178" t="s">
        <v>150</v>
      </c>
      <c r="F433" s="179"/>
      <c r="G433" s="180"/>
      <c r="H433" s="181">
        <f>SUM(H434:H437)</f>
        <v>2.36</v>
      </c>
      <c r="J433" s="401"/>
      <c r="S433" s="402"/>
      <c r="T433" s="400"/>
    </row>
    <row r="434" spans="1:20" s="399" customFormat="1" ht="38.25" x14ac:dyDescent="0.25">
      <c r="A434" s="398" t="s">
        <v>1122</v>
      </c>
      <c r="B434" s="207" t="s">
        <v>4634</v>
      </c>
      <c r="C434" s="548" t="str">
        <f>IF(A434="SERVIÇO",VLOOKUP(B434,SERVIÇOS!$A$6:$D$7697,2,0),IF(A434="INSUMO",VLOOKUP(B434,INSUMOS!$A$6:$D$4845,2,0),IF(A434="COTAÇÃO",VLOOKUP(B434,'014-22-cotação'!$A$9:$I$138,2,0),IF(A434="AUX",VLOOKUP('014-22-CCU''s'!B434,'014-22-CCU''s AUX'!$B$1:$H$130,2,0)))))</f>
        <v xml:space="preserve"> BOMBA DE ALTA PRESSÃO PARA HIDROJATEAMENTO COM CAPACIDADE DE 18 MPA - 5,20 KW</v>
      </c>
      <c r="D434" s="549" t="str">
        <f>IF(A434="SERVIÇO",VLOOKUP(B434,SERVIÇOS!$A$6:$E$7697,5,0),IF(A434="INSUMO",VLOOKUP(B434,INSUMOS!$A$6:$E$4845,5,0),IF(A434="COTAÇÃO",VLOOKUP(B434,'014-22-cotação'!$A$9:$J$138,10,0),IF(A434="AUX",VLOOKUP('014-22-CCU''s'!B434,'014-22-CCU''s AUX'!$B$1:$H$130,3,0)))))</f>
        <v>EQUIP.</v>
      </c>
      <c r="E434" s="549" t="str">
        <f>IF(A434="SERVIÇO",VLOOKUP(B434,SERVIÇOS!$A$6:$D$7697,3,0),IF(A434="INSUMO",VLOOKUP(B434,INSUMOS!$A$6:$D$4845,3,0),IF(A434="COTAÇÃO",VLOOKUP(B434,'014-22-cotação'!$A$9:$I$138,4,0),IF(A434="AUX",VLOOKUP('014-22-CCU''s'!B434,'014-22-CCU''s AUX'!$B$1:$H$130,4,0)))))</f>
        <v>CHP</v>
      </c>
      <c r="F434" s="565">
        <f>1/56.27</f>
        <v>1.7771459036786921E-2</v>
      </c>
      <c r="G434" s="550">
        <f>IF(A434="SERVIÇO",VLOOKUP(B434,SERVIÇOS!$A$6:$D$7697,4,0),IF(A434="INSUMO",VLOOKUP(B434,INSUMOS!$A$6:$D$4845,4,0),IF(A434="COTAÇÃO",VLOOKUP(B434,'014-22-cotação'!$A$9:$I$138,3,0),IF(A434="AUX",VLOOKUP('014-22-CCU''s'!B434,'014-22-CCU''s AUX'!$B$1:$H$130,7,0)))))</f>
        <v>34.036200000000001</v>
      </c>
      <c r="H434" s="561">
        <f>TRUNC((F434*G434),2)</f>
        <v>0.6</v>
      </c>
      <c r="J434" s="401" t="s">
        <v>4546</v>
      </c>
      <c r="S434" s="402"/>
      <c r="T434" s="400"/>
    </row>
    <row r="435" spans="1:20" s="213" customFormat="1" ht="25.5" x14ac:dyDescent="0.25">
      <c r="A435" s="199" t="s">
        <v>1122</v>
      </c>
      <c r="B435" s="207" t="s">
        <v>4635</v>
      </c>
      <c r="C435" s="548" t="str">
        <f>IF(A435="SERVIÇO",VLOOKUP(B435,SERVIÇOS!$A$6:$D$7697,2,0),IF(A435="INSUMO",VLOOKUP(B435,INSUMOS!$A$6:$D$4845,2,0),IF(A435="COTAÇÃO",VLOOKUP(B435,'014-22-cotação'!$A$9:$I$138,2,0),IF(A435="AUX",VLOOKUP('014-22-CCU''s'!B435,'014-22-CCU''s AUX'!$B$1:$H$130,2,0)))))</f>
        <v xml:space="preserve"> CAMINHÃO TANQUE COM CAPACIDADE DE 6.000 L - 136 KW</v>
      </c>
      <c r="D435" s="549" t="str">
        <f>IF(A435="SERVIÇO",VLOOKUP(B435,SERVIÇOS!$A$6:$E$7697,5,0),IF(A435="INSUMO",VLOOKUP(B435,INSUMOS!$A$6:$E$4845,5,0),IF(A435="COTAÇÃO",VLOOKUP(B435,'014-22-cotação'!$A$9:$J$138,10,0),IF(A435="AUX",VLOOKUP('014-22-CCU''s'!B435,'014-22-CCU''s AUX'!$B$1:$H$130,3,0)))))</f>
        <v>EQUIP.</v>
      </c>
      <c r="E435" s="549" t="str">
        <f>IF(A435="SERVIÇO",VLOOKUP(B435,SERVIÇOS!$A$6:$D$7697,3,0),IF(A435="INSUMO",VLOOKUP(B435,INSUMOS!$A$6:$D$4845,3,0),IF(A435="COTAÇÃO",VLOOKUP(B435,'014-22-cotação'!$A$9:$I$138,4,0),IF(A435="AUX",VLOOKUP('014-22-CCU''s'!B435,'014-22-CCU''s AUX'!$B$1:$H$130,4,0)))))</f>
        <v>CHP</v>
      </c>
      <c r="F435" s="565">
        <f>0.03/56.27</f>
        <v>5.3314377110360754E-4</v>
      </c>
      <c r="G435" s="550">
        <f>IF(A435="SERVIÇO",VLOOKUP(B435,SERVIÇOS!$A$6:$D$7697,4,0),IF(A435="INSUMO",VLOOKUP(B435,INSUMOS!$A$6:$D$4845,4,0),IF(A435="COTAÇÃO",VLOOKUP(B435,'014-22-cotação'!$A$9:$I$138,3,0),IF(A435="AUX",VLOOKUP('014-22-CCU''s'!B435,'014-22-CCU''s AUX'!$B$1:$H$130,7,0)))))</f>
        <v>254.28479999999999</v>
      </c>
      <c r="H435" s="561">
        <f>TRUNC((F435*G435),2)</f>
        <v>0.13</v>
      </c>
      <c r="J435" s="83"/>
      <c r="S435" s="331"/>
      <c r="T435" s="342"/>
    </row>
    <row r="436" spans="1:20" s="213" customFormat="1" ht="25.5" x14ac:dyDescent="0.25">
      <c r="A436" s="199" t="s">
        <v>1122</v>
      </c>
      <c r="B436" s="207" t="s">
        <v>4633</v>
      </c>
      <c r="C436" s="548" t="str">
        <f>IF(A436="SERVIÇO",VLOOKUP(B436,SERVIÇOS!$A$6:$D$7697,2,0),IF(A436="INSUMO",VLOOKUP(B436,INSUMOS!$A$6:$D$4845,2,0),IF(A436="COTAÇÃO",VLOOKUP(B436,'014-22-cotação'!$A$9:$I$138,2,0),IF(A436="AUX",VLOOKUP('014-22-CCU''s'!B436,'014-22-CCU''s AUX'!$B$1:$H$130,2,0)))))</f>
        <v xml:space="preserve"> CAMINHÃO TANQUE COM CAPACIDADE DE 6.000 L - 136 KW</v>
      </c>
      <c r="D436" s="549" t="str">
        <f>IF(A436="SERVIÇO",VLOOKUP(B436,SERVIÇOS!$A$6:$E$7697,5,0),IF(A436="INSUMO",VLOOKUP(B436,INSUMOS!$A$6:$E$4845,5,0),IF(A436="COTAÇÃO",VLOOKUP(B436,'014-22-cotação'!$A$9:$J$138,10,0),IF(A436="AUX",VLOOKUP('014-22-CCU''s'!B436,'014-22-CCU''s AUX'!$B$1:$H$130,3,0)))))</f>
        <v>EQUIP.</v>
      </c>
      <c r="E436" s="549" t="str">
        <f>IF(A436="SERVIÇO",VLOOKUP(B436,SERVIÇOS!$A$6:$D$7697,3,0),IF(A436="INSUMO",VLOOKUP(B436,INSUMOS!$A$6:$D$4845,3,0),IF(A436="COTAÇÃO",VLOOKUP(B436,'014-22-cotação'!$A$9:$I$138,4,0),IF(A436="AUX",VLOOKUP('014-22-CCU''s'!B436,'014-22-CCU''s AUX'!$B$1:$H$130,4,0)))))</f>
        <v>Chi</v>
      </c>
      <c r="F436" s="565">
        <f>0.97/56.27</f>
        <v>1.7238315265683313E-2</v>
      </c>
      <c r="G436" s="550">
        <f>IF(A436="SERVIÇO",VLOOKUP(B436,SERVIÇOS!$A$6:$D$7697,4,0),IF(A436="INSUMO",VLOOKUP(B436,INSUMOS!$A$6:$D$4845,4,0),IF(A436="COTAÇÃO",VLOOKUP(B436,'014-22-cotação'!$A$9:$I$138,3,0),IF(A436="AUX",VLOOKUP('014-22-CCU''s'!B436,'014-22-CCU''s AUX'!$B$1:$H$130,7,0)))))</f>
        <v>71.263599999999997</v>
      </c>
      <c r="H436" s="561">
        <f>TRUNC((F436*G436),2)</f>
        <v>1.22</v>
      </c>
      <c r="J436" s="83"/>
      <c r="S436" s="331"/>
      <c r="T436" s="342"/>
    </row>
    <row r="437" spans="1:20" s="213" customFormat="1" ht="25.5" x14ac:dyDescent="0.25">
      <c r="A437" s="199" t="s">
        <v>1120</v>
      </c>
      <c r="B437" s="207">
        <v>88316</v>
      </c>
      <c r="C437" s="548" t="str">
        <f>IF(A437="SERVIÇO",VLOOKUP(B437,SERVIÇOS!$A$6:$D$7697,2,0),IF(A437="INSUMO",VLOOKUP(B437,INSUMOS!$A$6:$D$4845,2,0),IF(A437="COTAÇÃO",VLOOKUP(B437,'014-22-cotação'!$A$9:$I$138,2,0),IF(A437="AUX",VLOOKUP('014-22-CCU''s'!B437,'014-22-CCU''s AUX'!$B$1:$H$130,2,0)))))</f>
        <v>SERVENTE COM ENCARGOS COMPLEMENTARES</v>
      </c>
      <c r="D437" s="549" t="str">
        <f>IF(A437="SERVIÇO",VLOOKUP(B437,SERVIÇOS!$A$6:$E$7697,5,0),IF(A437="INSUMO",VLOOKUP(B437,INSUMOS!$A$6:$E$4845,5,0),IF(A437="COTAÇÃO",VLOOKUP(B437,'014-22-cotação'!$A$9:$J$138,10,0),IF(A437="AUX",VLOOKUP('014-22-CCU''s'!B437,'014-22-CCU''s AUX'!$B$1:$H$130,3,0)))))</f>
        <v>M.O</v>
      </c>
      <c r="E437" s="549" t="str">
        <f>IF(A437="SERVIÇO",VLOOKUP(B437,SERVIÇOS!$A$6:$D$7697,3,0),IF(A437="INSUMO",VLOOKUP(B437,INSUMOS!$A$6:$D$4845,3,0),IF(A437="COTAÇÃO",VLOOKUP(B437,'014-22-cotação'!$A$9:$I$138,4,0),IF(A437="AUX",VLOOKUP('014-22-CCU''s'!B437,'014-22-CCU''s AUX'!$B$1:$H$130,4,0)))))</f>
        <v>H</v>
      </c>
      <c r="F437" s="565">
        <f t="shared" ref="F437" si="33">1/56.27</f>
        <v>1.7771459036786921E-2</v>
      </c>
      <c r="G437" s="550">
        <f>IF(A437="SERVIÇO",VLOOKUP(B437,SERVIÇOS!$A$6:$D$7697,4,0),IF(A437="INSUMO",VLOOKUP(B437,INSUMOS!$A$6:$D$4845,4,0),IF(A437="COTAÇÃO",VLOOKUP(B437,'014-22-cotação'!$A$9:$I$138,3,0),IF(A437="AUX",VLOOKUP('014-22-CCU''s'!B437,'014-22-CCU''s AUX'!$B$1:$H$130,7,0)))))</f>
        <v>23.4</v>
      </c>
      <c r="H437" s="561">
        <f>TRUNC((F437*G437),2)</f>
        <v>0.41</v>
      </c>
      <c r="J437" s="83"/>
      <c r="S437" s="331"/>
      <c r="T437" s="342"/>
    </row>
    <row r="438" spans="1:20" s="399" customFormat="1" ht="12.75" x14ac:dyDescent="0.25">
      <c r="A438" s="398"/>
      <c r="B438" s="207" t="s">
        <v>109</v>
      </c>
      <c r="C438" s="382" t="s">
        <v>4638</v>
      </c>
      <c r="D438" s="383"/>
      <c r="E438" s="383"/>
      <c r="F438" s="383"/>
      <c r="G438" s="383"/>
      <c r="H438" s="384"/>
      <c r="J438" s="401"/>
      <c r="S438" s="402"/>
      <c r="T438" s="400"/>
    </row>
    <row r="439" spans="1:20" s="399" customFormat="1" ht="12.75" x14ac:dyDescent="0.25">
      <c r="A439" s="398"/>
      <c r="B439" s="208"/>
      <c r="C439" s="175"/>
      <c r="D439" s="176"/>
      <c r="E439" s="176"/>
      <c r="F439" s="176"/>
      <c r="G439" s="176"/>
      <c r="H439" s="176"/>
      <c r="J439" s="401"/>
      <c r="S439" s="402"/>
      <c r="T439" s="400"/>
    </row>
    <row r="440" spans="1:20" s="399" customFormat="1" ht="12.75" x14ac:dyDescent="0.25">
      <c r="A440" s="398"/>
      <c r="B440" s="263" t="s">
        <v>1505</v>
      </c>
      <c r="C440" s="177" t="s">
        <v>120</v>
      </c>
      <c r="D440" s="178" t="s">
        <v>101</v>
      </c>
      <c r="E440" s="178" t="s">
        <v>83</v>
      </c>
      <c r="F440" s="179"/>
      <c r="G440" s="180"/>
      <c r="H440" s="181">
        <f>H441</f>
        <v>514.79999999999995</v>
      </c>
      <c r="J440" s="401" t="s">
        <v>4546</v>
      </c>
      <c r="S440" s="402"/>
      <c r="T440" s="400"/>
    </row>
    <row r="441" spans="1:20" s="213" customFormat="1" ht="25.5" x14ac:dyDescent="0.25">
      <c r="A441" s="199" t="s">
        <v>1120</v>
      </c>
      <c r="B441" s="207">
        <v>88316</v>
      </c>
      <c r="C441" s="548" t="str">
        <f>IF(A441="SERVIÇO",VLOOKUP(B441,SERVIÇOS!$A$6:$D$7697,2,0),IF(A441="INSUMO",VLOOKUP(B441,INSUMOS!$A$6:$D$4845,2,0),IF(A441="COTAÇÃO",VLOOKUP(B441,'014-22-cotação'!$A$9:$I$138,2,0),IF(A441="AUX",VLOOKUP('014-22-CCU''s'!B441,'014-22-CCU''s AUX'!$B$1:$H$130,2,0)))))</f>
        <v>SERVENTE COM ENCARGOS COMPLEMENTARES</v>
      </c>
      <c r="D441" s="549" t="str">
        <f>IF(A441="SERVIÇO",VLOOKUP(B441,SERVIÇOS!$A$6:$E$7697,5,0),IF(A441="INSUMO",VLOOKUP(B441,INSUMOS!$A$6:$E$4845,5,0),IF(A441="COTAÇÃO",VLOOKUP(B441,'014-22-cotação'!$A$9:$J$138,10,0),IF(A441="AUX",VLOOKUP('014-22-CCU''s'!B441,'014-22-CCU''s AUX'!$B$1:$H$130,3,0)))))</f>
        <v>M.O</v>
      </c>
      <c r="E441" s="549" t="str">
        <f>IF(A441="SERVIÇO",VLOOKUP(B441,SERVIÇOS!$A$6:$D$7697,3,0),IF(A441="INSUMO",VLOOKUP(B441,INSUMOS!$A$6:$D$4845,3,0),IF(A441="COTAÇÃO",VLOOKUP(B441,'014-22-cotação'!$A$9:$I$138,4,0),IF(A441="AUX",VLOOKUP('014-22-CCU''s'!B441,'014-22-CCU''s AUX'!$B$1:$H$130,4,0)))))</f>
        <v>H</v>
      </c>
      <c r="F441" s="565">
        <f>22</f>
        <v>22</v>
      </c>
      <c r="G441" s="550">
        <f>IF(A441="SERVIÇO",VLOOKUP(B441,SERVIÇOS!$A$6:$D$7697,4,0),IF(A441="INSUMO",VLOOKUP(B441,INSUMOS!$A$6:$D$4845,4,0),IF(A441="COTAÇÃO",VLOOKUP(B441,'014-22-cotação'!$A$9:$I$138,3,0),IF(A441="AUX",VLOOKUP('014-22-CCU''s'!B441,'014-22-CCU''s AUX'!$B$1:$H$130,7,0)))))</f>
        <v>23.4</v>
      </c>
      <c r="H441" s="561">
        <f>TRUNC((F441*G441),2)</f>
        <v>514.79999999999995</v>
      </c>
      <c r="J441" s="83"/>
      <c r="S441" s="331"/>
      <c r="T441" s="342"/>
    </row>
    <row r="442" spans="1:20" s="213" customFormat="1" ht="25.5" x14ac:dyDescent="0.25">
      <c r="A442" s="199"/>
      <c r="B442" s="207" t="s">
        <v>109</v>
      </c>
      <c r="C442" s="382" t="s">
        <v>2148</v>
      </c>
      <c r="D442" s="383"/>
      <c r="E442" s="383"/>
      <c r="F442" s="383"/>
      <c r="G442" s="383"/>
      <c r="H442" s="384"/>
      <c r="J442" s="83"/>
      <c r="S442" s="331"/>
      <c r="T442" s="342"/>
    </row>
    <row r="443" spans="1:20" s="213" customFormat="1" ht="12.75" x14ac:dyDescent="0.25">
      <c r="A443" s="199"/>
      <c r="B443" s="385"/>
      <c r="C443" s="383"/>
      <c r="D443" s="383"/>
      <c r="E443" s="383"/>
      <c r="F443" s="383"/>
      <c r="G443" s="383"/>
      <c r="H443" s="384"/>
      <c r="J443" s="83"/>
      <c r="S443" s="331"/>
      <c r="T443" s="342"/>
    </row>
    <row r="444" spans="1:20" s="213" customFormat="1" ht="12.75" x14ac:dyDescent="0.25">
      <c r="A444" s="199"/>
      <c r="B444" s="385"/>
      <c r="C444" s="383"/>
      <c r="D444" s="383"/>
      <c r="E444" s="383"/>
      <c r="F444" s="383"/>
      <c r="G444" s="383"/>
      <c r="H444" s="384"/>
      <c r="J444" s="330"/>
      <c r="S444" s="331"/>
      <c r="T444" s="342"/>
    </row>
    <row r="445" spans="1:20" s="213" customFormat="1" ht="76.5" x14ac:dyDescent="0.25">
      <c r="A445" s="199"/>
      <c r="B445" s="263" t="s">
        <v>1507</v>
      </c>
      <c r="C445" s="177" t="s">
        <v>3665</v>
      </c>
      <c r="D445" s="178" t="s">
        <v>101</v>
      </c>
      <c r="E445" s="178" t="s">
        <v>10</v>
      </c>
      <c r="F445" s="179"/>
      <c r="G445" s="180"/>
      <c r="H445" s="181">
        <f>SUM(H446:H449)</f>
        <v>148847.69999999998</v>
      </c>
      <c r="J445" s="83"/>
      <c r="S445" s="331"/>
      <c r="T445" s="342"/>
    </row>
    <row r="446" spans="1:20" s="476" customFormat="1" ht="25.5" x14ac:dyDescent="0.25">
      <c r="A446" s="475" t="s">
        <v>1120</v>
      </c>
      <c r="B446" s="207">
        <v>93563</v>
      </c>
      <c r="C446" s="548" t="str">
        <f>IF(A446="SERVIÇO",VLOOKUP(B446,SERVIÇOS!$A$6:$D$7697,2,0),IF(A446="INSUMO",VLOOKUP(B446,INSUMOS!$A$6:$D$4845,2,0),IF(A446="COTAÇÃO",VLOOKUP(B446,'014-22-cotação'!$A$9:$I$138,2,0),IF(A446="AUX",VLOOKUP('014-22-CCU''s'!B446,'014-22-CCU''s AUX'!$B$1:$H$130,2,0)))))</f>
        <v>ALMOXARIFE COM ENCARGOS COMPLEMENTARES</v>
      </c>
      <c r="D446" s="549" t="str">
        <f>IF(A446="SERVIÇO",VLOOKUP(B446,SERVIÇOS!$A$6:$E$7697,5,0),IF(A446="INSUMO",VLOOKUP(B446,INSUMOS!$A$6:$E$4845,5,0),IF(A446="COTAÇÃO",VLOOKUP(B446,'014-22-cotação'!$A$9:$J$138,10,0),IF(A446="AUX",VLOOKUP('014-22-CCU''s'!B446,'014-22-CCU''s AUX'!$B$1:$H$130,3,0)))))</f>
        <v>M.O</v>
      </c>
      <c r="E446" s="549" t="str">
        <f>IF(A446="SERVIÇO",VLOOKUP(B446,SERVIÇOS!$A$6:$D$7697,3,0),IF(A446="INSUMO",VLOOKUP(B446,INSUMOS!$A$6:$D$4845,3,0),IF(A446="COTAÇÃO",VLOOKUP(B446,'014-22-cotação'!$A$9:$I$138,4,0),IF(A446="AUX",VLOOKUP('014-22-CCU''s'!B446,'014-22-CCU''s AUX'!$B$1:$H$130,4,0)))))</f>
        <v>MES</v>
      </c>
      <c r="F446" s="565">
        <v>4</v>
      </c>
      <c r="G446" s="550">
        <f>IF(A446="SERVIÇO",VLOOKUP(B446,SERVIÇOS!$A$6:$D$7697,4,0),IF(A446="INSUMO",VLOOKUP(B446,INSUMOS!$A$6:$D$4845,4,0),IF(A446="COTAÇÃO",VLOOKUP(B446,'014-22-cotação'!$A$9:$I$138,3,0),IF(A446="AUX",VLOOKUP('014-22-CCU''s'!B446,'014-22-CCU''s AUX'!$B$1:$H$130,7,0)))))</f>
        <v>6392.36</v>
      </c>
      <c r="H446" s="561">
        <f>TRUNC((F446*G446),2)</f>
        <v>25569.439999999999</v>
      </c>
      <c r="J446" s="477"/>
      <c r="S446" s="478"/>
      <c r="T446" s="479"/>
    </row>
    <row r="447" spans="1:20" s="476" customFormat="1" ht="25.5" x14ac:dyDescent="0.25">
      <c r="A447" s="475" t="s">
        <v>1120</v>
      </c>
      <c r="B447" s="207">
        <v>93565</v>
      </c>
      <c r="C447" s="548" t="str">
        <f>IF(A447="SERVIÇO",VLOOKUP(B447,SERVIÇOS!$A$6:$D$7697,2,0),IF(A447="INSUMO",VLOOKUP(B447,INSUMOS!$A$6:$D$4845,2,0),IF(A447="COTAÇÃO",VLOOKUP(B447,'014-22-cotação'!$A$9:$I$138,2,0),IF(A447="AUX",VLOOKUP('014-22-CCU''s'!B447,'014-22-CCU''s AUX'!$B$1:$H$130,2,0)))))</f>
        <v>ENGENHEIRO CIVIL DE OBRA JUNIOR COM ENCARGOS COMPLEMENTARES</v>
      </c>
      <c r="D447" s="549" t="str">
        <f>IF(A447="SERVIÇO",VLOOKUP(B447,SERVIÇOS!$A$6:$E$7697,5,0),IF(A447="INSUMO",VLOOKUP(B447,INSUMOS!$A$6:$E$4845,5,0),IF(A447="COTAÇÃO",VLOOKUP(B447,'014-22-cotação'!$A$9:$J$138,10,0),IF(A447="AUX",VLOOKUP('014-22-CCU''s'!B447,'014-22-CCU''s AUX'!$B$1:$H$130,3,0)))))</f>
        <v>M.O</v>
      </c>
      <c r="E447" s="549" t="str">
        <f>IF(A447="SERVIÇO",VLOOKUP(B447,SERVIÇOS!$A$6:$D$7697,3,0),IF(A447="INSUMO",VLOOKUP(B447,INSUMOS!$A$6:$D$4845,3,0),IF(A447="COTAÇÃO",VLOOKUP(B447,'014-22-cotação'!$A$9:$I$138,4,0),IF(A447="AUX",VLOOKUP('014-22-CCU''s'!B447,'014-22-CCU''s AUX'!$B$1:$H$130,4,0)))))</f>
        <v>MES</v>
      </c>
      <c r="F447" s="565">
        <v>2</v>
      </c>
      <c r="G447" s="550">
        <f>IF(A447="SERVIÇO",VLOOKUP(B447,SERVIÇOS!$A$6:$D$7697,4,0),IF(A447="INSUMO",VLOOKUP(B447,INSUMOS!$A$6:$D$4845,4,0),IF(A447="COTAÇÃO",VLOOKUP(B447,'014-22-cotação'!$A$9:$I$138,3,0),IF(A447="AUX",VLOOKUP('014-22-CCU''s'!B447,'014-22-CCU''s AUX'!$B$1:$H$130,7,0)))))</f>
        <v>21067.77</v>
      </c>
      <c r="H447" s="561">
        <f>TRUNC((F447*G447),2)</f>
        <v>42135.54</v>
      </c>
      <c r="J447" s="477"/>
      <c r="S447" s="478"/>
      <c r="T447" s="479"/>
    </row>
    <row r="448" spans="1:20" s="476" customFormat="1" ht="25.5" x14ac:dyDescent="0.25">
      <c r="A448" s="475" t="s">
        <v>1120</v>
      </c>
      <c r="B448" s="207">
        <v>94295</v>
      </c>
      <c r="C448" s="548" t="str">
        <f>IF(A448="SERVIÇO",VLOOKUP(B448,SERVIÇOS!$A$6:$D$7697,2,0),IF(A448="INSUMO",VLOOKUP(B448,INSUMOS!$A$6:$D$4845,2,0),IF(A448="COTAÇÃO",VLOOKUP(B448,'014-22-cotação'!$A$9:$I$138,2,0),IF(A448="AUX",VLOOKUP('014-22-CCU''s'!B448,'014-22-CCU''s AUX'!$B$1:$H$130,2,0)))))</f>
        <v>MESTRE DE OBRAS COM ENCARGOS COMPLEMENTARES</v>
      </c>
      <c r="D448" s="549" t="str">
        <f>IF(A448="SERVIÇO",VLOOKUP(B448,SERVIÇOS!$A$6:$E$7697,5,0),IF(A448="INSUMO",VLOOKUP(B448,INSUMOS!$A$6:$E$4845,5,0),IF(A448="COTAÇÃO",VLOOKUP(B448,'014-22-cotação'!$A$9:$J$138,10,0),IF(A448="AUX",VLOOKUP('014-22-CCU''s'!B448,'014-22-CCU''s AUX'!$B$1:$H$130,3,0)))))</f>
        <v>M.O</v>
      </c>
      <c r="E448" s="549" t="str">
        <f>IF(A448="SERVIÇO",VLOOKUP(B448,SERVIÇOS!$A$6:$D$7697,3,0),IF(A448="INSUMO",VLOOKUP(B448,INSUMOS!$A$6:$D$4845,3,0),IF(A448="COTAÇÃO",VLOOKUP(B448,'014-22-cotação'!$A$9:$I$138,4,0),IF(A448="AUX",VLOOKUP('014-22-CCU''s'!B448,'014-22-CCU''s AUX'!$B$1:$H$130,4,0)))))</f>
        <v>MES</v>
      </c>
      <c r="F448" s="565">
        <v>4</v>
      </c>
      <c r="G448" s="550">
        <f>IF(A448="SERVIÇO",VLOOKUP(B448,SERVIÇOS!$A$6:$D$7697,4,0),IF(A448="INSUMO",VLOOKUP(B448,INSUMOS!$A$6:$D$4845,4,0),IF(A448="COTAÇÃO",VLOOKUP(B448,'014-22-cotação'!$A$9:$I$138,3,0),IF(A448="AUX",VLOOKUP('014-22-CCU''s'!B448,'014-22-CCU''s AUX'!$B$1:$H$130,7,0)))))</f>
        <v>9056.2199999999993</v>
      </c>
      <c r="H448" s="561">
        <f>TRUNC((F448*G448),2)</f>
        <v>36224.879999999997</v>
      </c>
      <c r="J448" s="477"/>
      <c r="S448" s="478"/>
      <c r="T448" s="479"/>
    </row>
    <row r="449" spans="1:30" s="476" customFormat="1" ht="25.5" x14ac:dyDescent="0.25">
      <c r="A449" s="475" t="s">
        <v>3416</v>
      </c>
      <c r="B449" s="207" t="s">
        <v>2155</v>
      </c>
      <c r="C449" s="548" t="str">
        <f>IF(A449="SERVIÇO",VLOOKUP(B449,SERVIÇOS!$A$6:$D$7697,2,0),IF(A449="INSUMO",VLOOKUP(B449,INSUMOS!$A$6:$D$4845,2,0),IF(A449="COTAÇÃO",VLOOKUP(B449,'014-22-cotação'!$A$9:$I$138,2,0),IF(A449="AUX",VLOOKUP('014-22-CCU''s'!B449,'014-22-CCU''s AUX'!$B$1:$H$130,2,0)))))</f>
        <v>POSTO DE VIGIA - contempla o período após a jornada de trabalho diária</v>
      </c>
      <c r="D449" s="549" t="str">
        <f>IF(A449="SERVIÇO",VLOOKUP(B449,SERVIÇOS!$A$6:$E$7697,5,0),IF(A449="INSUMO",VLOOKUP(B449,INSUMOS!$A$6:$E$4845,5,0),IF(A449="COTAÇÃO",VLOOKUP(B449,'014-22-cotação'!$A$9:$J$138,10,0),IF(A449="AUX",VLOOKUP('014-22-CCU''s'!B449,'014-22-CCU''s AUX'!$B$1:$H$130,3,0)))))</f>
        <v>SER.CG</v>
      </c>
      <c r="E449" s="549" t="str">
        <f>IF(A449="SERVIÇO",VLOOKUP(B449,SERVIÇOS!$A$6:$D$7697,3,0),IF(A449="INSUMO",VLOOKUP(B449,INSUMOS!$A$6:$D$4845,3,0),IF(A449="COTAÇÃO",VLOOKUP(B449,'014-22-cotação'!$A$9:$I$138,4,0),IF(A449="AUX",VLOOKUP('014-22-CCU''s'!B449,'014-22-CCU''s AUX'!$B$1:$H$130,4,0)))))</f>
        <v>MÊS</v>
      </c>
      <c r="F449" s="565">
        <v>4</v>
      </c>
      <c r="G449" s="550">
        <f>IF(A449="SERVIÇO",VLOOKUP(B449,SERVIÇOS!$A$6:$D$7697,4,0),IF(A449="INSUMO",VLOOKUP(B449,INSUMOS!$A$6:$D$4845,4,0),IF(A449="COTAÇÃO",VLOOKUP(B449,'014-22-cotação'!$A$9:$I$138,3,0),IF(A449="AUX",VLOOKUP('014-22-CCU''s'!B449,'014-22-CCU''s AUX'!$B$1:$H$130,7,0)))))</f>
        <v>11229.460000000001</v>
      </c>
      <c r="H449" s="561">
        <f>TRUNC((F449*G449),2)</f>
        <v>44917.84</v>
      </c>
      <c r="J449" s="477"/>
      <c r="S449" s="478"/>
      <c r="T449" s="479"/>
    </row>
    <row r="450" spans="1:30" s="213" customFormat="1" x14ac:dyDescent="0.25">
      <c r="A450" s="199"/>
      <c r="B450" s="207" t="s">
        <v>109</v>
      </c>
      <c r="C450" s="634"/>
      <c r="D450" s="635"/>
      <c r="E450" s="635"/>
      <c r="F450" s="635"/>
      <c r="G450" s="635"/>
      <c r="H450" s="636"/>
      <c r="J450" s="83"/>
      <c r="R450" s="267"/>
      <c r="S450" s="341"/>
    </row>
    <row r="451" spans="1:30" s="62" customFormat="1" x14ac:dyDescent="0.2">
      <c r="A451" s="265"/>
      <c r="B451" s="265"/>
      <c r="C451" s="267"/>
      <c r="D451" s="265"/>
      <c r="E451" s="265"/>
      <c r="F451" s="265"/>
      <c r="G451" s="265"/>
      <c r="H451" s="265"/>
      <c r="I451" s="25"/>
      <c r="J451" s="11"/>
      <c r="N451" s="25"/>
      <c r="O451" s="25"/>
      <c r="R451" s="53"/>
      <c r="S451" s="25"/>
      <c r="T451" s="25"/>
      <c r="U451" s="25"/>
      <c r="V451" s="25"/>
      <c r="W451" s="25"/>
      <c r="X451" s="25"/>
      <c r="Y451" s="25"/>
      <c r="Z451" s="25"/>
      <c r="AA451" s="25"/>
      <c r="AB451" s="25"/>
      <c r="AC451" s="25"/>
      <c r="AD451" s="25"/>
    </row>
    <row r="452" spans="1:30" ht="60.75" customHeight="1" x14ac:dyDescent="0.25">
      <c r="A452" s="93"/>
      <c r="B452" s="625" t="str">
        <f>'014-22-CAPA'!D37</f>
        <v>ENG. GILMAR DA MOTA FERNANDES
ART: 0720220018938
CREA: 23785/D-DF
Matrícula: 973.113-X</v>
      </c>
      <c r="C452" s="625"/>
      <c r="D452" s="625"/>
      <c r="E452" s="625"/>
      <c r="F452" s="625"/>
      <c r="G452" s="625"/>
      <c r="H452" s="625"/>
      <c r="J452" s="128"/>
      <c r="N452" s="53"/>
      <c r="O452" s="53"/>
      <c r="S452" s="25"/>
      <c r="T452" s="25"/>
    </row>
    <row r="453" spans="1:30" ht="60.75" customHeight="1" x14ac:dyDescent="0.25">
      <c r="A453" s="93"/>
      <c r="B453" s="625" t="str">
        <f>'014-22-CAPA'!D38</f>
        <v>ENG. HERBERT MESQUITA LOIOLA
ART: 0720240055972
CREA: 25130/D-DF
Matrícula: 973.299-3</v>
      </c>
      <c r="C453" s="625"/>
      <c r="D453" s="625"/>
      <c r="E453" s="625"/>
      <c r="F453" s="625"/>
      <c r="G453" s="625"/>
      <c r="H453" s="625"/>
      <c r="J453" s="128"/>
      <c r="N453" s="53"/>
      <c r="O453" s="53"/>
      <c r="S453" s="25"/>
      <c r="T453" s="25"/>
    </row>
    <row r="454" spans="1:30" s="213" customFormat="1" x14ac:dyDescent="0.25">
      <c r="A454" s="199"/>
      <c r="B454" s="265"/>
      <c r="C454" s="267"/>
      <c r="D454" s="265"/>
      <c r="E454" s="265"/>
      <c r="F454" s="265"/>
      <c r="G454" s="265"/>
      <c r="H454" s="265"/>
      <c r="J454" s="83"/>
      <c r="S454" s="331"/>
      <c r="T454" s="342"/>
    </row>
    <row r="455" spans="1:30" s="399" customFormat="1" x14ac:dyDescent="0.25">
      <c r="A455" s="398"/>
      <c r="B455" s="265"/>
      <c r="C455" s="267"/>
      <c r="D455" s="265"/>
      <c r="E455" s="265"/>
      <c r="F455" s="265"/>
      <c r="G455" s="265"/>
      <c r="H455" s="265"/>
      <c r="J455" s="401"/>
      <c r="S455" s="402"/>
      <c r="T455" s="400"/>
    </row>
    <row r="456" spans="1:30" s="399" customFormat="1" x14ac:dyDescent="0.25">
      <c r="A456" s="398"/>
      <c r="B456" s="265"/>
      <c r="C456" s="267"/>
      <c r="D456" s="265"/>
      <c r="E456" s="265"/>
      <c r="F456" s="265"/>
      <c r="G456" s="265"/>
      <c r="H456" s="265"/>
      <c r="J456" s="401"/>
      <c r="S456" s="402"/>
      <c r="T456" s="400"/>
    </row>
    <row r="457" spans="1:30" s="399" customFormat="1" x14ac:dyDescent="0.25">
      <c r="A457" s="398"/>
      <c r="B457" s="265"/>
      <c r="C457" s="267"/>
      <c r="D457" s="265"/>
      <c r="E457" s="265"/>
      <c r="F457" s="265"/>
      <c r="G457" s="265"/>
      <c r="H457" s="265"/>
      <c r="J457" s="401"/>
      <c r="S457" s="402"/>
      <c r="T457" s="400"/>
    </row>
    <row r="458" spans="1:30" s="213" customFormat="1" x14ac:dyDescent="0.25">
      <c r="A458" s="199"/>
      <c r="B458" s="265"/>
      <c r="C458" s="267"/>
      <c r="D458" s="265"/>
      <c r="E458" s="265"/>
      <c r="F458" s="265"/>
      <c r="G458" s="265"/>
      <c r="H458" s="265"/>
      <c r="J458" s="83"/>
      <c r="S458" s="331"/>
      <c r="T458" s="342"/>
    </row>
    <row r="459" spans="1:30" s="62" customFormat="1" x14ac:dyDescent="0.2">
      <c r="A459" s="318"/>
      <c r="B459" s="265"/>
      <c r="C459" s="267"/>
      <c r="D459" s="265"/>
      <c r="E459" s="265"/>
      <c r="F459" s="265"/>
      <c r="G459" s="265"/>
      <c r="H459" s="265"/>
      <c r="K459" s="374"/>
      <c r="L459" s="374"/>
      <c r="M459" s="374"/>
      <c r="N459" s="374"/>
      <c r="O459" s="374"/>
      <c r="P459" s="374"/>
      <c r="Q459" s="374"/>
      <c r="R459" s="374"/>
    </row>
    <row r="460" spans="1:30" s="213" customFormat="1" x14ac:dyDescent="0.25">
      <c r="A460" s="199"/>
      <c r="B460" s="265"/>
      <c r="C460" s="267"/>
      <c r="D460" s="265"/>
      <c r="E460" s="265"/>
      <c r="F460" s="265"/>
      <c r="G460" s="265"/>
      <c r="H460" s="265"/>
      <c r="J460" s="83"/>
      <c r="S460" s="331"/>
      <c r="T460" s="342"/>
    </row>
    <row r="461" spans="1:30" s="213" customFormat="1" x14ac:dyDescent="0.25">
      <c r="A461" s="199"/>
      <c r="B461" s="265"/>
      <c r="C461" s="267"/>
      <c r="D461" s="265"/>
      <c r="E461" s="265"/>
      <c r="F461" s="265"/>
      <c r="G461" s="265"/>
      <c r="H461" s="265"/>
      <c r="J461" s="83"/>
      <c r="L461" s="199"/>
      <c r="M461" s="199"/>
      <c r="N461" s="199"/>
      <c r="S461" s="331"/>
      <c r="T461" s="342"/>
    </row>
    <row r="462" spans="1:30" s="399" customFormat="1" x14ac:dyDescent="0.25">
      <c r="A462" s="398"/>
      <c r="B462" s="265"/>
      <c r="C462" s="267"/>
      <c r="D462" s="265"/>
      <c r="E462" s="265"/>
      <c r="F462" s="265"/>
      <c r="G462" s="265"/>
      <c r="H462" s="265"/>
      <c r="J462" s="401"/>
      <c r="L462" s="398"/>
      <c r="M462" s="398"/>
      <c r="N462" s="398"/>
      <c r="S462" s="402"/>
      <c r="T462" s="400"/>
    </row>
    <row r="463" spans="1:30" s="399" customFormat="1" x14ac:dyDescent="0.25">
      <c r="A463" s="398"/>
      <c r="B463" s="265"/>
      <c r="C463" s="267"/>
      <c r="D463" s="265"/>
      <c r="E463" s="265"/>
      <c r="F463" s="265"/>
      <c r="G463" s="265"/>
      <c r="H463" s="265"/>
      <c r="J463" s="401"/>
      <c r="S463" s="402"/>
      <c r="T463" s="400"/>
    </row>
    <row r="464" spans="1:30" s="399" customFormat="1" x14ac:dyDescent="0.25">
      <c r="A464" s="398"/>
      <c r="B464" s="265"/>
      <c r="C464" s="267"/>
      <c r="D464" s="265"/>
      <c r="E464" s="265"/>
      <c r="F464" s="265"/>
      <c r="G464" s="265"/>
      <c r="H464" s="265"/>
      <c r="J464" s="401"/>
      <c r="S464" s="402"/>
      <c r="T464" s="400"/>
    </row>
    <row r="465" spans="1:20" s="213" customFormat="1" x14ac:dyDescent="0.25">
      <c r="A465" s="199"/>
      <c r="B465" s="265"/>
      <c r="C465" s="267"/>
      <c r="D465" s="265"/>
      <c r="E465" s="265"/>
      <c r="F465" s="265"/>
      <c r="G465" s="265"/>
      <c r="H465" s="265"/>
      <c r="J465" s="83"/>
      <c r="S465" s="331"/>
      <c r="T465" s="342"/>
    </row>
    <row r="466" spans="1:20" s="213" customFormat="1" x14ac:dyDescent="0.25">
      <c r="A466" s="199"/>
      <c r="B466" s="265"/>
      <c r="C466" s="267"/>
      <c r="D466" s="265"/>
      <c r="E466" s="265"/>
      <c r="F466" s="265"/>
      <c r="G466" s="265"/>
      <c r="H466" s="265"/>
      <c r="J466" s="83"/>
      <c r="S466" s="331"/>
      <c r="T466" s="342"/>
    </row>
    <row r="467" spans="1:20" s="213" customFormat="1" x14ac:dyDescent="0.25">
      <c r="A467" s="199"/>
      <c r="B467" s="265"/>
      <c r="C467" s="267"/>
      <c r="D467" s="265"/>
      <c r="E467" s="265"/>
      <c r="F467" s="265"/>
      <c r="G467" s="265"/>
      <c r="H467" s="265"/>
      <c r="J467" s="83"/>
      <c r="K467" s="83"/>
      <c r="L467" s="83"/>
      <c r="M467" s="83"/>
      <c r="S467" s="331"/>
      <c r="T467" s="342"/>
    </row>
    <row r="468" spans="1:20" s="213" customFormat="1" x14ac:dyDescent="0.25">
      <c r="A468" s="199"/>
      <c r="B468" s="265"/>
      <c r="C468" s="267"/>
      <c r="D468" s="265"/>
      <c r="E468" s="265"/>
      <c r="F468" s="265"/>
      <c r="G468" s="265"/>
      <c r="H468" s="265"/>
      <c r="J468" s="83" t="s">
        <v>4639</v>
      </c>
      <c r="S468" s="331"/>
      <c r="T468" s="342"/>
    </row>
    <row r="469" spans="1:20" s="399" customFormat="1" x14ac:dyDescent="0.25">
      <c r="A469" s="398"/>
      <c r="B469" s="265"/>
      <c r="C469" s="267"/>
      <c r="D469" s="265"/>
      <c r="E469" s="265"/>
      <c r="F469" s="265"/>
      <c r="G469" s="265"/>
      <c r="H469" s="265"/>
      <c r="J469" s="407"/>
      <c r="S469" s="402"/>
      <c r="T469" s="400"/>
    </row>
    <row r="470" spans="1:20" s="399" customFormat="1" x14ac:dyDescent="0.25">
      <c r="A470" s="398"/>
      <c r="B470" s="265"/>
      <c r="C470" s="267"/>
      <c r="D470" s="265"/>
      <c r="E470" s="265"/>
      <c r="F470" s="265"/>
      <c r="G470" s="265"/>
      <c r="H470" s="265"/>
      <c r="J470" s="407"/>
      <c r="S470" s="402"/>
      <c r="T470" s="400"/>
    </row>
    <row r="471" spans="1:20" s="399" customFormat="1" x14ac:dyDescent="0.25">
      <c r="A471" s="398"/>
      <c r="B471" s="265"/>
      <c r="C471" s="267"/>
      <c r="D471" s="265"/>
      <c r="E471" s="265"/>
      <c r="F471" s="265"/>
      <c r="G471" s="265"/>
      <c r="H471" s="265"/>
      <c r="J471" s="407"/>
      <c r="S471" s="402"/>
      <c r="T471" s="400"/>
    </row>
    <row r="472" spans="1:20" s="399" customFormat="1" x14ac:dyDescent="0.25">
      <c r="A472" s="398"/>
      <c r="B472" s="265"/>
      <c r="C472" s="267"/>
      <c r="D472" s="265"/>
      <c r="E472" s="265"/>
      <c r="F472" s="265"/>
      <c r="G472" s="265"/>
      <c r="H472" s="265"/>
      <c r="J472" s="401"/>
      <c r="S472" s="402"/>
      <c r="T472" s="400"/>
    </row>
    <row r="473" spans="1:20" s="213" customFormat="1" x14ac:dyDescent="0.25">
      <c r="A473" s="199"/>
      <c r="B473" s="265"/>
      <c r="C473" s="267"/>
      <c r="D473" s="265"/>
      <c r="E473" s="265"/>
      <c r="F473" s="265"/>
      <c r="G473" s="265"/>
      <c r="H473" s="265"/>
      <c r="J473" s="83"/>
      <c r="S473" s="331"/>
      <c r="T473" s="342"/>
    </row>
    <row r="474" spans="1:20" s="213" customFormat="1" x14ac:dyDescent="0.25">
      <c r="A474" s="199"/>
      <c r="B474" s="265"/>
      <c r="C474" s="267"/>
      <c r="D474" s="265"/>
      <c r="E474" s="265"/>
      <c r="F474" s="265"/>
      <c r="G474" s="265"/>
      <c r="H474" s="265"/>
      <c r="J474" s="83"/>
      <c r="S474" s="331"/>
      <c r="T474" s="342"/>
    </row>
    <row r="475" spans="1:20" s="213" customFormat="1" x14ac:dyDescent="0.25">
      <c r="A475" s="199"/>
      <c r="B475" s="265"/>
      <c r="C475" s="267"/>
      <c r="D475" s="265"/>
      <c r="E475" s="265"/>
      <c r="F475" s="265"/>
      <c r="G475" s="265"/>
      <c r="H475" s="265"/>
      <c r="J475" s="83"/>
      <c r="S475" s="331"/>
      <c r="T475" s="342"/>
    </row>
    <row r="476" spans="1:20" s="399" customFormat="1" x14ac:dyDescent="0.25">
      <c r="A476" s="398"/>
      <c r="B476" s="265"/>
      <c r="C476" s="267"/>
      <c r="D476" s="265"/>
      <c r="E476" s="265"/>
      <c r="F476" s="265"/>
      <c r="G476" s="265"/>
      <c r="H476" s="265"/>
      <c r="J476" s="401"/>
      <c r="S476" s="402"/>
      <c r="T476" s="400"/>
    </row>
    <row r="477" spans="1:20" s="213" customFormat="1" x14ac:dyDescent="0.25">
      <c r="A477" s="199"/>
      <c r="B477" s="265"/>
      <c r="C477" s="267"/>
      <c r="D477" s="265"/>
      <c r="E477" s="265"/>
      <c r="F477" s="265"/>
      <c r="G477" s="265"/>
      <c r="H477" s="265"/>
      <c r="J477" s="83"/>
      <c r="S477" s="331"/>
      <c r="T477" s="342"/>
    </row>
    <row r="478" spans="1:20" s="213" customFormat="1" x14ac:dyDescent="0.25">
      <c r="A478" s="199"/>
      <c r="B478" s="265"/>
      <c r="C478" s="267"/>
      <c r="D478" s="265"/>
      <c r="E478" s="265"/>
      <c r="F478" s="265"/>
      <c r="G478" s="265"/>
      <c r="H478" s="265"/>
      <c r="J478" s="330"/>
      <c r="S478" s="331"/>
      <c r="T478" s="342"/>
    </row>
    <row r="479" spans="1:20" s="213" customFormat="1" x14ac:dyDescent="0.25">
      <c r="A479" s="199"/>
      <c r="B479" s="265"/>
      <c r="C479" s="267"/>
      <c r="D479" s="265"/>
      <c r="E479" s="265"/>
      <c r="F479" s="265"/>
      <c r="G479" s="265"/>
      <c r="H479" s="265"/>
      <c r="J479" s="83"/>
      <c r="S479" s="331"/>
      <c r="T479" s="342"/>
    </row>
    <row r="480" spans="1:20" s="399" customFormat="1" x14ac:dyDescent="0.25">
      <c r="A480" s="398"/>
      <c r="B480" s="265"/>
      <c r="C480" s="267"/>
      <c r="D480" s="265"/>
      <c r="E480" s="265"/>
      <c r="F480" s="265"/>
      <c r="G480" s="265"/>
      <c r="H480" s="265"/>
      <c r="J480" s="401"/>
      <c r="S480" s="402"/>
      <c r="T480" s="400"/>
    </row>
    <row r="481" spans="1:20" s="399" customFormat="1" x14ac:dyDescent="0.25">
      <c r="A481" s="398"/>
      <c r="B481" s="265"/>
      <c r="C481" s="267"/>
      <c r="D481" s="265"/>
      <c r="E481" s="265"/>
      <c r="F481" s="265"/>
      <c r="G481" s="265"/>
      <c r="H481" s="265"/>
      <c r="J481" s="401"/>
      <c r="S481" s="402"/>
      <c r="T481" s="400"/>
    </row>
    <row r="482" spans="1:20" s="399" customFormat="1" x14ac:dyDescent="0.25">
      <c r="A482" s="398"/>
      <c r="B482" s="265"/>
      <c r="C482" s="267"/>
      <c r="D482" s="265"/>
      <c r="E482" s="265"/>
      <c r="F482" s="265"/>
      <c r="G482" s="265"/>
      <c r="H482" s="265"/>
      <c r="J482" s="401"/>
      <c r="S482" s="402"/>
      <c r="T482" s="400"/>
    </row>
    <row r="483" spans="1:20" s="399" customFormat="1" x14ac:dyDescent="0.25">
      <c r="A483" s="398"/>
      <c r="B483" s="265"/>
      <c r="C483" s="267"/>
      <c r="D483" s="265"/>
      <c r="E483" s="265"/>
      <c r="F483" s="265"/>
      <c r="G483" s="265"/>
      <c r="H483" s="265"/>
      <c r="J483" s="401"/>
      <c r="S483" s="402"/>
      <c r="T483" s="400"/>
    </row>
    <row r="484" spans="1:20" s="213" customFormat="1" x14ac:dyDescent="0.25">
      <c r="A484" s="199"/>
      <c r="B484" s="265"/>
      <c r="C484" s="267"/>
      <c r="D484" s="265"/>
      <c r="E484" s="265"/>
      <c r="F484" s="265"/>
      <c r="G484" s="265"/>
      <c r="H484" s="265"/>
      <c r="J484" s="83"/>
      <c r="R484" s="267"/>
      <c r="S484" s="341"/>
    </row>
    <row r="485" spans="1:20" ht="9.75" customHeight="1" x14ac:dyDescent="0.2">
      <c r="J485" s="11"/>
      <c r="K485" s="62"/>
      <c r="L485" s="62"/>
      <c r="M485" s="62"/>
      <c r="P485" s="62"/>
      <c r="Q485" s="62"/>
      <c r="R485" s="53"/>
    </row>
    <row r="486" spans="1:20" ht="58.15" customHeight="1" x14ac:dyDescent="0.25">
      <c r="A486" s="93"/>
      <c r="J486" s="128"/>
      <c r="N486" s="53"/>
      <c r="O486" s="53"/>
    </row>
    <row r="487" spans="1:20" x14ac:dyDescent="0.25">
      <c r="J487" s="53"/>
    </row>
  </sheetData>
  <autoFilter ref="B9:H450" xr:uid="{00000000-0001-0000-0200-000000000000}"/>
  <mergeCells count="22">
    <mergeCell ref="B453:H453"/>
    <mergeCell ref="C450:H450"/>
    <mergeCell ref="L217:M217"/>
    <mergeCell ref="N217:O217"/>
    <mergeCell ref="C7:E7"/>
    <mergeCell ref="J24:R24"/>
    <mergeCell ref="C61:H61"/>
    <mergeCell ref="C46:H46"/>
    <mergeCell ref="C53:H53"/>
    <mergeCell ref="C57:H57"/>
    <mergeCell ref="C94:H94"/>
    <mergeCell ref="C140:H140"/>
    <mergeCell ref="C151:H151"/>
    <mergeCell ref="C158:H158"/>
    <mergeCell ref="N211:O211"/>
    <mergeCell ref="B452:H452"/>
    <mergeCell ref="L211:M211"/>
    <mergeCell ref="B1:H1"/>
    <mergeCell ref="B2:H2"/>
    <mergeCell ref="B3:H3"/>
    <mergeCell ref="B4:H4"/>
    <mergeCell ref="B5:H5"/>
  </mergeCells>
  <printOptions horizontalCentered="1"/>
  <pageMargins left="0.70866141732283472" right="0.74803149606299213" top="0.33" bottom="0.32" header="0.11811023622047245" footer="0.11811023622047245"/>
  <pageSetup paperSize="9" scale="75" fitToHeight="78" orientation="portrait" r:id="rId1"/>
  <headerFooter>
    <oddHeader>&amp;C&amp;F</oddHeader>
    <oddFooter>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AD145"/>
  <sheetViews>
    <sheetView showGridLines="0" view="pageBreakPreview" topLeftCell="A130" zoomScaleNormal="100" zoomScaleSheetLayoutView="100" workbookViewId="0">
      <selection activeCell="H132" sqref="H132"/>
    </sheetView>
  </sheetViews>
  <sheetFormatPr defaultColWidth="9.140625" defaultRowHeight="15" x14ac:dyDescent="0.25"/>
  <cols>
    <col min="1" max="1" width="10.140625" style="265" customWidth="1"/>
    <col min="2" max="2" width="12.5703125" style="265" customWidth="1"/>
    <col min="3" max="3" width="44.42578125" style="267" customWidth="1"/>
    <col min="4" max="4" width="8.140625" style="265" customWidth="1"/>
    <col min="5" max="5" width="7.5703125" style="265" customWidth="1"/>
    <col min="6" max="6" width="14.42578125" style="265" customWidth="1"/>
    <col min="7" max="7" width="10.7109375" style="265" customWidth="1"/>
    <col min="8" max="8" width="17.42578125" style="265" customWidth="1"/>
    <col min="9" max="9" width="9.140625" style="25" customWidth="1"/>
    <col min="10" max="10" width="21.140625" style="129" customWidth="1"/>
    <col min="11" max="11" width="17.5703125" style="25" customWidth="1"/>
    <col min="12" max="14" width="14.7109375" style="25" customWidth="1"/>
    <col min="15" max="15" width="13.42578125" style="25" customWidth="1"/>
    <col min="16" max="17" width="14.7109375" style="25" customWidth="1"/>
    <col min="18" max="16384" width="9.140625" style="25"/>
  </cols>
  <sheetData>
    <row r="1" spans="1:24" s="30" customFormat="1" ht="15.75" x14ac:dyDescent="0.25">
      <c r="A1" s="92"/>
      <c r="B1" s="632"/>
      <c r="C1" s="628"/>
      <c r="D1" s="632"/>
      <c r="E1" s="632"/>
      <c r="F1" s="632"/>
      <c r="G1" s="632"/>
      <c r="H1" s="632"/>
      <c r="I1" s="61"/>
      <c r="S1" s="339"/>
      <c r="T1" s="305"/>
    </row>
    <row r="2" spans="1:24" s="56" customFormat="1" ht="18.75" x14ac:dyDescent="0.2">
      <c r="A2" s="262"/>
      <c r="B2" s="633" t="s">
        <v>1151</v>
      </c>
      <c r="C2" s="633"/>
      <c r="D2" s="633"/>
      <c r="E2" s="633"/>
      <c r="F2" s="633"/>
      <c r="G2" s="633"/>
      <c r="H2" s="633"/>
      <c r="I2" s="96"/>
      <c r="J2" s="96"/>
      <c r="K2" s="96"/>
      <c r="L2" s="11"/>
      <c r="M2" s="11"/>
      <c r="N2" s="11"/>
      <c r="O2" s="11"/>
      <c r="P2" s="11"/>
      <c r="Q2" s="11"/>
      <c r="R2" s="11"/>
      <c r="S2" s="340"/>
      <c r="T2" s="83"/>
      <c r="U2" s="11"/>
      <c r="V2" s="11"/>
      <c r="W2" s="11"/>
      <c r="X2" s="11"/>
    </row>
    <row r="3" spans="1:24" s="56" customFormat="1" ht="18.75" x14ac:dyDescent="0.2">
      <c r="A3" s="262"/>
      <c r="B3" s="633" t="s">
        <v>1152</v>
      </c>
      <c r="C3" s="633"/>
      <c r="D3" s="633"/>
      <c r="E3" s="633"/>
      <c r="F3" s="633"/>
      <c r="G3" s="633"/>
      <c r="H3" s="633"/>
      <c r="I3" s="96"/>
      <c r="J3" s="96"/>
      <c r="K3" s="96"/>
      <c r="L3" s="11"/>
      <c r="M3" s="11"/>
      <c r="N3" s="11"/>
      <c r="O3" s="11"/>
      <c r="P3" s="11"/>
      <c r="Q3" s="11"/>
      <c r="R3" s="11"/>
      <c r="S3" s="340"/>
      <c r="T3" s="83"/>
      <c r="U3" s="11"/>
      <c r="V3" s="11"/>
      <c r="W3" s="11"/>
      <c r="X3" s="11"/>
    </row>
    <row r="4" spans="1:24" s="56" customFormat="1" ht="18.75" x14ac:dyDescent="0.2">
      <c r="A4" s="262"/>
      <c r="B4" s="633" t="s">
        <v>1154</v>
      </c>
      <c r="C4" s="633"/>
      <c r="D4" s="633"/>
      <c r="E4" s="633"/>
      <c r="F4" s="633"/>
      <c r="G4" s="633"/>
      <c r="H4" s="633"/>
      <c r="I4" s="96"/>
      <c r="J4" s="96"/>
      <c r="K4" s="96"/>
      <c r="L4" s="57"/>
      <c r="M4" s="57"/>
      <c r="N4" s="57"/>
      <c r="O4" s="55"/>
      <c r="P4" s="11"/>
      <c r="Q4" s="11"/>
      <c r="R4" s="11"/>
      <c r="S4" s="340"/>
      <c r="T4" s="83"/>
      <c r="U4" s="11"/>
      <c r="V4" s="11"/>
      <c r="W4" s="11"/>
      <c r="X4" s="11"/>
    </row>
    <row r="5" spans="1:24" s="56" customFormat="1" ht="18.75" x14ac:dyDescent="0.2">
      <c r="A5" s="262"/>
      <c r="B5" s="633" t="s">
        <v>3415</v>
      </c>
      <c r="C5" s="633"/>
      <c r="D5" s="633"/>
      <c r="E5" s="633"/>
      <c r="F5" s="633"/>
      <c r="G5" s="633"/>
      <c r="H5" s="633"/>
      <c r="I5" s="96"/>
      <c r="J5" s="96"/>
      <c r="K5" s="96"/>
      <c r="L5" s="11"/>
      <c r="M5" s="11"/>
      <c r="N5" s="11"/>
      <c r="O5" s="55"/>
      <c r="P5" s="11"/>
      <c r="Q5" s="11"/>
      <c r="R5" s="11"/>
      <c r="S5" s="340"/>
      <c r="T5" s="83"/>
      <c r="U5" s="11"/>
      <c r="V5" s="11"/>
      <c r="W5" s="11"/>
      <c r="X5" s="11"/>
    </row>
    <row r="6" spans="1:24" s="50" customFormat="1" ht="24.75" customHeight="1" x14ac:dyDescent="0.2">
      <c r="A6" s="95"/>
      <c r="B6" s="221" t="s">
        <v>99</v>
      </c>
      <c r="C6" s="209" t="s">
        <v>12768</v>
      </c>
      <c r="D6" s="93"/>
      <c r="E6" s="93"/>
      <c r="F6" s="95"/>
      <c r="G6" s="233" t="s">
        <v>60</v>
      </c>
      <c r="H6" s="234">
        <f>'014-22-CAPA'!E20</f>
        <v>45478</v>
      </c>
      <c r="I6" s="52"/>
      <c r="L6" s="49"/>
      <c r="M6" s="49"/>
      <c r="N6" s="49"/>
      <c r="O6" s="49"/>
      <c r="P6" s="49"/>
      <c r="Q6" s="49"/>
      <c r="R6" s="49"/>
      <c r="S6" s="220"/>
      <c r="T6" s="210"/>
      <c r="U6" s="49"/>
    </row>
    <row r="7" spans="1:24" s="50" customFormat="1" ht="18" customHeight="1" x14ac:dyDescent="0.2">
      <c r="A7" s="95"/>
      <c r="B7" s="221" t="s">
        <v>13</v>
      </c>
      <c r="C7" s="607" t="s">
        <v>4273</v>
      </c>
      <c r="D7" s="638"/>
      <c r="E7" s="638"/>
      <c r="F7" s="95"/>
      <c r="G7" s="221" t="s">
        <v>16</v>
      </c>
      <c r="H7" s="93" t="str">
        <f>'014.01-22-ORÇAMENTO'!J7</f>
        <v>PROJ-DE-034-20</v>
      </c>
      <c r="I7" s="51"/>
      <c r="L7" s="49"/>
      <c r="M7" s="49"/>
      <c r="N7" s="49"/>
      <c r="O7" s="49"/>
      <c r="P7" s="49"/>
      <c r="Q7" s="49"/>
      <c r="R7" s="49"/>
      <c r="S7" s="220"/>
      <c r="T7" s="210"/>
      <c r="U7" s="49"/>
    </row>
    <row r="8" spans="1:24" s="50" customFormat="1" ht="25.5" customHeight="1" x14ac:dyDescent="0.2">
      <c r="A8" s="95"/>
      <c r="B8" s="221" t="s">
        <v>100</v>
      </c>
      <c r="C8" s="266" t="str">
        <f>'014-22-CCU''s'!C8</f>
        <v>horista=110,14% / mensalista=70,04%</v>
      </c>
      <c r="D8" s="244" t="s">
        <v>65</v>
      </c>
      <c r="E8" s="216" t="s">
        <v>66</v>
      </c>
      <c r="F8" s="95"/>
      <c r="G8" s="233" t="s">
        <v>67</v>
      </c>
      <c r="H8" s="93" t="str">
        <f>'014.01-22-ORÇAMENTO'!J9</f>
        <v>SINAPI MAIO 2024</v>
      </c>
      <c r="I8" s="52"/>
      <c r="L8" s="49"/>
      <c r="M8" s="49"/>
      <c r="N8" s="49"/>
      <c r="O8" s="49"/>
      <c r="P8" s="49"/>
      <c r="Q8" s="49"/>
      <c r="R8" s="49"/>
      <c r="S8" s="220"/>
      <c r="T8" s="210"/>
      <c r="U8" s="49"/>
    </row>
    <row r="9" spans="1:24" s="62" customFormat="1" ht="25.5" x14ac:dyDescent="0.2">
      <c r="A9" s="199"/>
      <c r="B9" s="263" t="s">
        <v>0</v>
      </c>
      <c r="C9" s="177" t="s">
        <v>1</v>
      </c>
      <c r="D9" s="178" t="s">
        <v>1978</v>
      </c>
      <c r="E9" s="178" t="s">
        <v>131</v>
      </c>
      <c r="F9" s="179" t="s">
        <v>2157</v>
      </c>
      <c r="G9" s="180" t="s">
        <v>3431</v>
      </c>
      <c r="H9" s="181" t="s">
        <v>3432</v>
      </c>
      <c r="J9" s="11"/>
      <c r="S9" s="331"/>
      <c r="T9" s="213"/>
    </row>
    <row r="10" spans="1:24" s="62" customFormat="1" ht="12.75" x14ac:dyDescent="0.2">
      <c r="A10" s="199"/>
      <c r="B10" s="208"/>
      <c r="C10" s="175"/>
      <c r="D10" s="176"/>
      <c r="E10" s="176"/>
      <c r="F10" s="176"/>
      <c r="G10" s="176"/>
      <c r="H10" s="176"/>
      <c r="J10" s="63"/>
    </row>
    <row r="11" spans="1:24" s="182" customFormat="1" ht="63.75" customHeight="1" x14ac:dyDescent="0.2">
      <c r="A11" s="264"/>
      <c r="B11" s="263" t="s">
        <v>3446</v>
      </c>
      <c r="C11" s="177" t="s">
        <v>4466</v>
      </c>
      <c r="D11" s="178" t="s">
        <v>101</v>
      </c>
      <c r="E11" s="178" t="s">
        <v>163</v>
      </c>
      <c r="F11" s="179"/>
      <c r="G11" s="180"/>
      <c r="H11" s="181">
        <f>SUM(H12:H19)</f>
        <v>1069.98</v>
      </c>
      <c r="J11" s="183"/>
    </row>
    <row r="12" spans="1:24" s="126" customFormat="1" ht="25.5" customHeight="1" x14ac:dyDescent="0.2">
      <c r="A12" s="398" t="s">
        <v>1122</v>
      </c>
      <c r="B12" s="207">
        <v>370</v>
      </c>
      <c r="C12" s="548" t="str">
        <f>IF(A12="SERVIÇO",VLOOKUP(B12,SERVIÇOS!$A$6:$D$7697,2,0),IF(A12="INSUMO",VLOOKUP(B12,INSUMOS!$A$6:$D$4845,2,0),IF(A12="COTAÇÃO",VLOOKUP(B12,'014-22-cotação'!$A$9:$I$138,2,0))))</f>
        <v xml:space="preserve">AREIA MEDIA - POSTO JAZIDA/FORNECEDOR (RETIRADO NA JAZIDA, SEM TRANSPORTE)                                                                                                                                                                                                                                                                                                                                                                                                                                </v>
      </c>
      <c r="D12" s="549" t="str">
        <f>IF(A12="SERVIÇO",VLOOKUP(B12,SERVIÇOS!$A$6:$E$7697,5,0),IF(A12="INSUMO",VLOOKUP(B12,INSUMOS!$A$6:$E$4845,5,0),IF(A12="COTAÇÃO",VLOOKUP(B12,'014-22-cotação'!$A$9:$J$138,10,0))))</f>
        <v>MAT.</v>
      </c>
      <c r="E12" s="549" t="str">
        <f>IF(A12="SERVIÇO",VLOOKUP(B12,SERVIÇOS!$A$6:$D$7697,3,0),IF(A12="INSUMO",VLOOKUP(B12,INSUMOS!$A$6:$D$4845,3,0),IF(A12="COTAÇÃO",VLOOKUP(B12,'014-22-cotação'!$A$9:$I$138,4,0))))</f>
        <v xml:space="preserve">M3    </v>
      </c>
      <c r="F12" s="549">
        <v>0.76090000000000002</v>
      </c>
      <c r="G12" s="550">
        <f>IF(A12="SERVIÇO",VLOOKUP(B12,SERVIÇOS!$A$6:$D$7697,4,0),IF(A12="INSUMO",VLOOKUP(B12,INSUMOS!$A$6:$D$4845,4,0),IF(A12="COTAÇÃO",VLOOKUP(B12,'014-22-cotação'!$A$9:$I$138,3,0))))</f>
        <v>200</v>
      </c>
      <c r="H12" s="561">
        <f t="shared" ref="H12:H18" si="0">TRUNC((F12*G12),2)</f>
        <v>152.18</v>
      </c>
      <c r="J12" s="375"/>
    </row>
    <row r="13" spans="1:24" s="126" customFormat="1" ht="12.75" customHeight="1" x14ac:dyDescent="0.2">
      <c r="A13" s="398" t="s">
        <v>1122</v>
      </c>
      <c r="B13" s="207">
        <v>1379</v>
      </c>
      <c r="C13" s="548" t="str">
        <f>IF(A13="SERVIÇO",VLOOKUP(B13,SERVIÇOS!$A$6:$D$7697,2,0),IF(A13="INSUMO",VLOOKUP(B13,INSUMOS!$A$6:$D$4845,2,0),IF(A13="COTAÇÃO",VLOOKUP(B13,'014-22-cotação'!$A$9:$I$138,2,0))))</f>
        <v xml:space="preserve">CIMENTO PORTLAND COMPOSTO CP II-32                                                                                                                                                                                                                                                                                                                                                                                                                                                                        </v>
      </c>
      <c r="D13" s="549" t="str">
        <f>IF(A13="SERVIÇO",VLOOKUP(B13,SERVIÇOS!$A$6:$E$7697,5,0),IF(A13="INSUMO",VLOOKUP(B13,INSUMOS!$A$6:$E$4845,5,0),IF(A13="COTAÇÃO",VLOOKUP(B13,'014-22-cotação'!$A$9:$J$138,10,0))))</f>
        <v>MAT.</v>
      </c>
      <c r="E13" s="549" t="str">
        <f>IF(A13="SERVIÇO",VLOOKUP(B13,SERVIÇOS!$A$6:$D$7697,3,0),IF(A13="INSUMO",VLOOKUP(B13,INSUMOS!$A$6:$D$4845,3,0),IF(A13="COTAÇÃO",VLOOKUP(B13,'014-22-cotação'!$A$9:$I$138,4,0))))</f>
        <v xml:space="preserve">KG    </v>
      </c>
      <c r="F13" s="549">
        <v>325.15890000000002</v>
      </c>
      <c r="G13" s="550">
        <f>IF(A13="SERVIÇO",VLOOKUP(B13,SERVIÇOS!$A$6:$D$7697,4,0),IF(A13="INSUMO",VLOOKUP(B13,INSUMOS!$A$6:$D$4845,4,0),IF(A13="COTAÇÃO",VLOOKUP(B13,'014-22-cotação'!$A$9:$I$138,3,0))))</f>
        <v>0.64</v>
      </c>
      <c r="H13" s="561">
        <f t="shared" si="0"/>
        <v>208.1</v>
      </c>
      <c r="J13" s="375"/>
    </row>
    <row r="14" spans="1:24" s="126" customFormat="1" ht="25.5" customHeight="1" x14ac:dyDescent="0.2">
      <c r="A14" s="398" t="s">
        <v>1122</v>
      </c>
      <c r="B14" s="207">
        <v>4721</v>
      </c>
      <c r="C14" s="548" t="str">
        <f>IF(A14="SERVIÇO",VLOOKUP(B14,SERVIÇOS!$A$6:$D$7697,2,0),IF(A14="INSUMO",VLOOKUP(B14,INSUMOS!$A$6:$D$4845,2,0),IF(A14="COTAÇÃO",VLOOKUP(B14,'014-22-cotação'!$A$9:$I$138,2,0))))</f>
        <v xml:space="preserve">PEDRA BRITADA N. 1 (9,5 A 19 MM) POSTO PEDREIRA/FORNECEDOR, SEM FRETE                                                                                                                                                                                                                                                                                                                                                                                                                                     </v>
      </c>
      <c r="D14" s="549" t="str">
        <f>IF(A14="SERVIÇO",VLOOKUP(B14,SERVIÇOS!$A$6:$E$7697,5,0),IF(A14="INSUMO",VLOOKUP(B14,INSUMOS!$A$6:$E$4845,5,0),IF(A14="COTAÇÃO",VLOOKUP(B14,'014-22-cotação'!$A$9:$J$138,10,0))))</f>
        <v>MAT.</v>
      </c>
      <c r="E14" s="549" t="str">
        <f>IF(A14="SERVIÇO",VLOOKUP(B14,SERVIÇOS!$A$6:$D$7697,3,0),IF(A14="INSUMO",VLOOKUP(B14,INSUMOS!$A$6:$D$4845,3,0),IF(A14="COTAÇÃO",VLOOKUP(B14,'014-22-cotação'!$A$9:$I$138,4,0))))</f>
        <v xml:space="preserve">M3    </v>
      </c>
      <c r="F14" s="549">
        <v>0.59119999999999995</v>
      </c>
      <c r="G14" s="550">
        <f>IF(A14="SERVIÇO",VLOOKUP(B14,SERVIÇOS!$A$6:$D$7697,4,0),IF(A14="INSUMO",VLOOKUP(B14,INSUMOS!$A$6:$D$4845,4,0),IF(A14="COTAÇÃO",VLOOKUP(B14,'014-22-cotação'!$A$9:$I$138,3,0))))</f>
        <v>177.42</v>
      </c>
      <c r="H14" s="561">
        <f t="shared" si="0"/>
        <v>104.89</v>
      </c>
      <c r="J14" s="375"/>
    </row>
    <row r="15" spans="1:24" s="126" customFormat="1" ht="25.5" customHeight="1" x14ac:dyDescent="0.2">
      <c r="A15" s="398" t="s">
        <v>1120</v>
      </c>
      <c r="B15" s="207">
        <v>88316</v>
      </c>
      <c r="C15" s="548" t="str">
        <f>IF(A15="SERVIÇO",VLOOKUP(B15,SERVIÇOS!$A$6:$D$7697,2,0),IF(A15="INSUMO",VLOOKUP(B15,INSUMOS!$A$6:$D$4845,2,0),IF(A15="COTAÇÃO",VLOOKUP(B15,'014-22-cotação'!$A$9:$I$138,2,0))))</f>
        <v>SERVENTE COM ENCARGOS COMPLEMENTARES</v>
      </c>
      <c r="D15" s="549" t="str">
        <f>IF(A15="SERVIÇO",VLOOKUP(B15,SERVIÇOS!$A$6:$E$7697,5,0),IF(A15="INSUMO",VLOOKUP(B15,INSUMOS!$A$6:$E$4845,5,0),IF(A15="COTAÇÃO",VLOOKUP(B15,'014-22-cotação'!$A$9:$J$138,10,0))))</f>
        <v>M.O</v>
      </c>
      <c r="E15" s="549" t="str">
        <f>IF(A15="SERVIÇO",VLOOKUP(B15,SERVIÇOS!$A$6:$D$7697,3,0),IF(A15="INSUMO",VLOOKUP(B15,INSUMOS!$A$6:$D$4845,3,0),IF(A15="COTAÇÃO",VLOOKUP(B15,'014-22-cotação'!$A$9:$I$138,4,0))))</f>
        <v>H</v>
      </c>
      <c r="F15" s="549">
        <v>2.0266999999999999</v>
      </c>
      <c r="G15" s="550">
        <f>IF(A15="SERVIÇO",VLOOKUP(B15,SERVIÇOS!$A$6:$D$7697,4,0),IF(A15="INSUMO",VLOOKUP(B15,INSUMOS!$A$6:$D$4845,4,0),IF(A15="COTAÇÃO",VLOOKUP(B15,'014-22-cotação'!$A$9:$I$138,3,0))))</f>
        <v>23.4</v>
      </c>
      <c r="H15" s="561">
        <f t="shared" si="0"/>
        <v>47.42</v>
      </c>
      <c r="J15" s="375"/>
    </row>
    <row r="16" spans="1:24" s="126" customFormat="1" ht="38.25" customHeight="1" x14ac:dyDescent="0.2">
      <c r="A16" s="398" t="s">
        <v>1120</v>
      </c>
      <c r="B16" s="207">
        <v>88377</v>
      </c>
      <c r="C16" s="548" t="str">
        <f>IF(A16="SERVIÇO",VLOOKUP(B16,SERVIÇOS!$A$6:$D$7697,2,0),IF(A16="INSUMO",VLOOKUP(B16,INSUMOS!$A$6:$D$4845,2,0),IF(A16="COTAÇÃO",VLOOKUP(B16,'014-22-cotação'!$A$9:$I$138,2,0))))</f>
        <v>OPERADOR DE BETONEIRA ESTACIONÁRIA/MISTURADOR COM ENCARGOS COMPLEMENTARES</v>
      </c>
      <c r="D16" s="549" t="str">
        <f>IF(A16="SERVIÇO",VLOOKUP(B16,SERVIÇOS!$A$6:$E$7697,5,0),IF(A16="INSUMO",VLOOKUP(B16,INSUMOS!$A$6:$E$4845,5,0),IF(A16="COTAÇÃO",VLOOKUP(B16,'014-22-cotação'!$A$9:$J$138,10,0))))</f>
        <v>M.O</v>
      </c>
      <c r="E16" s="549" t="str">
        <f>IF(A16="SERVIÇO",VLOOKUP(B16,SERVIÇOS!$A$6:$D$7697,3,0),IF(A16="INSUMO",VLOOKUP(B16,INSUMOS!$A$6:$D$4845,3,0),IF(A16="COTAÇÃO",VLOOKUP(B16,'014-22-cotação'!$A$9:$I$138,4,0))))</f>
        <v>H</v>
      </c>
      <c r="F16" s="549">
        <v>1.2767999999999999</v>
      </c>
      <c r="G16" s="550">
        <f>IF(A16="SERVIÇO",VLOOKUP(B16,SERVIÇOS!$A$6:$D$7697,4,0),IF(A16="INSUMO",VLOOKUP(B16,INSUMOS!$A$6:$D$4845,4,0),IF(A16="COTAÇÃO",VLOOKUP(B16,'014-22-cotação'!$A$9:$I$138,3,0))))</f>
        <v>25.72</v>
      </c>
      <c r="H16" s="561">
        <f t="shared" si="0"/>
        <v>32.83</v>
      </c>
      <c r="J16" s="375"/>
    </row>
    <row r="17" spans="1:10" s="126" customFormat="1" ht="51" customHeight="1" x14ac:dyDescent="0.2">
      <c r="A17" s="398" t="s">
        <v>1120</v>
      </c>
      <c r="B17" s="207">
        <v>89225</v>
      </c>
      <c r="C17" s="548" t="str">
        <f>IF(A17="SERVIÇO",VLOOKUP(B17,SERVIÇOS!$A$6:$D$7697,2,0),IF(A17="INSUMO",VLOOKUP(B17,INSUMOS!$A$6:$D$4845,2,0),IF(A17="COTAÇÃO",VLOOKUP(B17,'014-22-cotação'!$A$9:$I$138,2,0))))</f>
        <v>BETONEIRA CAPACIDADE NOMINAL DE 600 L, CAPACIDADE DE MISTURA 360 L, MOTOR ELÉTRICO TRIFÁSICO POTÊNCIA DE 4 CV, SEM CARREGADOR - CHP DIURNO. AF_05/2023</v>
      </c>
      <c r="D17" s="549" t="str">
        <f>IF(A17="SERVIÇO",VLOOKUP(B17,SERVIÇOS!$A$6:$E$7697,5,0),IF(A17="INSUMO",VLOOKUP(B17,INSUMOS!$A$6:$E$4845,5,0),IF(A17="COTAÇÃO",VLOOKUP(B17,'014-22-cotação'!$A$9:$J$138,10,0))))</f>
        <v>EQUIP.</v>
      </c>
      <c r="E17" s="549" t="str">
        <f>IF(A17="SERVIÇO",VLOOKUP(B17,SERVIÇOS!$A$6:$D$7697,3,0),IF(A17="INSUMO",VLOOKUP(B17,INSUMOS!$A$6:$D$4845,3,0),IF(A17="COTAÇÃO",VLOOKUP(B17,'014-22-cotação'!$A$9:$I$138,4,0))))</f>
        <v>CHP</v>
      </c>
      <c r="F17" s="549">
        <v>0.65720000000000001</v>
      </c>
      <c r="G17" s="550">
        <f>IF(A17="SERVIÇO",VLOOKUP(B17,SERVIÇOS!$A$6:$D$7697,4,0),IF(A17="INSUMO",VLOOKUP(B17,INSUMOS!$A$6:$D$4845,4,0),IF(A17="COTAÇÃO",VLOOKUP(B17,'014-22-cotação'!$A$9:$I$138,3,0))))</f>
        <v>5.03</v>
      </c>
      <c r="H17" s="561">
        <f t="shared" si="0"/>
        <v>3.3</v>
      </c>
      <c r="J17" s="375"/>
    </row>
    <row r="18" spans="1:10" s="126" customFormat="1" ht="51" customHeight="1" x14ac:dyDescent="0.2">
      <c r="A18" s="398" t="s">
        <v>1120</v>
      </c>
      <c r="B18" s="207">
        <v>89226</v>
      </c>
      <c r="C18" s="548" t="str">
        <f>IF(A18="SERVIÇO",VLOOKUP(B18,SERVIÇOS!$A$6:$D$7697,2,0),IF(A18="INSUMO",VLOOKUP(B18,INSUMOS!$A$6:$D$4845,2,0),IF(A18="COTAÇÃO",VLOOKUP(B18,'014-22-cotação'!$A$9:$I$138,2,0))))</f>
        <v>BETONEIRA CAPACIDADE NOMINAL DE 600 L, CAPACIDADE DE MISTURA 360 L, MOTOR ELÉTRICO TRIFÁSICO POTÊNCIA DE 4 CV, SEM CARREGADOR - CHI DIURNO. AF_05/2023</v>
      </c>
      <c r="D18" s="549" t="str">
        <f>IF(A18="SERVIÇO",VLOOKUP(B18,SERVIÇOS!$A$6:$E$7697,5,0),IF(A18="INSUMO",VLOOKUP(B18,INSUMOS!$A$6:$E$4845,5,0),IF(A18="COTAÇÃO",VLOOKUP(B18,'014-22-cotação'!$A$9:$J$138,10,0))))</f>
        <v>EQUIP.</v>
      </c>
      <c r="E18" s="549" t="str">
        <f>IF(A18="SERVIÇO",VLOOKUP(B18,SERVIÇOS!$A$6:$D$7697,3,0),IF(A18="INSUMO",VLOOKUP(B18,INSUMOS!$A$6:$D$4845,3,0),IF(A18="COTAÇÃO",VLOOKUP(B18,'014-22-cotação'!$A$9:$I$138,4,0))))</f>
        <v>CHI</v>
      </c>
      <c r="F18" s="549">
        <v>0.61970000000000003</v>
      </c>
      <c r="G18" s="550">
        <f>IF(A18="SERVIÇO",VLOOKUP(B18,SERVIÇOS!$A$6:$D$7697,4,0),IF(A18="INSUMO",VLOOKUP(B18,INSUMOS!$A$6:$D$4845,4,0),IF(A18="COTAÇÃO",VLOOKUP(B18,'014-22-cotação'!$A$9:$I$138,3,0))))</f>
        <v>1.64</v>
      </c>
      <c r="H18" s="561">
        <f t="shared" si="0"/>
        <v>1.01</v>
      </c>
      <c r="J18" s="375"/>
    </row>
    <row r="19" spans="1:10" s="126" customFormat="1" ht="25.5" x14ac:dyDescent="0.2">
      <c r="A19" s="398" t="s">
        <v>12</v>
      </c>
      <c r="B19" s="207" t="s">
        <v>3437</v>
      </c>
      <c r="C19" s="548" t="str">
        <f>IF(A19="SERVIÇO",VLOOKUP(B19,SERVIÇOS!$A$6:$D$7697,2,0),IF(A19="INSUMO",VLOOKUP(B19,INSUMOS!$A$6:$D$4845,2,0),IF(A19="COTAÇÃO",VLOOKUP(B19,'014-22-cotação'!$A$9:$I$138,2,0))))</f>
        <v>PIGMENTO EM PÓ COR PRETO GRAFITE PARA CONCRETO</v>
      </c>
      <c r="D19" s="549" t="str">
        <f>IF(A19="SERVIÇO",VLOOKUP(B19,SERVIÇOS!$A$6:$E$7697,5,0),IF(A19="INSUMO",VLOOKUP(B19,INSUMOS!$A$6:$E$4845,5,0),IF(A19="COTAÇÃO",VLOOKUP(B19,'014-22-cotação'!$A$9:$J$138,10,0))))</f>
        <v>MAT.</v>
      </c>
      <c r="E19" s="549" t="str">
        <f>IF(A19="SERVIÇO",VLOOKUP(B19,SERVIÇOS!$A$6:$D$7697,3,0),IF(A19="INSUMO",VLOOKUP(B19,INSUMOS!$A$6:$D$4845,3,0),IF(A19="COTAÇÃO",VLOOKUP(B19,'014-22-cotação'!$A$9:$I$138,4,0))))</f>
        <v>KG</v>
      </c>
      <c r="F19" s="562">
        <f>F13*0.04</f>
        <v>13.006356</v>
      </c>
      <c r="G19" s="550">
        <f>IF(A19="SERVIÇO",VLOOKUP(B19,SERVIÇOS!$A$6:$D$7697,4,0),IF(A19="INSUMO",VLOOKUP(B19,INSUMOS!$A$6:$D$4845,4,0),IF(A19="COTAÇÃO",VLOOKUP(B19,'014-22-cotação'!$A$9:$I$138,3,0))))</f>
        <v>40</v>
      </c>
      <c r="H19" s="561">
        <f>TRUNC((F19*G19),2)</f>
        <v>520.25</v>
      </c>
      <c r="J19" s="375" t="s">
        <v>4463</v>
      </c>
    </row>
    <row r="20" spans="1:10" s="62" customFormat="1" ht="24.75" customHeight="1" x14ac:dyDescent="0.2">
      <c r="A20" s="199"/>
      <c r="B20" s="207" t="s">
        <v>109</v>
      </c>
      <c r="C20" s="643" t="s">
        <v>4457</v>
      </c>
      <c r="D20" s="644"/>
      <c r="E20" s="644"/>
      <c r="F20" s="644"/>
      <c r="G20" s="644"/>
      <c r="H20" s="384"/>
      <c r="J20" s="63"/>
    </row>
    <row r="21" spans="1:10" s="62" customFormat="1" ht="12.75" x14ac:dyDescent="0.2">
      <c r="A21" s="199"/>
      <c r="B21" s="208"/>
      <c r="C21" s="175"/>
      <c r="D21" s="176"/>
      <c r="E21" s="176"/>
      <c r="F21" s="176"/>
      <c r="G21" s="176"/>
      <c r="H21" s="176"/>
      <c r="J21" s="63"/>
    </row>
    <row r="22" spans="1:10" s="182" customFormat="1" ht="63.75" customHeight="1" x14ac:dyDescent="0.2">
      <c r="A22" s="264"/>
      <c r="B22" s="263" t="s">
        <v>4467</v>
      </c>
      <c r="C22" s="177" t="s">
        <v>4468</v>
      </c>
      <c r="D22" s="178" t="s">
        <v>101</v>
      </c>
      <c r="E22" s="178" t="s">
        <v>163</v>
      </c>
      <c r="F22" s="179"/>
      <c r="G22" s="180"/>
      <c r="H22" s="181">
        <f>SUM(H23:H30)</f>
        <v>1007.03</v>
      </c>
      <c r="J22" s="183"/>
    </row>
    <row r="23" spans="1:10" s="126" customFormat="1" ht="25.5" customHeight="1" x14ac:dyDescent="0.2">
      <c r="A23" s="398" t="s">
        <v>1122</v>
      </c>
      <c r="B23" s="207">
        <v>370</v>
      </c>
      <c r="C23" s="548" t="str">
        <f>IF(A23="SERVIÇO",VLOOKUP(B23,SERVIÇOS!$A$6:$D$7697,2,0),IF(A23="INSUMO",VLOOKUP(B23,INSUMOS!$A$6:$D$4845,2,0),IF(A23="COTAÇÃO",VLOOKUP(B23,'014-22-cotação'!$A$9:$I$138,2,0))))</f>
        <v xml:space="preserve">AREIA MEDIA - POSTO JAZIDA/FORNECEDOR (RETIRADO NA JAZIDA, SEM TRANSPORTE)                                                                                                                                                                                                                                                                                                                                                                                                                                </v>
      </c>
      <c r="D23" s="549" t="str">
        <f>IF(A23="SERVIÇO",VLOOKUP(B23,SERVIÇOS!$A$6:$E$7697,5,0),IF(A23="INSUMO",VLOOKUP(B23,INSUMOS!$A$6:$E$4845,5,0),IF(A23="COTAÇÃO",VLOOKUP(B23,'014-22-cotação'!$A$9:$J$138,10,0))))</f>
        <v>MAT.</v>
      </c>
      <c r="E23" s="549" t="str">
        <f>IF(A23="SERVIÇO",VLOOKUP(B23,SERVIÇOS!$A$6:$D$7697,3,0),IF(A23="INSUMO",VLOOKUP(B23,INSUMOS!$A$6:$D$4845,3,0),IF(A23="COTAÇÃO",VLOOKUP(B23,'014-22-cotação'!$A$9:$I$138,4,0))))</f>
        <v xml:space="preserve">M3    </v>
      </c>
      <c r="F23" s="549">
        <v>0.76090000000000002</v>
      </c>
      <c r="G23" s="550">
        <f>IF(A23="SERVIÇO",VLOOKUP(B23,SERVIÇOS!$A$6:$D$7697,4,0),IF(A23="INSUMO",VLOOKUP(B23,INSUMOS!$A$6:$D$4845,4,0),IF(A23="COTAÇÃO",VLOOKUP(B23,'014-22-cotação'!$A$9:$I$138,3,0))))</f>
        <v>200</v>
      </c>
      <c r="H23" s="561">
        <f t="shared" ref="H23:H29" si="1">TRUNC((F23*G23),2)</f>
        <v>152.18</v>
      </c>
      <c r="J23" s="375"/>
    </row>
    <row r="24" spans="1:10" s="126" customFormat="1" ht="12.75" customHeight="1" x14ac:dyDescent="0.2">
      <c r="A24" s="398" t="s">
        <v>1122</v>
      </c>
      <c r="B24" s="207">
        <v>1379</v>
      </c>
      <c r="C24" s="548" t="str">
        <f>IF(A24="SERVIÇO",VLOOKUP(B24,SERVIÇOS!$A$6:$D$7697,2,0),IF(A24="INSUMO",VLOOKUP(B24,INSUMOS!$A$6:$D$4845,2,0),IF(A24="COTAÇÃO",VLOOKUP(B24,'014-22-cotação'!$A$9:$I$138,2,0))))</f>
        <v xml:space="preserve">CIMENTO PORTLAND COMPOSTO CP II-32                                                                                                                                                                                                                                                                                                                                                                                                                                                                        </v>
      </c>
      <c r="D24" s="549" t="str">
        <f>IF(A24="SERVIÇO",VLOOKUP(B24,SERVIÇOS!$A$6:$E$7697,5,0),IF(A24="INSUMO",VLOOKUP(B24,INSUMOS!$A$6:$E$4845,5,0),IF(A24="COTAÇÃO",VLOOKUP(B24,'014-22-cotação'!$A$9:$J$138,10,0))))</f>
        <v>MAT.</v>
      </c>
      <c r="E24" s="549" t="str">
        <f>IF(A24="SERVIÇO",VLOOKUP(B24,SERVIÇOS!$A$6:$D$7697,3,0),IF(A24="INSUMO",VLOOKUP(B24,INSUMOS!$A$6:$D$4845,3,0),IF(A24="COTAÇÃO",VLOOKUP(B24,'014-22-cotação'!$A$9:$I$138,4,0))))</f>
        <v xml:space="preserve">KG    </v>
      </c>
      <c r="F24" s="549">
        <v>325.15890000000002</v>
      </c>
      <c r="G24" s="550">
        <f>IF(A24="SERVIÇO",VLOOKUP(B24,SERVIÇOS!$A$6:$D$7697,4,0),IF(A24="INSUMO",VLOOKUP(B24,INSUMOS!$A$6:$D$4845,4,0),IF(A24="COTAÇÃO",VLOOKUP(B24,'014-22-cotação'!$A$9:$I$138,3,0))))</f>
        <v>0.64</v>
      </c>
      <c r="H24" s="561">
        <f t="shared" si="1"/>
        <v>208.1</v>
      </c>
      <c r="J24" s="375"/>
    </row>
    <row r="25" spans="1:10" s="126" customFormat="1" ht="25.5" customHeight="1" x14ac:dyDescent="0.2">
      <c r="A25" s="398" t="s">
        <v>1122</v>
      </c>
      <c r="B25" s="207">
        <v>4721</v>
      </c>
      <c r="C25" s="548" t="str">
        <f>IF(A25="SERVIÇO",VLOOKUP(B25,SERVIÇOS!$A$6:$D$7697,2,0),IF(A25="INSUMO",VLOOKUP(B25,INSUMOS!$A$6:$D$4845,2,0),IF(A25="COTAÇÃO",VLOOKUP(B25,'014-22-cotação'!$A$9:$I$138,2,0))))</f>
        <v xml:space="preserve">PEDRA BRITADA N. 1 (9,5 A 19 MM) POSTO PEDREIRA/FORNECEDOR, SEM FRETE                                                                                                                                                                                                                                                                                                                                                                                                                                     </v>
      </c>
      <c r="D25" s="549" t="str">
        <f>IF(A25="SERVIÇO",VLOOKUP(B25,SERVIÇOS!$A$6:$E$7697,5,0),IF(A25="INSUMO",VLOOKUP(B25,INSUMOS!$A$6:$E$4845,5,0),IF(A25="COTAÇÃO",VLOOKUP(B25,'014-22-cotação'!$A$9:$J$138,10,0))))</f>
        <v>MAT.</v>
      </c>
      <c r="E25" s="549" t="str">
        <f>IF(A25="SERVIÇO",VLOOKUP(B25,SERVIÇOS!$A$6:$D$7697,3,0),IF(A25="INSUMO",VLOOKUP(B25,INSUMOS!$A$6:$D$4845,3,0),IF(A25="COTAÇÃO",VLOOKUP(B25,'014-22-cotação'!$A$9:$I$138,4,0))))</f>
        <v xml:space="preserve">M3    </v>
      </c>
      <c r="F25" s="549">
        <v>0.59119999999999995</v>
      </c>
      <c r="G25" s="550">
        <f>IF(A25="SERVIÇO",VLOOKUP(B25,SERVIÇOS!$A$6:$D$7697,4,0),IF(A25="INSUMO",VLOOKUP(B25,INSUMOS!$A$6:$D$4845,4,0),IF(A25="COTAÇÃO",VLOOKUP(B25,'014-22-cotação'!$A$9:$I$138,3,0))))</f>
        <v>177.42</v>
      </c>
      <c r="H25" s="561">
        <f t="shared" si="1"/>
        <v>104.89</v>
      </c>
      <c r="J25" s="375"/>
    </row>
    <row r="26" spans="1:10" s="126" customFormat="1" ht="25.5" customHeight="1" x14ac:dyDescent="0.2">
      <c r="A26" s="398" t="s">
        <v>1120</v>
      </c>
      <c r="B26" s="207">
        <v>88316</v>
      </c>
      <c r="C26" s="548" t="str">
        <f>IF(A26="SERVIÇO",VLOOKUP(B26,SERVIÇOS!$A$6:$D$7697,2,0),IF(A26="INSUMO",VLOOKUP(B26,INSUMOS!$A$6:$D$4845,2,0),IF(A26="COTAÇÃO",VLOOKUP(B26,'014-22-cotação'!$A$9:$I$138,2,0))))</f>
        <v>SERVENTE COM ENCARGOS COMPLEMENTARES</v>
      </c>
      <c r="D26" s="549" t="str">
        <f>IF(A26="SERVIÇO",VLOOKUP(B26,SERVIÇOS!$A$6:$E$7697,5,0),IF(A26="INSUMO",VLOOKUP(B26,INSUMOS!$A$6:$E$4845,5,0),IF(A26="COTAÇÃO",VLOOKUP(B26,'014-22-cotação'!$A$9:$J$138,10,0))))</f>
        <v>M.O</v>
      </c>
      <c r="E26" s="549" t="str">
        <f>IF(A26="SERVIÇO",VLOOKUP(B26,SERVIÇOS!$A$6:$D$7697,3,0),IF(A26="INSUMO",VLOOKUP(B26,INSUMOS!$A$6:$D$4845,3,0),IF(A26="COTAÇÃO",VLOOKUP(B26,'014-22-cotação'!$A$9:$I$138,4,0))))</f>
        <v>H</v>
      </c>
      <c r="F26" s="549">
        <v>2.0266999999999999</v>
      </c>
      <c r="G26" s="550">
        <f>IF(A26="SERVIÇO",VLOOKUP(B26,SERVIÇOS!$A$6:$D$7697,4,0),IF(A26="INSUMO",VLOOKUP(B26,INSUMOS!$A$6:$D$4845,4,0),IF(A26="COTAÇÃO",VLOOKUP(B26,'014-22-cotação'!$A$9:$I$138,3,0))))</f>
        <v>23.4</v>
      </c>
      <c r="H26" s="561">
        <f t="shared" si="1"/>
        <v>47.42</v>
      </c>
      <c r="J26" s="375"/>
    </row>
    <row r="27" spans="1:10" s="126" customFormat="1" ht="38.25" customHeight="1" x14ac:dyDescent="0.2">
      <c r="A27" s="398" t="s">
        <v>1120</v>
      </c>
      <c r="B27" s="207">
        <v>88377</v>
      </c>
      <c r="C27" s="548" t="str">
        <f>IF(A27="SERVIÇO",VLOOKUP(B27,SERVIÇOS!$A$6:$D$7697,2,0),IF(A27="INSUMO",VLOOKUP(B27,INSUMOS!$A$6:$D$4845,2,0),IF(A27="COTAÇÃO",VLOOKUP(B27,'014-22-cotação'!$A$9:$I$138,2,0))))</f>
        <v>OPERADOR DE BETONEIRA ESTACIONÁRIA/MISTURADOR COM ENCARGOS COMPLEMENTARES</v>
      </c>
      <c r="D27" s="549" t="str">
        <f>IF(A27="SERVIÇO",VLOOKUP(B27,SERVIÇOS!$A$6:$E$7697,5,0),IF(A27="INSUMO",VLOOKUP(B27,INSUMOS!$A$6:$E$4845,5,0),IF(A27="COTAÇÃO",VLOOKUP(B27,'014-22-cotação'!$A$9:$J$138,10,0))))</f>
        <v>M.O</v>
      </c>
      <c r="E27" s="549" t="str">
        <f>IF(A27="SERVIÇO",VLOOKUP(B27,SERVIÇOS!$A$6:$D$7697,3,0),IF(A27="INSUMO",VLOOKUP(B27,INSUMOS!$A$6:$D$4845,3,0),IF(A27="COTAÇÃO",VLOOKUP(B27,'014-22-cotação'!$A$9:$I$138,4,0))))</f>
        <v>H</v>
      </c>
      <c r="F27" s="549">
        <v>1.2767999999999999</v>
      </c>
      <c r="G27" s="550">
        <f>IF(A27="SERVIÇO",VLOOKUP(B27,SERVIÇOS!$A$6:$D$7697,4,0),IF(A27="INSUMO",VLOOKUP(B27,INSUMOS!$A$6:$D$4845,4,0),IF(A27="COTAÇÃO",VLOOKUP(B27,'014-22-cotação'!$A$9:$I$138,3,0))))</f>
        <v>25.72</v>
      </c>
      <c r="H27" s="561">
        <f t="shared" si="1"/>
        <v>32.83</v>
      </c>
      <c r="J27" s="375"/>
    </row>
    <row r="28" spans="1:10" s="126" customFormat="1" ht="51" customHeight="1" x14ac:dyDescent="0.2">
      <c r="A28" s="398" t="s">
        <v>1120</v>
      </c>
      <c r="B28" s="207">
        <v>89225</v>
      </c>
      <c r="C28" s="548" t="str">
        <f>IF(A28="SERVIÇO",VLOOKUP(B28,SERVIÇOS!$A$6:$D$7697,2,0),IF(A28="INSUMO",VLOOKUP(B28,INSUMOS!$A$6:$D$4845,2,0),IF(A28="COTAÇÃO",VLOOKUP(B28,'014-22-cotação'!$A$9:$I$138,2,0))))</f>
        <v>BETONEIRA CAPACIDADE NOMINAL DE 600 L, CAPACIDADE DE MISTURA 360 L, MOTOR ELÉTRICO TRIFÁSICO POTÊNCIA DE 4 CV, SEM CARREGADOR - CHP DIURNO. AF_05/2023</v>
      </c>
      <c r="D28" s="549" t="str">
        <f>IF(A28="SERVIÇO",VLOOKUP(B28,SERVIÇOS!$A$6:$E$7697,5,0),IF(A28="INSUMO",VLOOKUP(B28,INSUMOS!$A$6:$E$4845,5,0),IF(A28="COTAÇÃO",VLOOKUP(B28,'014-22-cotação'!$A$9:$J$138,10,0))))</f>
        <v>EQUIP.</v>
      </c>
      <c r="E28" s="549" t="str">
        <f>IF(A28="SERVIÇO",VLOOKUP(B28,SERVIÇOS!$A$6:$D$7697,3,0),IF(A28="INSUMO",VLOOKUP(B28,INSUMOS!$A$6:$D$4845,3,0),IF(A28="COTAÇÃO",VLOOKUP(B28,'014-22-cotação'!$A$9:$I$138,4,0))))</f>
        <v>CHP</v>
      </c>
      <c r="F28" s="549">
        <v>0.65720000000000001</v>
      </c>
      <c r="G28" s="550">
        <f>IF(A28="SERVIÇO",VLOOKUP(B28,SERVIÇOS!$A$6:$D$7697,4,0),IF(A28="INSUMO",VLOOKUP(B28,INSUMOS!$A$6:$D$4845,4,0),IF(A28="COTAÇÃO",VLOOKUP(B28,'014-22-cotação'!$A$9:$I$138,3,0))))</f>
        <v>5.03</v>
      </c>
      <c r="H28" s="561">
        <f t="shared" si="1"/>
        <v>3.3</v>
      </c>
      <c r="J28" s="375"/>
    </row>
    <row r="29" spans="1:10" s="126" customFormat="1" ht="51" customHeight="1" x14ac:dyDescent="0.2">
      <c r="A29" s="398" t="s">
        <v>1120</v>
      </c>
      <c r="B29" s="207">
        <v>89226</v>
      </c>
      <c r="C29" s="548" t="str">
        <f>IF(A29="SERVIÇO",VLOOKUP(B29,SERVIÇOS!$A$6:$D$7697,2,0),IF(A29="INSUMO",VLOOKUP(B29,INSUMOS!$A$6:$D$4845,2,0),IF(A29="COTAÇÃO",VLOOKUP(B29,'014-22-cotação'!$A$9:$I$138,2,0))))</f>
        <v>BETONEIRA CAPACIDADE NOMINAL DE 600 L, CAPACIDADE DE MISTURA 360 L, MOTOR ELÉTRICO TRIFÁSICO POTÊNCIA DE 4 CV, SEM CARREGADOR - CHI DIURNO. AF_05/2023</v>
      </c>
      <c r="D29" s="549" t="str">
        <f>IF(A29="SERVIÇO",VLOOKUP(B29,SERVIÇOS!$A$6:$E$7697,5,0),IF(A29="INSUMO",VLOOKUP(B29,INSUMOS!$A$6:$E$4845,5,0),IF(A29="COTAÇÃO",VLOOKUP(B29,'014-22-cotação'!$A$9:$J$138,10,0))))</f>
        <v>EQUIP.</v>
      </c>
      <c r="E29" s="549" t="str">
        <f>IF(A29="SERVIÇO",VLOOKUP(B29,SERVIÇOS!$A$6:$D$7697,3,0),IF(A29="INSUMO",VLOOKUP(B29,INSUMOS!$A$6:$D$4845,3,0),IF(A29="COTAÇÃO",VLOOKUP(B29,'014-22-cotação'!$A$9:$I$138,4,0))))</f>
        <v>CHI</v>
      </c>
      <c r="F29" s="549">
        <v>0.61970000000000003</v>
      </c>
      <c r="G29" s="550">
        <f>IF(A29="SERVIÇO",VLOOKUP(B29,SERVIÇOS!$A$6:$D$7697,4,0),IF(A29="INSUMO",VLOOKUP(B29,INSUMOS!$A$6:$D$4845,4,0),IF(A29="COTAÇÃO",VLOOKUP(B29,'014-22-cotação'!$A$9:$I$138,3,0))))</f>
        <v>1.64</v>
      </c>
      <c r="H29" s="561">
        <f t="shared" si="1"/>
        <v>1.01</v>
      </c>
      <c r="J29" s="375"/>
    </row>
    <row r="30" spans="1:10" s="126" customFormat="1" ht="25.5" x14ac:dyDescent="0.2">
      <c r="A30" s="398" t="s">
        <v>12</v>
      </c>
      <c r="B30" s="207" t="s">
        <v>3438</v>
      </c>
      <c r="C30" s="548" t="str">
        <f>IF(A30="SERVIÇO",VLOOKUP(B30,SERVIÇOS!$A$6:$D$7697,2,0),IF(A30="INSUMO",VLOOKUP(B30,INSUMOS!$A$6:$D$4845,2,0),IF(A30="COTAÇÃO",VLOOKUP(B30,'014-22-cotação'!$A$9:$I$138,2,0))))</f>
        <v>PIGMENTO EM PÓ COR VERDE PARA CONCRETO</v>
      </c>
      <c r="D30" s="549" t="str">
        <f>IF(A30="SERVIÇO",VLOOKUP(B30,SERVIÇOS!$A$6:$E$7697,5,0),IF(A30="INSUMO",VLOOKUP(B30,INSUMOS!$A$6:$E$4845,5,0),IF(A30="COTAÇÃO",VLOOKUP(B30,'014-22-cotação'!$A$9:$J$138,10,0))))</f>
        <v>MAT.</v>
      </c>
      <c r="E30" s="549" t="str">
        <f>IF(A30="SERVIÇO",VLOOKUP(B30,SERVIÇOS!$A$6:$D$7697,3,0),IF(A30="INSUMO",VLOOKUP(B30,INSUMOS!$A$6:$D$4845,3,0),IF(A30="COTAÇÃO",VLOOKUP(B30,'014-22-cotação'!$A$9:$I$138,4,0))))</f>
        <v>KG</v>
      </c>
      <c r="F30" s="562">
        <f>F24*0.04</f>
        <v>13.006356</v>
      </c>
      <c r="G30" s="550">
        <f>IF(A30="SERVIÇO",VLOOKUP(B30,SERVIÇOS!$A$6:$D$7697,4,0),IF(A30="INSUMO",VLOOKUP(B30,INSUMOS!$A$6:$D$4845,4,0),IF(A30="COTAÇÃO",VLOOKUP(B30,'014-22-cotação'!$A$9:$I$138,3,0))))</f>
        <v>35.159999999999997</v>
      </c>
      <c r="H30" s="561">
        <f>TRUNC((F30*G30),2)</f>
        <v>457.3</v>
      </c>
      <c r="J30" s="375" t="s">
        <v>4463</v>
      </c>
    </row>
    <row r="31" spans="1:10" s="62" customFormat="1" ht="24.75" customHeight="1" x14ac:dyDescent="0.2">
      <c r="A31" s="199"/>
      <c r="B31" s="207" t="s">
        <v>109</v>
      </c>
      <c r="C31" s="643" t="s">
        <v>4457</v>
      </c>
      <c r="D31" s="644"/>
      <c r="E31" s="644"/>
      <c r="F31" s="644"/>
      <c r="G31" s="644"/>
      <c r="H31" s="384"/>
      <c r="J31" s="63"/>
    </row>
    <row r="32" spans="1:10" s="62" customFormat="1" ht="12.75" x14ac:dyDescent="0.2">
      <c r="A32" s="199"/>
      <c r="B32" s="208"/>
      <c r="C32" s="175"/>
      <c r="D32" s="176"/>
      <c r="E32" s="176"/>
      <c r="F32" s="176"/>
      <c r="G32" s="176"/>
      <c r="H32" s="176"/>
      <c r="J32" s="63"/>
    </row>
    <row r="33" spans="1:10" s="182" customFormat="1" ht="63.75" customHeight="1" x14ac:dyDescent="0.2">
      <c r="A33" s="264"/>
      <c r="B33" s="263" t="s">
        <v>3447</v>
      </c>
      <c r="C33" s="177" t="s">
        <v>4472</v>
      </c>
      <c r="D33" s="178" t="s">
        <v>101</v>
      </c>
      <c r="E33" s="178" t="s">
        <v>163</v>
      </c>
      <c r="F33" s="179"/>
      <c r="G33" s="180"/>
      <c r="H33" s="181">
        <f>SUM(H34:H41)</f>
        <v>1007.03</v>
      </c>
      <c r="J33" s="183"/>
    </row>
    <row r="34" spans="1:10" s="126" customFormat="1" ht="25.5" customHeight="1" x14ac:dyDescent="0.2">
      <c r="A34" s="398" t="s">
        <v>1122</v>
      </c>
      <c r="B34" s="207">
        <v>370</v>
      </c>
      <c r="C34" s="548" t="str">
        <f>IF(A34="SERVIÇO",VLOOKUP(B34,SERVIÇOS!$A$6:$D$7697,2,0),IF(A34="INSUMO",VLOOKUP(B34,INSUMOS!$A$6:$D$4845,2,0),IF(A34="COTAÇÃO",VLOOKUP(B34,'014-22-cotação'!$A$9:$I$138,2,0))))</f>
        <v xml:space="preserve">AREIA MEDIA - POSTO JAZIDA/FORNECEDOR (RETIRADO NA JAZIDA, SEM TRANSPORTE)                                                                                                                                                                                                                                                                                                                                                                                                                                </v>
      </c>
      <c r="D34" s="549" t="str">
        <f>IF(A34="SERVIÇO",VLOOKUP(B34,SERVIÇOS!$A$6:$E$7697,5,0),IF(A34="INSUMO",VLOOKUP(B34,INSUMOS!$A$6:$E$4845,5,0),IF(A34="COTAÇÃO",VLOOKUP(B34,'014-22-cotação'!$A$9:$J$138,10,0))))</f>
        <v>MAT.</v>
      </c>
      <c r="E34" s="549" t="str">
        <f>IF(A34="SERVIÇO",VLOOKUP(B34,SERVIÇOS!$A$6:$D$7697,3,0),IF(A34="INSUMO",VLOOKUP(B34,INSUMOS!$A$6:$D$4845,3,0),IF(A34="COTAÇÃO",VLOOKUP(B34,'014-22-cotação'!$A$9:$I$138,4,0))))</f>
        <v xml:space="preserve">M3    </v>
      </c>
      <c r="F34" s="549">
        <v>0.76090000000000002</v>
      </c>
      <c r="G34" s="550">
        <f>IF(A34="SERVIÇO",VLOOKUP(B34,SERVIÇOS!$A$6:$D$7697,4,0),IF(A34="INSUMO",VLOOKUP(B34,INSUMOS!$A$6:$D$4845,4,0),IF(A34="COTAÇÃO",VLOOKUP(B34,'014-22-cotação'!$A$9:$I$138,3,0))))</f>
        <v>200</v>
      </c>
      <c r="H34" s="561">
        <f t="shared" ref="H34:H40" si="2">TRUNC((F34*G34),2)</f>
        <v>152.18</v>
      </c>
      <c r="J34" s="375"/>
    </row>
    <row r="35" spans="1:10" s="126" customFormat="1" ht="12.75" customHeight="1" x14ac:dyDescent="0.2">
      <c r="A35" s="398" t="s">
        <v>1122</v>
      </c>
      <c r="B35" s="207">
        <v>1379</v>
      </c>
      <c r="C35" s="548" t="str">
        <f>IF(A35="SERVIÇO",VLOOKUP(B35,SERVIÇOS!$A$6:$D$7697,2,0),IF(A35="INSUMO",VLOOKUP(B35,INSUMOS!$A$6:$D$4845,2,0),IF(A35="COTAÇÃO",VLOOKUP(B35,'014-22-cotação'!$A$9:$I$138,2,0))))</f>
        <v xml:space="preserve">CIMENTO PORTLAND COMPOSTO CP II-32                                                                                                                                                                                                                                                                                                                                                                                                                                                                        </v>
      </c>
      <c r="D35" s="549" t="str">
        <f>IF(A35="SERVIÇO",VLOOKUP(B35,SERVIÇOS!$A$6:$E$7697,5,0),IF(A35="INSUMO",VLOOKUP(B35,INSUMOS!$A$6:$E$4845,5,0),IF(A35="COTAÇÃO",VLOOKUP(B35,'014-22-cotação'!$A$9:$J$138,10,0))))</f>
        <v>MAT.</v>
      </c>
      <c r="E35" s="549" t="str">
        <f>IF(A35="SERVIÇO",VLOOKUP(B35,SERVIÇOS!$A$6:$D$7697,3,0),IF(A35="INSUMO",VLOOKUP(B35,INSUMOS!$A$6:$D$4845,3,0),IF(A35="COTAÇÃO",VLOOKUP(B35,'014-22-cotação'!$A$9:$I$138,4,0))))</f>
        <v xml:space="preserve">KG    </v>
      </c>
      <c r="F35" s="549">
        <v>325.15890000000002</v>
      </c>
      <c r="G35" s="550">
        <f>IF(A35="SERVIÇO",VLOOKUP(B35,SERVIÇOS!$A$6:$D$7697,4,0),IF(A35="INSUMO",VLOOKUP(B35,INSUMOS!$A$6:$D$4845,4,0),IF(A35="COTAÇÃO",VLOOKUP(B35,'014-22-cotação'!$A$9:$I$138,3,0))))</f>
        <v>0.64</v>
      </c>
      <c r="H35" s="561">
        <f t="shared" si="2"/>
        <v>208.1</v>
      </c>
      <c r="J35" s="375"/>
    </row>
    <row r="36" spans="1:10" s="126" customFormat="1" ht="25.5" customHeight="1" x14ac:dyDescent="0.2">
      <c r="A36" s="398" t="s">
        <v>1122</v>
      </c>
      <c r="B36" s="207">
        <v>4721</v>
      </c>
      <c r="C36" s="548" t="str">
        <f>IF(A36="SERVIÇO",VLOOKUP(B36,SERVIÇOS!$A$6:$D$7697,2,0),IF(A36="INSUMO",VLOOKUP(B36,INSUMOS!$A$6:$D$4845,2,0),IF(A36="COTAÇÃO",VLOOKUP(B36,'014-22-cotação'!$A$9:$I$138,2,0))))</f>
        <v xml:space="preserve">PEDRA BRITADA N. 1 (9,5 A 19 MM) POSTO PEDREIRA/FORNECEDOR, SEM FRETE                                                                                                                                                                                                                                                                                                                                                                                                                                     </v>
      </c>
      <c r="D36" s="549" t="str">
        <f>IF(A36="SERVIÇO",VLOOKUP(B36,SERVIÇOS!$A$6:$E$7697,5,0),IF(A36="INSUMO",VLOOKUP(B36,INSUMOS!$A$6:$E$4845,5,0),IF(A36="COTAÇÃO",VLOOKUP(B36,'014-22-cotação'!$A$9:$J$138,10,0))))</f>
        <v>MAT.</v>
      </c>
      <c r="E36" s="549" t="str">
        <f>IF(A36="SERVIÇO",VLOOKUP(B36,SERVIÇOS!$A$6:$D$7697,3,0),IF(A36="INSUMO",VLOOKUP(B36,INSUMOS!$A$6:$D$4845,3,0),IF(A36="COTAÇÃO",VLOOKUP(B36,'014-22-cotação'!$A$9:$I$138,4,0))))</f>
        <v xml:space="preserve">M3    </v>
      </c>
      <c r="F36" s="549">
        <v>0.59119999999999995</v>
      </c>
      <c r="G36" s="550">
        <f>IF(A36="SERVIÇO",VLOOKUP(B36,SERVIÇOS!$A$6:$D$7697,4,0),IF(A36="INSUMO",VLOOKUP(B36,INSUMOS!$A$6:$D$4845,4,0),IF(A36="COTAÇÃO",VLOOKUP(B36,'014-22-cotação'!$A$9:$I$138,3,0))))</f>
        <v>177.42</v>
      </c>
      <c r="H36" s="561">
        <f t="shared" si="2"/>
        <v>104.89</v>
      </c>
      <c r="J36" s="375"/>
    </row>
    <row r="37" spans="1:10" s="126" customFormat="1" ht="25.5" customHeight="1" x14ac:dyDescent="0.2">
      <c r="A37" s="398" t="s">
        <v>1120</v>
      </c>
      <c r="B37" s="207">
        <v>88316</v>
      </c>
      <c r="C37" s="548" t="str">
        <f>IF(A37="SERVIÇO",VLOOKUP(B37,SERVIÇOS!$A$6:$D$7697,2,0),IF(A37="INSUMO",VLOOKUP(B37,INSUMOS!$A$6:$D$4845,2,0),IF(A37="COTAÇÃO",VLOOKUP(B37,'014-22-cotação'!$A$9:$I$138,2,0))))</f>
        <v>SERVENTE COM ENCARGOS COMPLEMENTARES</v>
      </c>
      <c r="D37" s="549" t="str">
        <f>IF(A37="SERVIÇO",VLOOKUP(B37,SERVIÇOS!$A$6:$E$7697,5,0),IF(A37="INSUMO",VLOOKUP(B37,INSUMOS!$A$6:$E$4845,5,0),IF(A37="COTAÇÃO",VLOOKUP(B37,'014-22-cotação'!$A$9:$J$138,10,0))))</f>
        <v>M.O</v>
      </c>
      <c r="E37" s="549" t="str">
        <f>IF(A37="SERVIÇO",VLOOKUP(B37,SERVIÇOS!$A$6:$D$7697,3,0),IF(A37="INSUMO",VLOOKUP(B37,INSUMOS!$A$6:$D$4845,3,0),IF(A37="COTAÇÃO",VLOOKUP(B37,'014-22-cotação'!$A$9:$I$138,4,0))))</f>
        <v>H</v>
      </c>
      <c r="F37" s="549">
        <v>2.0266999999999999</v>
      </c>
      <c r="G37" s="550">
        <f>IF(A37="SERVIÇO",VLOOKUP(B37,SERVIÇOS!$A$6:$D$7697,4,0),IF(A37="INSUMO",VLOOKUP(B37,INSUMOS!$A$6:$D$4845,4,0),IF(A37="COTAÇÃO",VLOOKUP(B37,'014-22-cotação'!$A$9:$I$138,3,0))))</f>
        <v>23.4</v>
      </c>
      <c r="H37" s="561">
        <f t="shared" si="2"/>
        <v>47.42</v>
      </c>
      <c r="J37" s="375"/>
    </row>
    <row r="38" spans="1:10" s="126" customFormat="1" ht="38.25" customHeight="1" x14ac:dyDescent="0.2">
      <c r="A38" s="398" t="s">
        <v>1120</v>
      </c>
      <c r="B38" s="207">
        <v>88377</v>
      </c>
      <c r="C38" s="548" t="str">
        <f>IF(A38="SERVIÇO",VLOOKUP(B38,SERVIÇOS!$A$6:$D$7697,2,0),IF(A38="INSUMO",VLOOKUP(B38,INSUMOS!$A$6:$D$4845,2,0),IF(A38="COTAÇÃO",VLOOKUP(B38,'014-22-cotação'!$A$9:$I$138,2,0))))</f>
        <v>OPERADOR DE BETONEIRA ESTACIONÁRIA/MISTURADOR COM ENCARGOS COMPLEMENTARES</v>
      </c>
      <c r="D38" s="549" t="str">
        <f>IF(A38="SERVIÇO",VLOOKUP(B38,SERVIÇOS!$A$6:$E$7697,5,0),IF(A38="INSUMO",VLOOKUP(B38,INSUMOS!$A$6:$E$4845,5,0),IF(A38="COTAÇÃO",VLOOKUP(B38,'014-22-cotação'!$A$9:$J$138,10,0))))</f>
        <v>M.O</v>
      </c>
      <c r="E38" s="549" t="str">
        <f>IF(A38="SERVIÇO",VLOOKUP(B38,SERVIÇOS!$A$6:$D$7697,3,0),IF(A38="INSUMO",VLOOKUP(B38,INSUMOS!$A$6:$D$4845,3,0),IF(A38="COTAÇÃO",VLOOKUP(B38,'014-22-cotação'!$A$9:$I$138,4,0))))</f>
        <v>H</v>
      </c>
      <c r="F38" s="549">
        <v>1.2767999999999999</v>
      </c>
      <c r="G38" s="550">
        <f>IF(A38="SERVIÇO",VLOOKUP(B38,SERVIÇOS!$A$6:$D$7697,4,0),IF(A38="INSUMO",VLOOKUP(B38,INSUMOS!$A$6:$D$4845,4,0),IF(A38="COTAÇÃO",VLOOKUP(B38,'014-22-cotação'!$A$9:$I$138,3,0))))</f>
        <v>25.72</v>
      </c>
      <c r="H38" s="561">
        <f t="shared" si="2"/>
        <v>32.83</v>
      </c>
      <c r="J38" s="375"/>
    </row>
    <row r="39" spans="1:10" s="126" customFormat="1" ht="51" customHeight="1" x14ac:dyDescent="0.2">
      <c r="A39" s="398" t="s">
        <v>1120</v>
      </c>
      <c r="B39" s="207">
        <v>89225</v>
      </c>
      <c r="C39" s="548" t="str">
        <f>IF(A39="SERVIÇO",VLOOKUP(B39,SERVIÇOS!$A$6:$D$7697,2,0),IF(A39="INSUMO",VLOOKUP(B39,INSUMOS!$A$6:$D$4845,2,0),IF(A39="COTAÇÃO",VLOOKUP(B39,'014-22-cotação'!$A$9:$I$138,2,0))))</f>
        <v>BETONEIRA CAPACIDADE NOMINAL DE 600 L, CAPACIDADE DE MISTURA 360 L, MOTOR ELÉTRICO TRIFÁSICO POTÊNCIA DE 4 CV, SEM CARREGADOR - CHP DIURNO. AF_05/2023</v>
      </c>
      <c r="D39" s="549" t="str">
        <f>IF(A39="SERVIÇO",VLOOKUP(B39,SERVIÇOS!$A$6:$E$7697,5,0),IF(A39="INSUMO",VLOOKUP(B39,INSUMOS!$A$6:$E$4845,5,0),IF(A39="COTAÇÃO",VLOOKUP(B39,'014-22-cotação'!$A$9:$J$138,10,0))))</f>
        <v>EQUIP.</v>
      </c>
      <c r="E39" s="549" t="str">
        <f>IF(A39="SERVIÇO",VLOOKUP(B39,SERVIÇOS!$A$6:$D$7697,3,0),IF(A39="INSUMO",VLOOKUP(B39,INSUMOS!$A$6:$D$4845,3,0),IF(A39="COTAÇÃO",VLOOKUP(B39,'014-22-cotação'!$A$9:$I$138,4,0))))</f>
        <v>CHP</v>
      </c>
      <c r="F39" s="549">
        <v>0.65720000000000001</v>
      </c>
      <c r="G39" s="550">
        <f>IF(A39="SERVIÇO",VLOOKUP(B39,SERVIÇOS!$A$6:$D$7697,4,0),IF(A39="INSUMO",VLOOKUP(B39,INSUMOS!$A$6:$D$4845,4,0),IF(A39="COTAÇÃO",VLOOKUP(B39,'014-22-cotação'!$A$9:$I$138,3,0))))</f>
        <v>5.03</v>
      </c>
      <c r="H39" s="561">
        <f t="shared" si="2"/>
        <v>3.3</v>
      </c>
      <c r="J39" s="375"/>
    </row>
    <row r="40" spans="1:10" s="126" customFormat="1" ht="51" customHeight="1" x14ac:dyDescent="0.2">
      <c r="A40" s="398" t="s">
        <v>1120</v>
      </c>
      <c r="B40" s="207">
        <v>89226</v>
      </c>
      <c r="C40" s="548" t="str">
        <f>IF(A40="SERVIÇO",VLOOKUP(B40,SERVIÇOS!$A$6:$D$7697,2,0),IF(A40="INSUMO",VLOOKUP(B40,INSUMOS!$A$6:$D$4845,2,0),IF(A40="COTAÇÃO",VLOOKUP(B40,'014-22-cotação'!$A$9:$I$138,2,0))))</f>
        <v>BETONEIRA CAPACIDADE NOMINAL DE 600 L, CAPACIDADE DE MISTURA 360 L, MOTOR ELÉTRICO TRIFÁSICO POTÊNCIA DE 4 CV, SEM CARREGADOR - CHI DIURNO. AF_05/2023</v>
      </c>
      <c r="D40" s="549" t="str">
        <f>IF(A40="SERVIÇO",VLOOKUP(B40,SERVIÇOS!$A$6:$E$7697,5,0),IF(A40="INSUMO",VLOOKUP(B40,INSUMOS!$A$6:$E$4845,5,0),IF(A40="COTAÇÃO",VLOOKUP(B40,'014-22-cotação'!$A$9:$J$138,10,0))))</f>
        <v>EQUIP.</v>
      </c>
      <c r="E40" s="549" t="str">
        <f>IF(A40="SERVIÇO",VLOOKUP(B40,SERVIÇOS!$A$6:$D$7697,3,0),IF(A40="INSUMO",VLOOKUP(B40,INSUMOS!$A$6:$D$4845,3,0),IF(A40="COTAÇÃO",VLOOKUP(B40,'014-22-cotação'!$A$9:$I$138,4,0))))</f>
        <v>CHI</v>
      </c>
      <c r="F40" s="549">
        <v>0.61970000000000003</v>
      </c>
      <c r="G40" s="550">
        <f>IF(A40="SERVIÇO",VLOOKUP(B40,SERVIÇOS!$A$6:$D$7697,4,0),IF(A40="INSUMO",VLOOKUP(B40,INSUMOS!$A$6:$D$4845,4,0),IF(A40="COTAÇÃO",VLOOKUP(B40,'014-22-cotação'!$A$9:$I$138,3,0))))</f>
        <v>1.64</v>
      </c>
      <c r="H40" s="561">
        <f t="shared" si="2"/>
        <v>1.01</v>
      </c>
      <c r="J40" s="375"/>
    </row>
    <row r="41" spans="1:10" s="126" customFormat="1" ht="25.5" x14ac:dyDescent="0.2">
      <c r="A41" s="398" t="s">
        <v>12</v>
      </c>
      <c r="B41" s="207" t="s">
        <v>3439</v>
      </c>
      <c r="C41" s="548" t="str">
        <f>IF(A41="SERVIÇO",VLOOKUP(B41,SERVIÇOS!$A$6:$D$7697,2,0),IF(A41="INSUMO",VLOOKUP(B41,INSUMOS!$A$6:$D$4845,2,0),IF(A41="COTAÇÃO",VLOOKUP(B41,'014-22-cotação'!$A$9:$I$138,2,0))))</f>
        <v>PIGMENTO EM PÓ COR AZUL PARA CONCRETO</v>
      </c>
      <c r="D41" s="549" t="str">
        <f>IF(A41="SERVIÇO",VLOOKUP(B41,SERVIÇOS!$A$6:$E$7697,5,0),IF(A41="INSUMO",VLOOKUP(B41,INSUMOS!$A$6:$E$4845,5,0),IF(A41="COTAÇÃO",VLOOKUP(B41,'014-22-cotação'!$A$9:$J$138,10,0))))</f>
        <v>MAT.</v>
      </c>
      <c r="E41" s="549" t="str">
        <f>IF(A41="SERVIÇO",VLOOKUP(B41,SERVIÇOS!$A$6:$D$7697,3,0),IF(A41="INSUMO",VLOOKUP(B41,INSUMOS!$A$6:$D$4845,3,0),IF(A41="COTAÇÃO",VLOOKUP(B41,'014-22-cotação'!$A$9:$I$138,4,0))))</f>
        <v>KG</v>
      </c>
      <c r="F41" s="562">
        <f>F35*0.04</f>
        <v>13.006356</v>
      </c>
      <c r="G41" s="550">
        <f>IF(A41="SERVIÇO",VLOOKUP(B41,SERVIÇOS!$A$6:$D$7697,4,0),IF(A41="INSUMO",VLOOKUP(B41,INSUMOS!$A$6:$D$4845,4,0),IF(A41="COTAÇÃO",VLOOKUP(B41,'014-22-cotação'!$A$9:$I$138,3,0))))</f>
        <v>35.159999999999997</v>
      </c>
      <c r="H41" s="561">
        <f>TRUNC((F41*G41),2)</f>
        <v>457.3</v>
      </c>
      <c r="J41" s="375" t="s">
        <v>4463</v>
      </c>
    </row>
    <row r="42" spans="1:10" s="62" customFormat="1" ht="24.75" customHeight="1" x14ac:dyDescent="0.2">
      <c r="A42" s="199"/>
      <c r="B42" s="207" t="s">
        <v>109</v>
      </c>
      <c r="C42" s="643" t="s">
        <v>4457</v>
      </c>
      <c r="D42" s="644"/>
      <c r="E42" s="644"/>
      <c r="F42" s="644"/>
      <c r="G42" s="644"/>
      <c r="H42" s="384"/>
      <c r="J42" s="63"/>
    </row>
    <row r="43" spans="1:10" s="62" customFormat="1" ht="12.75" x14ac:dyDescent="0.2">
      <c r="A43" s="199"/>
      <c r="B43" s="208"/>
      <c r="C43" s="175"/>
      <c r="D43" s="176"/>
      <c r="E43" s="176"/>
      <c r="F43" s="176"/>
      <c r="G43" s="176"/>
      <c r="H43" s="176"/>
      <c r="J43" s="63"/>
    </row>
    <row r="44" spans="1:10" s="182" customFormat="1" ht="63.75" customHeight="1" x14ac:dyDescent="0.2">
      <c r="A44" s="264"/>
      <c r="B44" s="263" t="s">
        <v>3448</v>
      </c>
      <c r="C44" s="177" t="s">
        <v>4478</v>
      </c>
      <c r="D44" s="178" t="s">
        <v>101</v>
      </c>
      <c r="E44" s="178" t="s">
        <v>163</v>
      </c>
      <c r="F44" s="179"/>
      <c r="G44" s="180"/>
      <c r="H44" s="181">
        <f>SUM(H45:H52)</f>
        <v>1007.03</v>
      </c>
      <c r="J44" s="183"/>
    </row>
    <row r="45" spans="1:10" s="126" customFormat="1" ht="25.5" customHeight="1" x14ac:dyDescent="0.2">
      <c r="A45" s="398" t="s">
        <v>1122</v>
      </c>
      <c r="B45" s="207">
        <v>370</v>
      </c>
      <c r="C45" s="548" t="str">
        <f>IF(A45="SERVIÇO",VLOOKUP(B45,SERVIÇOS!$A$6:$D$7697,2,0),IF(A45="INSUMO",VLOOKUP(B45,INSUMOS!$A$6:$D$4845,2,0),IF(A45="COTAÇÃO",VLOOKUP(B45,'014-22-cotação'!$A$9:$I$138,2,0))))</f>
        <v xml:space="preserve">AREIA MEDIA - POSTO JAZIDA/FORNECEDOR (RETIRADO NA JAZIDA, SEM TRANSPORTE)                                                                                                                                                                                                                                                                                                                                                                                                                                </v>
      </c>
      <c r="D45" s="549" t="str">
        <f>IF(A45="SERVIÇO",VLOOKUP(B45,SERVIÇOS!$A$6:$E$7697,5,0),IF(A45="INSUMO",VLOOKUP(B45,INSUMOS!$A$6:$E$4845,5,0),IF(A45="COTAÇÃO",VLOOKUP(B45,'014-22-cotação'!$A$9:$J$138,10,0))))</f>
        <v>MAT.</v>
      </c>
      <c r="E45" s="549" t="str">
        <f>IF(A45="SERVIÇO",VLOOKUP(B45,SERVIÇOS!$A$6:$D$7697,3,0),IF(A45="INSUMO",VLOOKUP(B45,INSUMOS!$A$6:$D$4845,3,0),IF(A45="COTAÇÃO",VLOOKUP(B45,'014-22-cotação'!$A$9:$I$138,4,0))))</f>
        <v xml:space="preserve">M3    </v>
      </c>
      <c r="F45" s="549">
        <v>0.76090000000000002</v>
      </c>
      <c r="G45" s="550">
        <f>IF(A45="SERVIÇO",VLOOKUP(B45,SERVIÇOS!$A$6:$D$7697,4,0),IF(A45="INSUMO",VLOOKUP(B45,INSUMOS!$A$6:$D$4845,4,0),IF(A45="COTAÇÃO",VLOOKUP(B45,'014-22-cotação'!$A$9:$I$138,3,0))))</f>
        <v>200</v>
      </c>
      <c r="H45" s="561">
        <f t="shared" ref="H45:H51" si="3">TRUNC((F45*G45),2)</f>
        <v>152.18</v>
      </c>
      <c r="J45" s="375"/>
    </row>
    <row r="46" spans="1:10" s="126" customFormat="1" ht="12.75" customHeight="1" x14ac:dyDescent="0.2">
      <c r="A46" s="398" t="s">
        <v>1122</v>
      </c>
      <c r="B46" s="207">
        <v>1379</v>
      </c>
      <c r="C46" s="548" t="str">
        <f>IF(A46="SERVIÇO",VLOOKUP(B46,SERVIÇOS!$A$6:$D$7697,2,0),IF(A46="INSUMO",VLOOKUP(B46,INSUMOS!$A$6:$D$4845,2,0),IF(A46="COTAÇÃO",VLOOKUP(B46,'014-22-cotação'!$A$9:$I$138,2,0))))</f>
        <v xml:space="preserve">CIMENTO PORTLAND COMPOSTO CP II-32                                                                                                                                                                                                                                                                                                                                                                                                                                                                        </v>
      </c>
      <c r="D46" s="549" t="str">
        <f>IF(A46="SERVIÇO",VLOOKUP(B46,SERVIÇOS!$A$6:$E$7697,5,0),IF(A46="INSUMO",VLOOKUP(B46,INSUMOS!$A$6:$E$4845,5,0),IF(A46="COTAÇÃO",VLOOKUP(B46,'014-22-cotação'!$A$9:$J$138,10,0))))</f>
        <v>MAT.</v>
      </c>
      <c r="E46" s="549" t="str">
        <f>IF(A46="SERVIÇO",VLOOKUP(B46,SERVIÇOS!$A$6:$D$7697,3,0),IF(A46="INSUMO",VLOOKUP(B46,INSUMOS!$A$6:$D$4845,3,0),IF(A46="COTAÇÃO",VLOOKUP(B46,'014-22-cotação'!$A$9:$I$138,4,0))))</f>
        <v xml:space="preserve">KG    </v>
      </c>
      <c r="F46" s="549">
        <v>325.15890000000002</v>
      </c>
      <c r="G46" s="550">
        <f>IF(A46="SERVIÇO",VLOOKUP(B46,SERVIÇOS!$A$6:$D$7697,4,0),IF(A46="INSUMO",VLOOKUP(B46,INSUMOS!$A$6:$D$4845,4,0),IF(A46="COTAÇÃO",VLOOKUP(B46,'014-22-cotação'!$A$9:$I$138,3,0))))</f>
        <v>0.64</v>
      </c>
      <c r="H46" s="561">
        <f t="shared" si="3"/>
        <v>208.1</v>
      </c>
      <c r="J46" s="375"/>
    </row>
    <row r="47" spans="1:10" s="126" customFormat="1" ht="25.5" customHeight="1" x14ac:dyDescent="0.2">
      <c r="A47" s="398" t="s">
        <v>1122</v>
      </c>
      <c r="B47" s="207">
        <v>4721</v>
      </c>
      <c r="C47" s="548" t="str">
        <f>IF(A47="SERVIÇO",VLOOKUP(B47,SERVIÇOS!$A$6:$D$7697,2,0),IF(A47="INSUMO",VLOOKUP(B47,INSUMOS!$A$6:$D$4845,2,0),IF(A47="COTAÇÃO",VLOOKUP(B47,'014-22-cotação'!$A$9:$I$138,2,0))))</f>
        <v xml:space="preserve">PEDRA BRITADA N. 1 (9,5 A 19 MM) POSTO PEDREIRA/FORNECEDOR, SEM FRETE                                                                                                                                                                                                                                                                                                                                                                                                                                     </v>
      </c>
      <c r="D47" s="549" t="str">
        <f>IF(A47="SERVIÇO",VLOOKUP(B47,SERVIÇOS!$A$6:$E$7697,5,0),IF(A47="INSUMO",VLOOKUP(B47,INSUMOS!$A$6:$E$4845,5,0),IF(A47="COTAÇÃO",VLOOKUP(B47,'014-22-cotação'!$A$9:$J$138,10,0))))</f>
        <v>MAT.</v>
      </c>
      <c r="E47" s="549" t="str">
        <f>IF(A47="SERVIÇO",VLOOKUP(B47,SERVIÇOS!$A$6:$D$7697,3,0),IF(A47="INSUMO",VLOOKUP(B47,INSUMOS!$A$6:$D$4845,3,0),IF(A47="COTAÇÃO",VLOOKUP(B47,'014-22-cotação'!$A$9:$I$138,4,0))))</f>
        <v xml:space="preserve">M3    </v>
      </c>
      <c r="F47" s="549">
        <v>0.59119999999999995</v>
      </c>
      <c r="G47" s="550">
        <f>IF(A47="SERVIÇO",VLOOKUP(B47,SERVIÇOS!$A$6:$D$7697,4,0),IF(A47="INSUMO",VLOOKUP(B47,INSUMOS!$A$6:$D$4845,4,0),IF(A47="COTAÇÃO",VLOOKUP(B47,'014-22-cotação'!$A$9:$I$138,3,0))))</f>
        <v>177.42</v>
      </c>
      <c r="H47" s="561">
        <f t="shared" si="3"/>
        <v>104.89</v>
      </c>
      <c r="J47" s="375"/>
    </row>
    <row r="48" spans="1:10" s="126" customFormat="1" ht="25.5" customHeight="1" x14ac:dyDescent="0.2">
      <c r="A48" s="398" t="s">
        <v>1120</v>
      </c>
      <c r="B48" s="207">
        <v>88316</v>
      </c>
      <c r="C48" s="548" t="str">
        <f>IF(A48="SERVIÇO",VLOOKUP(B48,SERVIÇOS!$A$6:$D$7697,2,0),IF(A48="INSUMO",VLOOKUP(B48,INSUMOS!$A$6:$D$4845,2,0),IF(A48="COTAÇÃO",VLOOKUP(B48,'014-22-cotação'!$A$9:$I$138,2,0))))</f>
        <v>SERVENTE COM ENCARGOS COMPLEMENTARES</v>
      </c>
      <c r="D48" s="549" t="str">
        <f>IF(A48="SERVIÇO",VLOOKUP(B48,SERVIÇOS!$A$6:$E$7697,5,0),IF(A48="INSUMO",VLOOKUP(B48,INSUMOS!$A$6:$E$4845,5,0),IF(A48="COTAÇÃO",VLOOKUP(B48,'014-22-cotação'!$A$9:$J$138,10,0))))</f>
        <v>M.O</v>
      </c>
      <c r="E48" s="549" t="str">
        <f>IF(A48="SERVIÇO",VLOOKUP(B48,SERVIÇOS!$A$6:$D$7697,3,0),IF(A48="INSUMO",VLOOKUP(B48,INSUMOS!$A$6:$D$4845,3,0),IF(A48="COTAÇÃO",VLOOKUP(B48,'014-22-cotação'!$A$9:$I$138,4,0))))</f>
        <v>H</v>
      </c>
      <c r="F48" s="549">
        <v>2.0266999999999999</v>
      </c>
      <c r="G48" s="550">
        <f>IF(A48="SERVIÇO",VLOOKUP(B48,SERVIÇOS!$A$6:$D$7697,4,0),IF(A48="INSUMO",VLOOKUP(B48,INSUMOS!$A$6:$D$4845,4,0),IF(A48="COTAÇÃO",VLOOKUP(B48,'014-22-cotação'!$A$9:$I$138,3,0))))</f>
        <v>23.4</v>
      </c>
      <c r="H48" s="561">
        <f t="shared" si="3"/>
        <v>47.42</v>
      </c>
      <c r="J48" s="375"/>
    </row>
    <row r="49" spans="1:10" s="126" customFormat="1" ht="38.25" customHeight="1" x14ac:dyDescent="0.2">
      <c r="A49" s="398" t="s">
        <v>1120</v>
      </c>
      <c r="B49" s="207">
        <v>88377</v>
      </c>
      <c r="C49" s="548" t="str">
        <f>IF(A49="SERVIÇO",VLOOKUP(B49,SERVIÇOS!$A$6:$D$7697,2,0),IF(A49="INSUMO",VLOOKUP(B49,INSUMOS!$A$6:$D$4845,2,0),IF(A49="COTAÇÃO",VLOOKUP(B49,'014-22-cotação'!$A$9:$I$138,2,0))))</f>
        <v>OPERADOR DE BETONEIRA ESTACIONÁRIA/MISTURADOR COM ENCARGOS COMPLEMENTARES</v>
      </c>
      <c r="D49" s="549" t="str">
        <f>IF(A49="SERVIÇO",VLOOKUP(B49,SERVIÇOS!$A$6:$E$7697,5,0),IF(A49="INSUMO",VLOOKUP(B49,INSUMOS!$A$6:$E$4845,5,0),IF(A49="COTAÇÃO",VLOOKUP(B49,'014-22-cotação'!$A$9:$J$138,10,0))))</f>
        <v>M.O</v>
      </c>
      <c r="E49" s="549" t="str">
        <f>IF(A49="SERVIÇO",VLOOKUP(B49,SERVIÇOS!$A$6:$D$7697,3,0),IF(A49="INSUMO",VLOOKUP(B49,INSUMOS!$A$6:$D$4845,3,0),IF(A49="COTAÇÃO",VLOOKUP(B49,'014-22-cotação'!$A$9:$I$138,4,0))))</f>
        <v>H</v>
      </c>
      <c r="F49" s="549">
        <v>1.2767999999999999</v>
      </c>
      <c r="G49" s="550">
        <f>IF(A49="SERVIÇO",VLOOKUP(B49,SERVIÇOS!$A$6:$D$7697,4,0),IF(A49="INSUMO",VLOOKUP(B49,INSUMOS!$A$6:$D$4845,4,0),IF(A49="COTAÇÃO",VLOOKUP(B49,'014-22-cotação'!$A$9:$I$138,3,0))))</f>
        <v>25.72</v>
      </c>
      <c r="H49" s="561">
        <f t="shared" si="3"/>
        <v>32.83</v>
      </c>
      <c r="J49" s="375"/>
    </row>
    <row r="50" spans="1:10" s="126" customFormat="1" ht="51" customHeight="1" x14ac:dyDescent="0.2">
      <c r="A50" s="398" t="s">
        <v>1120</v>
      </c>
      <c r="B50" s="207">
        <v>89225</v>
      </c>
      <c r="C50" s="548" t="str">
        <f>IF(A50="SERVIÇO",VLOOKUP(B50,SERVIÇOS!$A$6:$D$7697,2,0),IF(A50="INSUMO",VLOOKUP(B50,INSUMOS!$A$6:$D$4845,2,0),IF(A50="COTAÇÃO",VLOOKUP(B50,'014-22-cotação'!$A$9:$I$138,2,0))))</f>
        <v>BETONEIRA CAPACIDADE NOMINAL DE 600 L, CAPACIDADE DE MISTURA 360 L, MOTOR ELÉTRICO TRIFÁSICO POTÊNCIA DE 4 CV, SEM CARREGADOR - CHP DIURNO. AF_05/2023</v>
      </c>
      <c r="D50" s="549" t="str">
        <f>IF(A50="SERVIÇO",VLOOKUP(B50,SERVIÇOS!$A$6:$E$7697,5,0),IF(A50="INSUMO",VLOOKUP(B50,INSUMOS!$A$6:$E$4845,5,0),IF(A50="COTAÇÃO",VLOOKUP(B50,'014-22-cotação'!$A$9:$J$138,10,0))))</f>
        <v>EQUIP.</v>
      </c>
      <c r="E50" s="549" t="str">
        <f>IF(A50="SERVIÇO",VLOOKUP(B50,SERVIÇOS!$A$6:$D$7697,3,0),IF(A50="INSUMO",VLOOKUP(B50,INSUMOS!$A$6:$D$4845,3,0),IF(A50="COTAÇÃO",VLOOKUP(B50,'014-22-cotação'!$A$9:$I$138,4,0))))</f>
        <v>CHP</v>
      </c>
      <c r="F50" s="549">
        <v>0.65720000000000001</v>
      </c>
      <c r="G50" s="550">
        <f>IF(A50="SERVIÇO",VLOOKUP(B50,SERVIÇOS!$A$6:$D$7697,4,0),IF(A50="INSUMO",VLOOKUP(B50,INSUMOS!$A$6:$D$4845,4,0),IF(A50="COTAÇÃO",VLOOKUP(B50,'014-22-cotação'!$A$9:$I$138,3,0))))</f>
        <v>5.03</v>
      </c>
      <c r="H50" s="561">
        <f t="shared" si="3"/>
        <v>3.3</v>
      </c>
      <c r="J50" s="375"/>
    </row>
    <row r="51" spans="1:10" s="126" customFormat="1" ht="51" customHeight="1" x14ac:dyDescent="0.2">
      <c r="A51" s="398" t="s">
        <v>1120</v>
      </c>
      <c r="B51" s="207">
        <v>89226</v>
      </c>
      <c r="C51" s="548" t="str">
        <f>IF(A51="SERVIÇO",VLOOKUP(B51,SERVIÇOS!$A$6:$D$7697,2,0),IF(A51="INSUMO",VLOOKUP(B51,INSUMOS!$A$6:$D$4845,2,0),IF(A51="COTAÇÃO",VLOOKUP(B51,'014-22-cotação'!$A$9:$I$138,2,0))))</f>
        <v>BETONEIRA CAPACIDADE NOMINAL DE 600 L, CAPACIDADE DE MISTURA 360 L, MOTOR ELÉTRICO TRIFÁSICO POTÊNCIA DE 4 CV, SEM CARREGADOR - CHI DIURNO. AF_05/2023</v>
      </c>
      <c r="D51" s="549" t="str">
        <f>IF(A51="SERVIÇO",VLOOKUP(B51,SERVIÇOS!$A$6:$E$7697,5,0),IF(A51="INSUMO",VLOOKUP(B51,INSUMOS!$A$6:$E$4845,5,0),IF(A51="COTAÇÃO",VLOOKUP(B51,'014-22-cotação'!$A$9:$J$138,10,0))))</f>
        <v>EQUIP.</v>
      </c>
      <c r="E51" s="549" t="str">
        <f>IF(A51="SERVIÇO",VLOOKUP(B51,SERVIÇOS!$A$6:$D$7697,3,0),IF(A51="INSUMO",VLOOKUP(B51,INSUMOS!$A$6:$D$4845,3,0),IF(A51="COTAÇÃO",VLOOKUP(B51,'014-22-cotação'!$A$9:$I$138,4,0))))</f>
        <v>CHI</v>
      </c>
      <c r="F51" s="549">
        <v>0.61970000000000003</v>
      </c>
      <c r="G51" s="550">
        <f>IF(A51="SERVIÇO",VLOOKUP(B51,SERVIÇOS!$A$6:$D$7697,4,0),IF(A51="INSUMO",VLOOKUP(B51,INSUMOS!$A$6:$D$4845,4,0),IF(A51="COTAÇÃO",VLOOKUP(B51,'014-22-cotação'!$A$9:$I$138,3,0))))</f>
        <v>1.64</v>
      </c>
      <c r="H51" s="561">
        <f t="shared" si="3"/>
        <v>1.01</v>
      </c>
      <c r="J51" s="375"/>
    </row>
    <row r="52" spans="1:10" s="126" customFormat="1" ht="25.5" x14ac:dyDescent="0.2">
      <c r="A52" s="398" t="s">
        <v>12</v>
      </c>
      <c r="B52" s="207" t="s">
        <v>3440</v>
      </c>
      <c r="C52" s="548" t="str">
        <f>IF(A52="SERVIÇO",VLOOKUP(B52,SERVIÇOS!$A$6:$D$7697,2,0),IF(A52="INSUMO",VLOOKUP(B52,INSUMOS!$A$6:$D$4845,2,0),IF(A52="COTAÇÃO",VLOOKUP(B52,'014-22-cotação'!$A$9:$I$138,2,0))))</f>
        <v>PIGMENTO EM PÓ COR AMARELO PARA CONCRETO</v>
      </c>
      <c r="D52" s="549" t="str">
        <f>IF(A52="SERVIÇO",VLOOKUP(B52,SERVIÇOS!$A$6:$E$7697,5,0),IF(A52="INSUMO",VLOOKUP(B52,INSUMOS!$A$6:$E$4845,5,0),IF(A52="COTAÇÃO",VLOOKUP(B52,'014-22-cotação'!$A$9:$J$138,10,0))))</f>
        <v>MAT.</v>
      </c>
      <c r="E52" s="549" t="str">
        <f>IF(A52="SERVIÇO",VLOOKUP(B52,SERVIÇOS!$A$6:$D$7697,3,0),IF(A52="INSUMO",VLOOKUP(B52,INSUMOS!$A$6:$D$4845,3,0),IF(A52="COTAÇÃO",VLOOKUP(B52,'014-22-cotação'!$A$9:$I$138,4,0))))</f>
        <v>KG</v>
      </c>
      <c r="F52" s="562">
        <f>F46*0.04</f>
        <v>13.006356</v>
      </c>
      <c r="G52" s="550">
        <f>IF(A52="SERVIÇO",VLOOKUP(B52,SERVIÇOS!$A$6:$D$7697,4,0),IF(A52="INSUMO",VLOOKUP(B52,INSUMOS!$A$6:$D$4845,4,0),IF(A52="COTAÇÃO",VLOOKUP(B52,'014-22-cotação'!$A$9:$I$138,3,0))))</f>
        <v>35.159999999999997</v>
      </c>
      <c r="H52" s="561">
        <f>TRUNC((F52*G52),2)</f>
        <v>457.3</v>
      </c>
      <c r="J52" s="375" t="s">
        <v>4463</v>
      </c>
    </row>
    <row r="53" spans="1:10" s="62" customFormat="1" ht="24.75" customHeight="1" x14ac:dyDescent="0.2">
      <c r="A53" s="199"/>
      <c r="B53" s="207" t="s">
        <v>109</v>
      </c>
      <c r="C53" s="643" t="s">
        <v>4457</v>
      </c>
      <c r="D53" s="644"/>
      <c r="E53" s="644"/>
      <c r="F53" s="644"/>
      <c r="G53" s="644"/>
      <c r="H53" s="384"/>
      <c r="J53" s="63"/>
    </row>
    <row r="54" spans="1:10" s="62" customFormat="1" ht="12.75" x14ac:dyDescent="0.2">
      <c r="A54" s="199"/>
      <c r="B54" s="208"/>
      <c r="C54" s="175"/>
      <c r="D54" s="176"/>
      <c r="E54" s="176"/>
      <c r="F54" s="176"/>
      <c r="G54" s="176"/>
      <c r="H54" s="176"/>
      <c r="J54" s="63"/>
    </row>
    <row r="55" spans="1:10" s="182" customFormat="1" ht="63.75" customHeight="1" x14ac:dyDescent="0.2">
      <c r="A55" s="264"/>
      <c r="B55" s="263" t="s">
        <v>3449</v>
      </c>
      <c r="C55" s="177" t="s">
        <v>4481</v>
      </c>
      <c r="D55" s="178" t="s">
        <v>101</v>
      </c>
      <c r="E55" s="178" t="s">
        <v>163</v>
      </c>
      <c r="F55" s="179"/>
      <c r="G55" s="180"/>
      <c r="H55" s="181">
        <f>SUM(H56:H63)</f>
        <v>1134.4899999999998</v>
      </c>
      <c r="J55" s="183"/>
    </row>
    <row r="56" spans="1:10" s="126" customFormat="1" ht="25.5" customHeight="1" x14ac:dyDescent="0.2">
      <c r="A56" s="398" t="s">
        <v>1122</v>
      </c>
      <c r="B56" s="207">
        <v>370</v>
      </c>
      <c r="C56" s="548" t="str">
        <f>IF(A56="SERVIÇO",VLOOKUP(B56,SERVIÇOS!$A$6:$D$7697,2,0),IF(A56="INSUMO",VLOOKUP(B56,INSUMOS!$A$6:$D$4845,2,0),IF(A56="COTAÇÃO",VLOOKUP(B56,'014-22-cotação'!$A$9:$I$138,2,0))))</f>
        <v xml:space="preserve">AREIA MEDIA - POSTO JAZIDA/FORNECEDOR (RETIRADO NA JAZIDA, SEM TRANSPORTE)                                                                                                                                                                                                                                                                                                                                                                                                                                </v>
      </c>
      <c r="D56" s="549" t="str">
        <f>IF(A56="SERVIÇO",VLOOKUP(B56,SERVIÇOS!$A$6:$E$7697,5,0),IF(A56="INSUMO",VLOOKUP(B56,INSUMOS!$A$6:$E$4845,5,0),IF(A56="COTAÇÃO",VLOOKUP(B56,'014-22-cotação'!$A$9:$J$138,10,0))))</f>
        <v>MAT.</v>
      </c>
      <c r="E56" s="549" t="str">
        <f>IF(A56="SERVIÇO",VLOOKUP(B56,SERVIÇOS!$A$6:$D$7697,3,0),IF(A56="INSUMO",VLOOKUP(B56,INSUMOS!$A$6:$D$4845,3,0),IF(A56="COTAÇÃO",VLOOKUP(B56,'014-22-cotação'!$A$9:$I$138,4,0))))</f>
        <v xml:space="preserve">M3    </v>
      </c>
      <c r="F56" s="549">
        <v>0.76090000000000002</v>
      </c>
      <c r="G56" s="550">
        <f>IF(A56="SERVIÇO",VLOOKUP(B56,SERVIÇOS!$A$6:$D$7697,4,0),IF(A56="INSUMO",VLOOKUP(B56,INSUMOS!$A$6:$D$4845,4,0),IF(A56="COTAÇÃO",VLOOKUP(B56,'014-22-cotação'!$A$9:$I$138,3,0))))</f>
        <v>200</v>
      </c>
      <c r="H56" s="561">
        <f t="shared" ref="H56:H62" si="4">TRUNC((F56*G56),2)</f>
        <v>152.18</v>
      </c>
      <c r="J56" s="375"/>
    </row>
    <row r="57" spans="1:10" s="126" customFormat="1" ht="12.75" customHeight="1" x14ac:dyDescent="0.2">
      <c r="A57" s="398" t="s">
        <v>1122</v>
      </c>
      <c r="B57" s="207">
        <v>1379</v>
      </c>
      <c r="C57" s="548" t="str">
        <f>IF(A57="SERVIÇO",VLOOKUP(B57,SERVIÇOS!$A$6:$D$7697,2,0),IF(A57="INSUMO",VLOOKUP(B57,INSUMOS!$A$6:$D$4845,2,0),IF(A57="COTAÇÃO",VLOOKUP(B57,'014-22-cotação'!$A$9:$I$138,2,0))))</f>
        <v xml:space="preserve">CIMENTO PORTLAND COMPOSTO CP II-32                                                                                                                                                                                                                                                                                                                                                                                                                                                                        </v>
      </c>
      <c r="D57" s="549" t="str">
        <f>IF(A57="SERVIÇO",VLOOKUP(B57,SERVIÇOS!$A$6:$E$7697,5,0),IF(A57="INSUMO",VLOOKUP(B57,INSUMOS!$A$6:$E$4845,5,0),IF(A57="COTAÇÃO",VLOOKUP(B57,'014-22-cotação'!$A$9:$J$138,10,0))))</f>
        <v>MAT.</v>
      </c>
      <c r="E57" s="549" t="str">
        <f>IF(A57="SERVIÇO",VLOOKUP(B57,SERVIÇOS!$A$6:$D$7697,3,0),IF(A57="INSUMO",VLOOKUP(B57,INSUMOS!$A$6:$D$4845,3,0),IF(A57="COTAÇÃO",VLOOKUP(B57,'014-22-cotação'!$A$9:$I$138,4,0))))</f>
        <v xml:space="preserve">KG    </v>
      </c>
      <c r="F57" s="549">
        <v>325.15890000000002</v>
      </c>
      <c r="G57" s="550">
        <f>IF(A57="SERVIÇO",VLOOKUP(B57,SERVIÇOS!$A$6:$D$7697,4,0),IF(A57="INSUMO",VLOOKUP(B57,INSUMOS!$A$6:$D$4845,4,0),IF(A57="COTAÇÃO",VLOOKUP(B57,'014-22-cotação'!$A$9:$I$138,3,0))))</f>
        <v>0.64</v>
      </c>
      <c r="H57" s="561">
        <f t="shared" si="4"/>
        <v>208.1</v>
      </c>
      <c r="J57" s="375"/>
    </row>
    <row r="58" spans="1:10" s="126" customFormat="1" ht="25.5" customHeight="1" x14ac:dyDescent="0.2">
      <c r="A58" s="398" t="s">
        <v>1122</v>
      </c>
      <c r="B58" s="207">
        <v>4721</v>
      </c>
      <c r="C58" s="548" t="str">
        <f>IF(A58="SERVIÇO",VLOOKUP(B58,SERVIÇOS!$A$6:$D$7697,2,0),IF(A58="INSUMO",VLOOKUP(B58,INSUMOS!$A$6:$D$4845,2,0),IF(A58="COTAÇÃO",VLOOKUP(B58,'014-22-cotação'!$A$9:$I$138,2,0))))</f>
        <v xml:space="preserve">PEDRA BRITADA N. 1 (9,5 A 19 MM) POSTO PEDREIRA/FORNECEDOR, SEM FRETE                                                                                                                                                                                                                                                                                                                                                                                                                                     </v>
      </c>
      <c r="D58" s="549" t="str">
        <f>IF(A58="SERVIÇO",VLOOKUP(B58,SERVIÇOS!$A$6:$E$7697,5,0),IF(A58="INSUMO",VLOOKUP(B58,INSUMOS!$A$6:$E$4845,5,0),IF(A58="COTAÇÃO",VLOOKUP(B58,'014-22-cotação'!$A$9:$J$138,10,0))))</f>
        <v>MAT.</v>
      </c>
      <c r="E58" s="549" t="str">
        <f>IF(A58="SERVIÇO",VLOOKUP(B58,SERVIÇOS!$A$6:$D$7697,3,0),IF(A58="INSUMO",VLOOKUP(B58,INSUMOS!$A$6:$D$4845,3,0),IF(A58="COTAÇÃO",VLOOKUP(B58,'014-22-cotação'!$A$9:$I$138,4,0))))</f>
        <v xml:space="preserve">M3    </v>
      </c>
      <c r="F58" s="549">
        <v>0.59119999999999995</v>
      </c>
      <c r="G58" s="550">
        <f>IF(A58="SERVIÇO",VLOOKUP(B58,SERVIÇOS!$A$6:$D$7697,4,0),IF(A58="INSUMO",VLOOKUP(B58,INSUMOS!$A$6:$D$4845,4,0),IF(A58="COTAÇÃO",VLOOKUP(B58,'014-22-cotação'!$A$9:$I$138,3,0))))</f>
        <v>177.42</v>
      </c>
      <c r="H58" s="561">
        <f t="shared" si="4"/>
        <v>104.89</v>
      </c>
      <c r="J58" s="375"/>
    </row>
    <row r="59" spans="1:10" s="126" customFormat="1" ht="25.5" customHeight="1" x14ac:dyDescent="0.2">
      <c r="A59" s="398" t="s">
        <v>1120</v>
      </c>
      <c r="B59" s="207">
        <v>88316</v>
      </c>
      <c r="C59" s="548" t="str">
        <f>IF(A59="SERVIÇO",VLOOKUP(B59,SERVIÇOS!$A$6:$D$7697,2,0),IF(A59="INSUMO",VLOOKUP(B59,INSUMOS!$A$6:$D$4845,2,0),IF(A59="COTAÇÃO",VLOOKUP(B59,'014-22-cotação'!$A$9:$I$138,2,0))))</f>
        <v>SERVENTE COM ENCARGOS COMPLEMENTARES</v>
      </c>
      <c r="D59" s="549" t="str">
        <f>IF(A59="SERVIÇO",VLOOKUP(B59,SERVIÇOS!$A$6:$E$7697,5,0),IF(A59="INSUMO",VLOOKUP(B59,INSUMOS!$A$6:$E$4845,5,0),IF(A59="COTAÇÃO",VLOOKUP(B59,'014-22-cotação'!$A$9:$J$138,10,0))))</f>
        <v>M.O</v>
      </c>
      <c r="E59" s="549" t="str">
        <f>IF(A59="SERVIÇO",VLOOKUP(B59,SERVIÇOS!$A$6:$D$7697,3,0),IF(A59="INSUMO",VLOOKUP(B59,INSUMOS!$A$6:$D$4845,3,0),IF(A59="COTAÇÃO",VLOOKUP(B59,'014-22-cotação'!$A$9:$I$138,4,0))))</f>
        <v>H</v>
      </c>
      <c r="F59" s="549">
        <v>2.0266999999999999</v>
      </c>
      <c r="G59" s="550">
        <f>IF(A59="SERVIÇO",VLOOKUP(B59,SERVIÇOS!$A$6:$D$7697,4,0),IF(A59="INSUMO",VLOOKUP(B59,INSUMOS!$A$6:$D$4845,4,0),IF(A59="COTAÇÃO",VLOOKUP(B59,'014-22-cotação'!$A$9:$I$138,3,0))))</f>
        <v>23.4</v>
      </c>
      <c r="H59" s="561">
        <f t="shared" si="4"/>
        <v>47.42</v>
      </c>
      <c r="J59" s="375"/>
    </row>
    <row r="60" spans="1:10" s="126" customFormat="1" ht="38.25" customHeight="1" x14ac:dyDescent="0.2">
      <c r="A60" s="398" t="s">
        <v>1120</v>
      </c>
      <c r="B60" s="207">
        <v>88377</v>
      </c>
      <c r="C60" s="548" t="str">
        <f>IF(A60="SERVIÇO",VLOOKUP(B60,SERVIÇOS!$A$6:$D$7697,2,0),IF(A60="INSUMO",VLOOKUP(B60,INSUMOS!$A$6:$D$4845,2,0),IF(A60="COTAÇÃO",VLOOKUP(B60,'014-22-cotação'!$A$9:$I$138,2,0))))</f>
        <v>OPERADOR DE BETONEIRA ESTACIONÁRIA/MISTURADOR COM ENCARGOS COMPLEMENTARES</v>
      </c>
      <c r="D60" s="549" t="str">
        <f>IF(A60="SERVIÇO",VLOOKUP(B60,SERVIÇOS!$A$6:$E$7697,5,0),IF(A60="INSUMO",VLOOKUP(B60,INSUMOS!$A$6:$E$4845,5,0),IF(A60="COTAÇÃO",VLOOKUP(B60,'014-22-cotação'!$A$9:$J$138,10,0))))</f>
        <v>M.O</v>
      </c>
      <c r="E60" s="549" t="str">
        <f>IF(A60="SERVIÇO",VLOOKUP(B60,SERVIÇOS!$A$6:$D$7697,3,0),IF(A60="INSUMO",VLOOKUP(B60,INSUMOS!$A$6:$D$4845,3,0),IF(A60="COTAÇÃO",VLOOKUP(B60,'014-22-cotação'!$A$9:$I$138,4,0))))</f>
        <v>H</v>
      </c>
      <c r="F60" s="549">
        <v>1.2767999999999999</v>
      </c>
      <c r="G60" s="550">
        <f>IF(A60="SERVIÇO",VLOOKUP(B60,SERVIÇOS!$A$6:$D$7697,4,0),IF(A60="INSUMO",VLOOKUP(B60,INSUMOS!$A$6:$D$4845,4,0),IF(A60="COTAÇÃO",VLOOKUP(B60,'014-22-cotação'!$A$9:$I$138,3,0))))</f>
        <v>25.72</v>
      </c>
      <c r="H60" s="561">
        <f t="shared" si="4"/>
        <v>32.83</v>
      </c>
      <c r="J60" s="375"/>
    </row>
    <row r="61" spans="1:10" s="126" customFormat="1" ht="51" customHeight="1" x14ac:dyDescent="0.2">
      <c r="A61" s="398" t="s">
        <v>1120</v>
      </c>
      <c r="B61" s="207">
        <v>89225</v>
      </c>
      <c r="C61" s="548" t="str">
        <f>IF(A61="SERVIÇO",VLOOKUP(B61,SERVIÇOS!$A$6:$D$7697,2,0),IF(A61="INSUMO",VLOOKUP(B61,INSUMOS!$A$6:$D$4845,2,0),IF(A61="COTAÇÃO",VLOOKUP(B61,'014-22-cotação'!$A$9:$I$138,2,0))))</f>
        <v>BETONEIRA CAPACIDADE NOMINAL DE 600 L, CAPACIDADE DE MISTURA 360 L, MOTOR ELÉTRICO TRIFÁSICO POTÊNCIA DE 4 CV, SEM CARREGADOR - CHP DIURNO. AF_05/2023</v>
      </c>
      <c r="D61" s="549" t="str">
        <f>IF(A61="SERVIÇO",VLOOKUP(B61,SERVIÇOS!$A$6:$E$7697,5,0),IF(A61="INSUMO",VLOOKUP(B61,INSUMOS!$A$6:$E$4845,5,0),IF(A61="COTAÇÃO",VLOOKUP(B61,'014-22-cotação'!$A$9:$J$138,10,0))))</f>
        <v>EQUIP.</v>
      </c>
      <c r="E61" s="549" t="str">
        <f>IF(A61="SERVIÇO",VLOOKUP(B61,SERVIÇOS!$A$6:$D$7697,3,0),IF(A61="INSUMO",VLOOKUP(B61,INSUMOS!$A$6:$D$4845,3,0),IF(A61="COTAÇÃO",VLOOKUP(B61,'014-22-cotação'!$A$9:$I$138,4,0))))</f>
        <v>CHP</v>
      </c>
      <c r="F61" s="549">
        <v>0.65720000000000001</v>
      </c>
      <c r="G61" s="550">
        <f>IF(A61="SERVIÇO",VLOOKUP(B61,SERVIÇOS!$A$6:$D$7697,4,0),IF(A61="INSUMO",VLOOKUP(B61,INSUMOS!$A$6:$D$4845,4,0),IF(A61="COTAÇÃO",VLOOKUP(B61,'014-22-cotação'!$A$9:$I$138,3,0))))</f>
        <v>5.03</v>
      </c>
      <c r="H61" s="561">
        <f t="shared" si="4"/>
        <v>3.3</v>
      </c>
      <c r="J61" s="375"/>
    </row>
    <row r="62" spans="1:10" s="126" customFormat="1" ht="51" customHeight="1" x14ac:dyDescent="0.2">
      <c r="A62" s="398" t="s">
        <v>1120</v>
      </c>
      <c r="B62" s="207">
        <v>89226</v>
      </c>
      <c r="C62" s="548" t="str">
        <f>IF(A62="SERVIÇO",VLOOKUP(B62,SERVIÇOS!$A$6:$D$7697,2,0),IF(A62="INSUMO",VLOOKUP(B62,INSUMOS!$A$6:$D$4845,2,0),IF(A62="COTAÇÃO",VLOOKUP(B62,'014-22-cotação'!$A$9:$I$138,2,0))))</f>
        <v>BETONEIRA CAPACIDADE NOMINAL DE 600 L, CAPACIDADE DE MISTURA 360 L, MOTOR ELÉTRICO TRIFÁSICO POTÊNCIA DE 4 CV, SEM CARREGADOR - CHI DIURNO. AF_05/2023</v>
      </c>
      <c r="D62" s="549" t="str">
        <f>IF(A62="SERVIÇO",VLOOKUP(B62,SERVIÇOS!$A$6:$E$7697,5,0),IF(A62="INSUMO",VLOOKUP(B62,INSUMOS!$A$6:$E$4845,5,0),IF(A62="COTAÇÃO",VLOOKUP(B62,'014-22-cotação'!$A$9:$J$138,10,0))))</f>
        <v>EQUIP.</v>
      </c>
      <c r="E62" s="549" t="str">
        <f>IF(A62="SERVIÇO",VLOOKUP(B62,SERVIÇOS!$A$6:$D$7697,3,0),IF(A62="INSUMO",VLOOKUP(B62,INSUMOS!$A$6:$D$4845,3,0),IF(A62="COTAÇÃO",VLOOKUP(B62,'014-22-cotação'!$A$9:$I$138,4,0))))</f>
        <v>CHI</v>
      </c>
      <c r="F62" s="549">
        <v>0.61970000000000003</v>
      </c>
      <c r="G62" s="550">
        <f>IF(A62="SERVIÇO",VLOOKUP(B62,SERVIÇOS!$A$6:$D$7697,4,0),IF(A62="INSUMO",VLOOKUP(B62,INSUMOS!$A$6:$D$4845,4,0),IF(A62="COTAÇÃO",VLOOKUP(B62,'014-22-cotação'!$A$9:$I$138,3,0))))</f>
        <v>1.64</v>
      </c>
      <c r="H62" s="561">
        <f t="shared" si="4"/>
        <v>1.01</v>
      </c>
      <c r="J62" s="375"/>
    </row>
    <row r="63" spans="1:10" s="126" customFormat="1" ht="25.5" x14ac:dyDescent="0.2">
      <c r="A63" s="398" t="s">
        <v>12</v>
      </c>
      <c r="B63" s="207" t="s">
        <v>3441</v>
      </c>
      <c r="C63" s="548" t="str">
        <f>IF(A63="SERVIÇO",VLOOKUP(B63,SERVIÇOS!$A$6:$D$7697,2,0),IF(A63="INSUMO",VLOOKUP(B63,INSUMOS!$A$6:$D$4845,2,0),IF(A63="COTAÇÃO",VLOOKUP(B63,'014-22-cotação'!$A$9:$I$138,2,0))))</f>
        <v>PIGMENTO EM PÓ COR VERMELHO PARA CONCRETO</v>
      </c>
      <c r="D63" s="549" t="str">
        <f>IF(A63="SERVIÇO",VLOOKUP(B63,SERVIÇOS!$A$6:$E$7697,5,0),IF(A63="INSUMO",VLOOKUP(B63,INSUMOS!$A$6:$E$4845,5,0),IF(A63="COTAÇÃO",VLOOKUP(B63,'014-22-cotação'!$A$9:$J$138,10,0))))</f>
        <v>MAT.</v>
      </c>
      <c r="E63" s="549" t="str">
        <f>IF(A63="SERVIÇO",VLOOKUP(B63,SERVIÇOS!$A$6:$D$7697,3,0),IF(A63="INSUMO",VLOOKUP(B63,INSUMOS!$A$6:$D$4845,3,0),IF(A63="COTAÇÃO",VLOOKUP(B63,'014-22-cotação'!$A$9:$I$138,4,0))))</f>
        <v>KG</v>
      </c>
      <c r="F63" s="562">
        <f>F57*0.04</f>
        <v>13.006356</v>
      </c>
      <c r="G63" s="550">
        <f>IF(A63="SERVIÇO",VLOOKUP(B63,SERVIÇOS!$A$6:$D$7697,4,0),IF(A63="INSUMO",VLOOKUP(B63,INSUMOS!$A$6:$D$4845,4,0),IF(A63="COTAÇÃO",VLOOKUP(B63,'014-22-cotação'!$A$9:$I$138,3,0))))</f>
        <v>44.96</v>
      </c>
      <c r="H63" s="561">
        <f>TRUNC((F63*G63),2)</f>
        <v>584.76</v>
      </c>
      <c r="J63" s="375" t="s">
        <v>4463</v>
      </c>
    </row>
    <row r="64" spans="1:10" s="62" customFormat="1" ht="24.75" customHeight="1" x14ac:dyDescent="0.2">
      <c r="A64" s="199"/>
      <c r="B64" s="207" t="s">
        <v>109</v>
      </c>
      <c r="C64" s="643" t="s">
        <v>4457</v>
      </c>
      <c r="D64" s="644"/>
      <c r="E64" s="644"/>
      <c r="F64" s="644"/>
      <c r="G64" s="644"/>
      <c r="H64" s="384"/>
      <c r="J64" s="63"/>
    </row>
    <row r="65" spans="1:20" s="62" customFormat="1" ht="12.75" x14ac:dyDescent="0.2">
      <c r="A65" s="318"/>
      <c r="B65" s="388"/>
      <c r="C65" s="386"/>
      <c r="D65" s="386"/>
      <c r="E65" s="386"/>
      <c r="F65" s="386"/>
      <c r="G65" s="386"/>
      <c r="H65" s="387"/>
      <c r="J65" s="63"/>
    </row>
    <row r="66" spans="1:20" s="62" customFormat="1" ht="25.5" x14ac:dyDescent="0.2">
      <c r="A66" s="318"/>
      <c r="B66" s="263" t="s">
        <v>3450</v>
      </c>
      <c r="C66" s="376" t="s">
        <v>4497</v>
      </c>
      <c r="D66" s="377" t="s">
        <v>101</v>
      </c>
      <c r="E66" s="377" t="s">
        <v>10</v>
      </c>
      <c r="F66" s="378"/>
      <c r="G66" s="379"/>
      <c r="H66" s="380">
        <f>ROUND(SUM(H67:H75),2)</f>
        <v>591.91</v>
      </c>
      <c r="I66" s="62" t="s">
        <v>12742</v>
      </c>
      <c r="J66" s="375"/>
      <c r="T66" s="126"/>
    </row>
    <row r="67" spans="1:20" s="126" customFormat="1" ht="63.75" x14ac:dyDescent="0.2">
      <c r="A67" s="398" t="s">
        <v>1120</v>
      </c>
      <c r="B67" s="207">
        <v>96542</v>
      </c>
      <c r="C67" s="548" t="str">
        <f>IF(A67="SERVIÇO",VLOOKUP(B67,SERVIÇOS!$A$6:$D$7697,2,0),IF(A67="INSUMO",VLOOKUP(B67,INSUMOS!$A$6:$D$4845,2,0),IF(A67="COTAÇÃO",VLOOKUP(B67,'014-22-cotação'!$A$9:$I$138,2,0))))</f>
        <v>FABRICAÇÃO, MONTAGEM E DESMONTAGEM DE FÔRMA PARA VIGA BALDRAME, EM CHAPA DE MADEIRA COMPENSADA RESINADA, E=17 MM, 4 UTILIZAÇÕES. AF_01/2024</v>
      </c>
      <c r="D67" s="549" t="str">
        <f>IF(A67="SERVIÇO",VLOOKUP(B67,SERVIÇOS!$A$6:$E$7697,5,0),IF(A67="INSUMO",VLOOKUP(B67,INSUMOS!$A$6:$E$4845,5,0),IF(A67="COTAÇÃO",VLOOKUP(B67,'014-22-cotação'!$A$9:$J$138,10,0))))</f>
        <v>SER.CG</v>
      </c>
      <c r="E67" s="549" t="str">
        <f>IF(A67="SERVIÇO",VLOOKUP(B67,SERVIÇOS!$A$6:$D$7697,3,0),IF(A67="INSUMO",VLOOKUP(B67,INSUMOS!$A$6:$D$4845,3,0),IF(A67="COTAÇÃO",VLOOKUP(B67,'014-22-cotação'!$A$9:$I$138,4,0))))</f>
        <v>M2</v>
      </c>
      <c r="F67" s="562">
        <f>((0.2*0.2)*2*0.83)+(0.8*0.8)+(0.8*4*0.1)</f>
        <v>1.0264000000000002</v>
      </c>
      <c r="G67" s="550">
        <f>IF(A67="SERVIÇO",VLOOKUP(B67,SERVIÇOS!$A$6:$D$7697,4,0),IF(A67="INSUMO",VLOOKUP(B67,INSUMOS!$A$6:$D$4845,4,0),IF(A67="COTAÇÃO",VLOOKUP(B67,'014-22-cotação'!$A$9:$I$138,3,0))))</f>
        <v>97.75</v>
      </c>
      <c r="H67" s="561">
        <f>TRUNC((F67*G67),2)</f>
        <v>100.33</v>
      </c>
      <c r="J67" s="375"/>
    </row>
    <row r="68" spans="1:20" s="126" customFormat="1" ht="25.5" x14ac:dyDescent="0.2">
      <c r="A68" s="398" t="s">
        <v>1120</v>
      </c>
      <c r="B68" s="207">
        <v>96543</v>
      </c>
      <c r="C68" s="548" t="str">
        <f>IF(A68="SERVIÇO",VLOOKUP(B68,SERVIÇOS!$A$6:$D$7697,2,0),IF(A68="INSUMO",VLOOKUP(B68,INSUMOS!$A$6:$D$4845,2,0),IF(A68="COTAÇÃO",VLOOKUP(B68,'014-22-cotação'!$A$9:$I$138,2,0))))</f>
        <v>ARMAÇÃO DE BLOCO UTILIZANDO AÇO CA-60 DE 5 MM - MONTAGEM. AF_01/2024</v>
      </c>
      <c r="D68" s="549" t="str">
        <f>IF(A68="SERVIÇO",VLOOKUP(B68,SERVIÇOS!$A$6:$E$7697,5,0),IF(A68="INSUMO",VLOOKUP(B68,INSUMOS!$A$6:$E$4845,5,0),IF(A68="COTAÇÃO",VLOOKUP(B68,'014-22-cotação'!$A$9:$J$138,10,0))))</f>
        <v>SER.CG</v>
      </c>
      <c r="E68" s="549" t="str">
        <f>IF(A68="SERVIÇO",VLOOKUP(B68,SERVIÇOS!$A$6:$D$7697,3,0),IF(A68="INSUMO",VLOOKUP(B68,INSUMOS!$A$6:$D$4845,3,0),IF(A68="COTAÇÃO",VLOOKUP(B68,'014-22-cotação'!$A$9:$I$138,4,0))))</f>
        <v>KG</v>
      </c>
      <c r="F68" s="562">
        <f>F70*20</f>
        <v>5.5440000000000005</v>
      </c>
      <c r="G68" s="550">
        <f>IF(A68="SERVIÇO",VLOOKUP(B68,SERVIÇOS!$A$6:$D$7697,4,0),IF(A68="INSUMO",VLOOKUP(B68,INSUMOS!$A$6:$D$4845,4,0),IF(A68="COTAÇÃO",VLOOKUP(B68,'014-22-cotação'!$A$9:$I$138,3,0))))</f>
        <v>20.76</v>
      </c>
      <c r="H68" s="561">
        <f t="shared" ref="H68:H74" si="5">TRUNC((F68*G68),2)</f>
        <v>115.09</v>
      </c>
      <c r="J68" s="375"/>
    </row>
    <row r="69" spans="1:20" s="126" customFormat="1" ht="25.5" x14ac:dyDescent="0.2">
      <c r="A69" s="398" t="s">
        <v>1120</v>
      </c>
      <c r="B69" s="207">
        <v>96544</v>
      </c>
      <c r="C69" s="548" t="str">
        <f>IF(A69="SERVIÇO",VLOOKUP(B69,SERVIÇOS!$A$6:$D$7697,2,0),IF(A69="INSUMO",VLOOKUP(B69,INSUMOS!$A$6:$D$4845,2,0),IF(A69="COTAÇÃO",VLOOKUP(B69,'014-22-cotação'!$A$9:$I$138,2,0))))</f>
        <v>ARMAÇÃO DE BLOCO UTILIZANDO AÇO CA-50 DE 6,3 MM - MONTAGEM. AF_01/2024</v>
      </c>
      <c r="D69" s="549" t="str">
        <f>IF(A69="SERVIÇO",VLOOKUP(B69,SERVIÇOS!$A$6:$E$7697,5,0),IF(A69="INSUMO",VLOOKUP(B69,INSUMOS!$A$6:$E$4845,5,0),IF(A69="COTAÇÃO",VLOOKUP(B69,'014-22-cotação'!$A$9:$J$138,10,0))))</f>
        <v>SER.CG</v>
      </c>
      <c r="E69" s="549" t="str">
        <f>IF(A69="SERVIÇO",VLOOKUP(B69,SERVIÇOS!$A$6:$D$7697,3,0),IF(A69="INSUMO",VLOOKUP(B69,INSUMOS!$A$6:$D$4845,3,0),IF(A69="COTAÇÃO",VLOOKUP(B69,'014-22-cotação'!$A$9:$I$138,4,0))))</f>
        <v>KG</v>
      </c>
      <c r="F69" s="562">
        <f>F70*15</f>
        <v>4.1580000000000004</v>
      </c>
      <c r="G69" s="550">
        <f>IF(A69="SERVIÇO",VLOOKUP(B69,SERVIÇOS!$A$6:$D$7697,4,0),IF(A69="INSUMO",VLOOKUP(B69,INSUMOS!$A$6:$D$4845,4,0),IF(A69="COTAÇÃO",VLOOKUP(B69,'014-22-cotação'!$A$9:$I$138,3,0))))</f>
        <v>18.41</v>
      </c>
      <c r="H69" s="561">
        <f t="shared" si="5"/>
        <v>76.540000000000006</v>
      </c>
      <c r="J69" s="375"/>
    </row>
    <row r="70" spans="1:20" s="126" customFormat="1" ht="51" x14ac:dyDescent="0.2">
      <c r="A70" s="398" t="s">
        <v>1120</v>
      </c>
      <c r="B70" s="207">
        <v>94965</v>
      </c>
      <c r="C70" s="548" t="str">
        <f>IF(A70="SERVIÇO",VLOOKUP(B70,SERVIÇOS!$A$6:$D$7697,2,0),IF(A70="INSUMO",VLOOKUP(B70,INSUMOS!$A$6:$D$4845,2,0),IF(A70="COTAÇÃO",VLOOKUP(B70,'014-22-cotação'!$A$9:$I$138,2,0))))</f>
        <v>CONCRETO FCK = 25MPA, TRAÇO 1:2,3:2,7 (EM MASSA SECA DE CIMENTO/ AREIA MÉDIA/ BRITA 1) - PREPARO MECÂNICO COM BETONEIRA 400 L. AF_05/2021</v>
      </c>
      <c r="D70" s="549" t="str">
        <f>IF(A70="SERVIÇO",VLOOKUP(B70,SERVIÇOS!$A$6:$E$7697,5,0),IF(A70="INSUMO",VLOOKUP(B70,INSUMOS!$A$6:$E$4845,5,0),IF(A70="COTAÇÃO",VLOOKUP(B70,'014-22-cotação'!$A$9:$J$138,10,0))))</f>
        <v>SER.CG</v>
      </c>
      <c r="E70" s="549" t="str">
        <f>IF(A70="SERVIÇO",VLOOKUP(B70,SERVIÇOS!$A$6:$D$7697,3,0),IF(A70="INSUMO",VLOOKUP(B70,INSUMOS!$A$6:$D$4845,3,0),IF(A70="COTAÇÃO",VLOOKUP(B70,'014-22-cotação'!$A$9:$I$138,4,0))))</f>
        <v>M3</v>
      </c>
      <c r="F70" s="562">
        <f>((0.6*0.6*0.5)+(0.83*0.2*0.2)+(0.8*0.8*0.1))</f>
        <v>0.2772</v>
      </c>
      <c r="G70" s="550">
        <f>IF(A70="SERVIÇO",VLOOKUP(B70,SERVIÇOS!$A$6:$D$7697,4,0),IF(A70="INSUMO",VLOOKUP(B70,INSUMOS!$A$6:$D$4845,4,0),IF(A70="COTAÇÃO",VLOOKUP(B70,'014-22-cotação'!$A$9:$I$138,3,0))))</f>
        <v>575.24</v>
      </c>
      <c r="H70" s="561">
        <f t="shared" si="5"/>
        <v>159.44999999999999</v>
      </c>
      <c r="J70" s="375"/>
    </row>
    <row r="71" spans="1:20" s="486" customFormat="1" ht="36.75" customHeight="1" x14ac:dyDescent="0.2">
      <c r="A71" s="475" t="s">
        <v>1120</v>
      </c>
      <c r="B71" s="207">
        <v>103670</v>
      </c>
      <c r="C71" s="548" t="str">
        <f>IF(A71="SERVIÇO",VLOOKUP(B71,SERVIÇOS!$A$6:$D$7697,2,0),IF(A71="INSUMO",VLOOKUP(B71,INSUMOS!$A$6:$D$4845,2,0),IF(A71="COTAÇÃO",VLOOKUP(B71,'014-22-cotação'!$A$9:$I$138,2,0))))</f>
        <v>LANÇAMENTO COM USO DE BALDES, ADENSAMENTO E ACABAMENTO DE CONCRETO EM ESTRUTURAS. AF_02/2022</v>
      </c>
      <c r="D71" s="549" t="str">
        <f>IF(A71="SERVIÇO",VLOOKUP(B71,SERVIÇOS!$A$6:$E$7697,5,0),IF(A71="INSUMO",VLOOKUP(B71,INSUMOS!$A$6:$E$4845,5,0),IF(A71="COTAÇÃO",VLOOKUP(B71,'014-22-cotação'!$A$9:$J$138,10,0))))</f>
        <v>SER.CG</v>
      </c>
      <c r="E71" s="549" t="str">
        <f>IF(A71="SERVIÇO",VLOOKUP(B71,SERVIÇOS!$A$6:$D$7697,3,0),IF(A71="INSUMO",VLOOKUP(B71,INSUMOS!$A$6:$D$4845,3,0),IF(A71="COTAÇÃO",VLOOKUP(B71,'014-22-cotação'!$A$9:$I$138,4,0))))</f>
        <v>M3</v>
      </c>
      <c r="F71" s="562">
        <f>F70</f>
        <v>0.2772</v>
      </c>
      <c r="G71" s="550">
        <f>IF(A71="SERVIÇO",VLOOKUP(B71,SERVIÇOS!$A$6:$D$7697,4,0),IF(A71="INSUMO",VLOOKUP(B71,INSUMOS!$A$6:$D$4845,4,0),IF(A71="COTAÇÃO",VLOOKUP(B71,'014-22-cotação'!$A$9:$I$138,3,0))))</f>
        <v>326.58999999999997</v>
      </c>
      <c r="H71" s="561">
        <f t="shared" si="5"/>
        <v>90.53</v>
      </c>
      <c r="J71" s="487"/>
    </row>
    <row r="72" spans="1:20" s="126" customFormat="1" ht="25.5" x14ac:dyDescent="0.2">
      <c r="A72" s="398" t="s">
        <v>1120</v>
      </c>
      <c r="B72" s="207">
        <v>102488</v>
      </c>
      <c r="C72" s="548" t="str">
        <f>IF(A72="SERVIÇO",VLOOKUP(B72,SERVIÇOS!$A$6:$D$7697,2,0),IF(A72="INSUMO",VLOOKUP(B72,INSUMOS!$A$6:$D$4845,2,0),IF(A72="COTAÇÃO",VLOOKUP(B72,'014-22-cotação'!$A$9:$I$138,2,0))))</f>
        <v>PREPARO DO PISO CIMENTADO PARA PINTURA - LIXAMENTO E LIMPEZA. AF_05/2021</v>
      </c>
      <c r="D72" s="549" t="str">
        <f>IF(A72="SERVIÇO",VLOOKUP(B72,SERVIÇOS!$A$6:$E$7697,5,0),IF(A72="INSUMO",VLOOKUP(B72,INSUMOS!$A$6:$E$4845,5,0),IF(A72="COTAÇÃO",VLOOKUP(B72,'014-22-cotação'!$A$9:$J$138,10,0))))</f>
        <v>SER.CG</v>
      </c>
      <c r="E72" s="549" t="str">
        <f>IF(A72="SERVIÇO",VLOOKUP(B72,SERVIÇOS!$A$6:$D$7697,3,0),IF(A72="INSUMO",VLOOKUP(B72,INSUMOS!$A$6:$D$4845,3,0),IF(A72="COTAÇÃO",VLOOKUP(B72,'014-22-cotação'!$A$9:$I$138,4,0))))</f>
        <v>M2</v>
      </c>
      <c r="F72" s="562">
        <f>F67</f>
        <v>1.0264000000000002</v>
      </c>
      <c r="G72" s="550">
        <f>IF(A72="SERVIÇO",VLOOKUP(B72,SERVIÇOS!$A$6:$D$7697,4,0),IF(A72="INSUMO",VLOOKUP(B72,INSUMOS!$A$6:$D$4845,4,0),IF(A72="COTAÇÃO",VLOOKUP(B72,'014-22-cotação'!$A$9:$I$138,3,0))))</f>
        <v>3.98</v>
      </c>
      <c r="H72" s="561">
        <f t="shared" si="5"/>
        <v>4.08</v>
      </c>
      <c r="J72" s="375"/>
    </row>
    <row r="73" spans="1:20" s="126" customFormat="1" ht="38.25" x14ac:dyDescent="0.2">
      <c r="A73" s="398" t="s">
        <v>1120</v>
      </c>
      <c r="B73" s="207">
        <v>102491</v>
      </c>
      <c r="C73" s="548" t="str">
        <f>IF(A73="SERVIÇO",VLOOKUP(B73,SERVIÇOS!$A$6:$D$7697,2,0),IF(A73="INSUMO",VLOOKUP(B73,INSUMOS!$A$6:$D$4845,2,0),IF(A73="COTAÇÃO",VLOOKUP(B73,'014-22-cotação'!$A$9:$I$138,2,0))))</f>
        <v>PINTURA DE PISO COM TINTA ACRÍLICA, APLICAÇÃO MANUAL, 2 DEMÃOS, INCLUSO FUNDO PREPARADOR. AF_05/2021</v>
      </c>
      <c r="D73" s="549" t="str">
        <f>IF(A73="SERVIÇO",VLOOKUP(B73,SERVIÇOS!$A$6:$E$7697,5,0),IF(A73="INSUMO",VLOOKUP(B73,INSUMOS!$A$6:$E$4845,5,0),IF(A73="COTAÇÃO",VLOOKUP(B73,'014-22-cotação'!$A$9:$J$138,10,0))))</f>
        <v>SER.CG</v>
      </c>
      <c r="E73" s="549" t="str">
        <f>IF(A73="SERVIÇO",VLOOKUP(B73,SERVIÇOS!$A$6:$D$7697,3,0),IF(A73="INSUMO",VLOOKUP(B73,INSUMOS!$A$6:$D$4845,3,0),IF(A73="COTAÇÃO",VLOOKUP(B73,'014-22-cotação'!$A$9:$I$138,4,0))))</f>
        <v>M2</v>
      </c>
      <c r="F73" s="562">
        <f>F72</f>
        <v>1.0264000000000002</v>
      </c>
      <c r="G73" s="550">
        <f>IF(A73="SERVIÇO",VLOOKUP(B73,SERVIÇOS!$A$6:$D$7697,4,0),IF(A73="INSUMO",VLOOKUP(B73,INSUMOS!$A$6:$D$4845,4,0),IF(A73="COTAÇÃO",VLOOKUP(B73,'014-22-cotação'!$A$9:$I$138,3,0))))</f>
        <v>22.93</v>
      </c>
      <c r="H73" s="561">
        <f t="shared" si="5"/>
        <v>23.53</v>
      </c>
      <c r="J73" s="375"/>
    </row>
    <row r="74" spans="1:20" s="126" customFormat="1" ht="25.5" x14ac:dyDescent="0.2">
      <c r="A74" s="398" t="s">
        <v>1120</v>
      </c>
      <c r="B74" s="207">
        <v>98557</v>
      </c>
      <c r="C74" s="548" t="str">
        <f>IF(A74="SERVIÇO",VLOOKUP(B74,SERVIÇOS!$A$6:$D$7697,2,0),IF(A74="INSUMO",VLOOKUP(B74,INSUMOS!$A$6:$D$4845,2,0),IF(A74="COTAÇÃO",VLOOKUP(B74,'014-22-cotação'!$A$9:$I$138,2,0))))</f>
        <v>IMPERMEABILIZAÇÃO DE SUPERFÍCIE COM EMULSÃO ASFÁLTICA, 2 DEMÃOS. AF_09/2023</v>
      </c>
      <c r="D74" s="549" t="str">
        <f>IF(A74="SERVIÇO",VLOOKUP(B74,SERVIÇOS!$A$6:$E$7697,5,0),IF(A74="INSUMO",VLOOKUP(B74,INSUMOS!$A$6:$E$4845,5,0),IF(A74="COTAÇÃO",VLOOKUP(B74,'014-22-cotação'!$A$9:$J$138,10,0))))</f>
        <v>SER.CG</v>
      </c>
      <c r="E74" s="549" t="str">
        <f>IF(A74="SERVIÇO",VLOOKUP(B74,SERVIÇOS!$A$6:$D$7697,3,0),IF(A74="INSUMO",VLOOKUP(B74,INSUMOS!$A$6:$D$4845,3,0),IF(A74="COTAÇÃO",VLOOKUP(B74,'014-22-cotação'!$A$9:$I$138,4,0))))</f>
        <v>M2</v>
      </c>
      <c r="F74" s="562">
        <f>0.1*(0.2+0.2)*2</f>
        <v>8.0000000000000016E-2</v>
      </c>
      <c r="G74" s="550">
        <f>IF(A74="SERVIÇO",VLOOKUP(B74,SERVIÇOS!$A$6:$D$7697,4,0),IF(A74="INSUMO",VLOOKUP(B74,INSUMOS!$A$6:$D$4845,4,0),IF(A74="COTAÇÃO",VLOOKUP(B74,'014-22-cotação'!$A$9:$I$138,3,0))))</f>
        <v>47.43</v>
      </c>
      <c r="H74" s="561">
        <f t="shared" si="5"/>
        <v>3.79</v>
      </c>
      <c r="J74" s="375"/>
    </row>
    <row r="75" spans="1:20" s="126" customFormat="1" ht="51" x14ac:dyDescent="0.2">
      <c r="A75" s="398" t="s">
        <v>1120</v>
      </c>
      <c r="B75" s="207">
        <v>96523</v>
      </c>
      <c r="C75" s="548" t="str">
        <f>IF(A75="SERVIÇO",VLOOKUP(B75,SERVIÇOS!$A$6:$D$7697,2,0),IF(A75="INSUMO",VLOOKUP(B75,INSUMOS!$A$6:$D$4845,2,0),IF(A75="COTAÇÃO",VLOOKUP(B75,'014-22-cotação'!$A$9:$I$138,2,0))))</f>
        <v>ESCAVAÇÃO MANUAL PARA BLOCO DE COROAMENTO OU SAPATA (INCLUINDO ESCAVAÇÃO PARA COLOCAÇÃO DE FÔRMAS). AF_01/2024</v>
      </c>
      <c r="D75" s="549" t="str">
        <f>IF(A75="SERVIÇO",VLOOKUP(B75,SERVIÇOS!$A$6:$E$7697,5,0),IF(A75="INSUMO",VLOOKUP(B75,INSUMOS!$A$6:$E$4845,5,0),IF(A75="COTAÇÃO",VLOOKUP(B75,'014-22-cotação'!$A$9:$J$138,10,0))))</f>
        <v>SER.CG</v>
      </c>
      <c r="E75" s="549" t="str">
        <f>IF(A75="SERVIÇO",VLOOKUP(B75,SERVIÇOS!$A$6:$D$7697,3,0),IF(A75="INSUMO",VLOOKUP(B75,INSUMOS!$A$6:$D$4845,3,0),IF(A75="COTAÇÃO",VLOOKUP(B75,'014-22-cotação'!$A$9:$I$138,4,0))))</f>
        <v>M3</v>
      </c>
      <c r="F75" s="562">
        <f>0.6*0.6*0.5</f>
        <v>0.18</v>
      </c>
      <c r="G75" s="550">
        <f>IF(A75="SERVIÇO",VLOOKUP(B75,SERVIÇOS!$A$6:$D$7697,4,0),IF(A75="INSUMO",VLOOKUP(B75,INSUMOS!$A$6:$D$4845,4,0),IF(A75="COTAÇÃO",VLOOKUP(B75,'014-22-cotação'!$A$9:$I$138,3,0))))</f>
        <v>103.18</v>
      </c>
      <c r="H75" s="561">
        <f t="shared" ref="H75" si="6">TRUNC((F75*G75),2)</f>
        <v>18.57</v>
      </c>
      <c r="J75" s="375"/>
    </row>
    <row r="76" spans="1:20" s="62" customFormat="1" ht="12.75" customHeight="1" x14ac:dyDescent="0.2">
      <c r="A76" s="318"/>
      <c r="B76" s="373" t="s">
        <v>109</v>
      </c>
      <c r="C76" s="643" t="s">
        <v>4495</v>
      </c>
      <c r="D76" s="644"/>
      <c r="E76" s="644"/>
      <c r="F76" s="644"/>
      <c r="G76" s="644"/>
      <c r="H76" s="387"/>
      <c r="J76" s="63"/>
    </row>
    <row r="77" spans="1:20" s="62" customFormat="1" ht="12.75" x14ac:dyDescent="0.2">
      <c r="A77" s="318"/>
      <c r="B77" s="388"/>
      <c r="C77" s="386"/>
      <c r="D77" s="386"/>
      <c r="E77" s="386"/>
      <c r="F77" s="386"/>
      <c r="G77" s="386"/>
      <c r="H77" s="387"/>
      <c r="J77" s="375"/>
      <c r="T77" s="126"/>
    </row>
    <row r="78" spans="1:20" s="62" customFormat="1" ht="38.25" customHeight="1" x14ac:dyDescent="0.2">
      <c r="A78" s="318"/>
      <c r="B78" s="263" t="s">
        <v>3451</v>
      </c>
      <c r="C78" s="376" t="s">
        <v>4498</v>
      </c>
      <c r="D78" s="377" t="s">
        <v>101</v>
      </c>
      <c r="E78" s="377" t="s">
        <v>150</v>
      </c>
      <c r="F78" s="378"/>
      <c r="G78" s="379"/>
      <c r="H78" s="380">
        <f>ROUND(SUM(H79:H82),2)</f>
        <v>559.07000000000005</v>
      </c>
      <c r="J78" s="375"/>
      <c r="T78" s="126"/>
    </row>
    <row r="79" spans="1:20" s="126" customFormat="1" ht="38.25" customHeight="1" x14ac:dyDescent="0.2">
      <c r="A79" s="398" t="s">
        <v>1122</v>
      </c>
      <c r="B79" s="207">
        <v>4818</v>
      </c>
      <c r="C79" s="548" t="str">
        <f>IF(A79="SERVIÇO",VLOOKUP(B79,SERVIÇOS!$A$6:$D$7697,2,0),IF(A79="INSUMO",VLOOKUP(B79,INSUMOS!$A$6:$D$4845,2,0),IF(A79="COTAÇÃO",VLOOKUP(B79,'014-22-cotação'!$A$9:$I$138,2,0))))</f>
        <v xml:space="preserve">PISO/ REVESTIMENTO EM MARMORE, POLIDO, BRANCO COMUM, FORMATO MENOR OU IGUAL A 3025 CM2, E = *2* CM                                                                                                                                                                                                                                                                                                                                                                                                        </v>
      </c>
      <c r="D79" s="549" t="str">
        <f>IF(A79="SERVIÇO",VLOOKUP(B79,SERVIÇOS!$A$6:$E$7697,5,0),IF(A79="INSUMO",VLOOKUP(B79,INSUMOS!$A$6:$E$4845,5,0),IF(A79="COTAÇÃO",VLOOKUP(B79,'014-22-cotação'!$A$9:$J$138,10,0))))</f>
        <v>MAT.</v>
      </c>
      <c r="E79" s="549" t="str">
        <f>IF(A79="SERVIÇO",VLOOKUP(B79,SERVIÇOS!$A$6:$D$7697,3,0),IF(A79="INSUMO",VLOOKUP(B79,INSUMOS!$A$6:$D$4845,3,0),IF(A79="COTAÇÃO",VLOOKUP(B79,'014-22-cotação'!$A$9:$I$138,4,0))))</f>
        <v xml:space="preserve">M2    </v>
      </c>
      <c r="F79" s="562">
        <v>1</v>
      </c>
      <c r="G79" s="550">
        <f>IF(A79="SERVIÇO",VLOOKUP(B79,SERVIÇOS!$A$6:$D$7697,4,0),IF(A79="INSUMO",VLOOKUP(B79,INSUMOS!$A$6:$D$4845,4,0),IF(A79="COTAÇÃO",VLOOKUP(B79,'014-22-cotação'!$A$9:$I$138,3,0))))</f>
        <v>350</v>
      </c>
      <c r="H79" s="561">
        <f>TRUNC((F79*G79),2)</f>
        <v>350</v>
      </c>
      <c r="J79" s="375"/>
    </row>
    <row r="80" spans="1:20" s="126" customFormat="1" ht="25.5" customHeight="1" x14ac:dyDescent="0.2">
      <c r="A80" s="398" t="s">
        <v>1120</v>
      </c>
      <c r="B80" s="207">
        <v>88316</v>
      </c>
      <c r="C80" s="548" t="str">
        <f>IF(A80="SERVIÇO",VLOOKUP(B80,SERVIÇOS!$A$6:$D$7697,2,0),IF(A80="INSUMO",VLOOKUP(B80,INSUMOS!$A$6:$D$4845,2,0),IF(A80="COTAÇÃO",VLOOKUP(B80,'014-22-cotação'!$A$9:$I$138,2,0))))</f>
        <v>SERVENTE COM ENCARGOS COMPLEMENTARES</v>
      </c>
      <c r="D80" s="549" t="str">
        <f>IF(A80="SERVIÇO",VLOOKUP(B80,SERVIÇOS!$A$6:$E$7697,5,0),IF(A80="INSUMO",VLOOKUP(B80,INSUMOS!$A$6:$E$4845,5,0),IF(A80="COTAÇÃO",VLOOKUP(B80,'014-22-cotação'!$A$9:$J$138,10,0))))</f>
        <v>M.O</v>
      </c>
      <c r="E80" s="549" t="str">
        <f>IF(A80="SERVIÇO",VLOOKUP(B80,SERVIÇOS!$A$6:$D$7697,3,0),IF(A80="INSUMO",VLOOKUP(B80,INSUMOS!$A$6:$D$4845,3,0),IF(A80="COTAÇÃO",VLOOKUP(B80,'014-22-cotação'!$A$9:$I$138,4,0))))</f>
        <v>H</v>
      </c>
      <c r="F80" s="562">
        <v>3.6</v>
      </c>
      <c r="G80" s="550">
        <f>IF(A80="SERVIÇO",VLOOKUP(B80,SERVIÇOS!$A$6:$D$7697,4,0),IF(A80="INSUMO",VLOOKUP(B80,INSUMOS!$A$6:$D$4845,4,0),IF(A80="COTAÇÃO",VLOOKUP(B80,'014-22-cotação'!$A$9:$I$138,3,0))))</f>
        <v>23.4</v>
      </c>
      <c r="H80" s="561">
        <f t="shared" ref="H80:H82" si="7">TRUNC((F80*G80),2)</f>
        <v>84.24</v>
      </c>
      <c r="J80" s="375"/>
    </row>
    <row r="81" spans="1:20" s="126" customFormat="1" ht="12.75" customHeight="1" x14ac:dyDescent="0.2">
      <c r="A81" s="398" t="s">
        <v>1120</v>
      </c>
      <c r="B81" s="207">
        <v>88309</v>
      </c>
      <c r="C81" s="548" t="str">
        <f>IF(A81="SERVIÇO",VLOOKUP(B81,SERVIÇOS!$A$6:$D$7697,2,0),IF(A81="INSUMO",VLOOKUP(B81,INSUMOS!$A$6:$D$4845,2,0),IF(A81="COTAÇÃO",VLOOKUP(B81,'014-22-cotação'!$A$9:$I$138,2,0))))</f>
        <v>PEDREIRO COM ENCARGOS COMPLEMENTARES</v>
      </c>
      <c r="D81" s="549" t="str">
        <f>IF(A81="SERVIÇO",VLOOKUP(B81,SERVIÇOS!$A$6:$E$7697,5,0),IF(A81="INSUMO",VLOOKUP(B81,INSUMOS!$A$6:$E$4845,5,0),IF(A81="COTAÇÃO",VLOOKUP(B81,'014-22-cotação'!$A$9:$J$138,10,0))))</f>
        <v>M.O</v>
      </c>
      <c r="E81" s="549" t="str">
        <f>IF(A81="SERVIÇO",VLOOKUP(B81,SERVIÇOS!$A$6:$D$7697,3,0),IF(A81="INSUMO",VLOOKUP(B81,INSUMOS!$A$6:$D$4845,3,0),IF(A81="COTAÇÃO",VLOOKUP(B81,'014-22-cotação'!$A$9:$I$138,4,0))))</f>
        <v>H</v>
      </c>
      <c r="F81" s="562">
        <v>3.8</v>
      </c>
      <c r="G81" s="550">
        <f>IF(A81="SERVIÇO",VLOOKUP(B81,SERVIÇOS!$A$6:$D$7697,4,0),IF(A81="INSUMO",VLOOKUP(B81,INSUMOS!$A$6:$D$4845,4,0),IF(A81="COTAÇÃO",VLOOKUP(B81,'014-22-cotação'!$A$9:$I$138,3,0))))</f>
        <v>31.1</v>
      </c>
      <c r="H81" s="561">
        <f t="shared" si="7"/>
        <v>118.18</v>
      </c>
      <c r="J81" s="375"/>
    </row>
    <row r="82" spans="1:20" s="126" customFormat="1" ht="12.75" customHeight="1" x14ac:dyDescent="0.2">
      <c r="A82" s="398" t="s">
        <v>1122</v>
      </c>
      <c r="B82" s="207">
        <v>34353</v>
      </c>
      <c r="C82" s="548" t="str">
        <f>IF(A82="SERVIÇO",VLOOKUP(B82,SERVIÇOS!$A$6:$D$7697,2,0),IF(A82="INSUMO",VLOOKUP(B82,INSUMOS!$A$6:$D$4845,2,0),IF(A82="COTAÇÃO",VLOOKUP(B82,'014-22-cotação'!$A$9:$I$138,2,0))))</f>
        <v xml:space="preserve">ARGAMASSA COLANTE AC II                                                                                                                                                                                                                                                                                                                                                                                                                                                                                   </v>
      </c>
      <c r="D82" s="549" t="str">
        <f>IF(A82="SERVIÇO",VLOOKUP(B82,SERVIÇOS!$A$6:$E$7697,5,0),IF(A82="INSUMO",VLOOKUP(B82,INSUMOS!$A$6:$E$4845,5,0),IF(A82="COTAÇÃO",VLOOKUP(B82,'014-22-cotação'!$A$9:$J$138,10,0))))</f>
        <v>MAT.</v>
      </c>
      <c r="E82" s="549" t="str">
        <f>IF(A82="SERVIÇO",VLOOKUP(B82,SERVIÇOS!$A$6:$D$7697,3,0),IF(A82="INSUMO",VLOOKUP(B82,INSUMOS!$A$6:$D$4845,3,0),IF(A82="COTAÇÃO",VLOOKUP(B82,'014-22-cotação'!$A$9:$I$138,4,0))))</f>
        <v xml:space="preserve">KG    </v>
      </c>
      <c r="F82" s="562">
        <v>5.5</v>
      </c>
      <c r="G82" s="550">
        <f>IF(A82="SERVIÇO",VLOOKUP(B82,SERVIÇOS!$A$6:$D$7697,4,0),IF(A82="INSUMO",VLOOKUP(B82,INSUMOS!$A$6:$D$4845,4,0),IF(A82="COTAÇÃO",VLOOKUP(B82,'014-22-cotação'!$A$9:$I$138,3,0))))</f>
        <v>1.21</v>
      </c>
      <c r="H82" s="561">
        <f t="shared" si="7"/>
        <v>6.65</v>
      </c>
      <c r="J82" s="375"/>
    </row>
    <row r="83" spans="1:20" s="62" customFormat="1" ht="12.75" customHeight="1" x14ac:dyDescent="0.2">
      <c r="A83" s="318"/>
      <c r="B83" s="373" t="s">
        <v>109</v>
      </c>
      <c r="C83" s="389" t="s">
        <v>4499</v>
      </c>
      <c r="D83" s="386"/>
      <c r="E83" s="386"/>
      <c r="F83" s="386"/>
      <c r="G83" s="386"/>
      <c r="H83" s="387"/>
      <c r="J83" s="63"/>
    </row>
    <row r="84" spans="1:20" s="62" customFormat="1" ht="12.75" x14ac:dyDescent="0.2">
      <c r="A84" s="318"/>
      <c r="B84" s="388"/>
      <c r="C84" s="386"/>
      <c r="D84" s="386"/>
      <c r="E84" s="386"/>
      <c r="F84" s="386"/>
      <c r="G84" s="386"/>
      <c r="H84" s="387"/>
      <c r="J84" s="63"/>
    </row>
    <row r="85" spans="1:20" s="62" customFormat="1" ht="38.25" x14ac:dyDescent="0.2">
      <c r="A85" s="318"/>
      <c r="B85" s="263" t="s">
        <v>3452</v>
      </c>
      <c r="C85" s="376" t="s">
        <v>4500</v>
      </c>
      <c r="D85" s="377" t="s">
        <v>101</v>
      </c>
      <c r="E85" s="377" t="s">
        <v>10</v>
      </c>
      <c r="F85" s="378"/>
      <c r="G85" s="379"/>
      <c r="H85" s="380">
        <f>ROUND(SUM(H86:H94),2)</f>
        <v>93.16</v>
      </c>
      <c r="J85" s="375"/>
      <c r="T85" s="126"/>
    </row>
    <row r="86" spans="1:20" s="126" customFormat="1" ht="63.75" x14ac:dyDescent="0.2">
      <c r="A86" s="398" t="s">
        <v>1120</v>
      </c>
      <c r="B86" s="207">
        <v>96542</v>
      </c>
      <c r="C86" s="548" t="str">
        <f>IF(A86="SERVIÇO",VLOOKUP(B86,SERVIÇOS!$A$6:$D$7697,2,0),IF(A86="INSUMO",VLOOKUP(B86,INSUMOS!$A$6:$D$4845,2,0),IF(A86="COTAÇÃO",VLOOKUP(B86,'014-22-cotação'!$A$9:$I$138,2,0))))</f>
        <v>FABRICAÇÃO, MONTAGEM E DESMONTAGEM DE FÔRMA PARA VIGA BALDRAME, EM CHAPA DE MADEIRA COMPENSADA RESINADA, E=17 MM, 4 UTILIZAÇÕES. AF_01/2024</v>
      </c>
      <c r="D86" s="549" t="str">
        <f>IF(A86="SERVIÇO",VLOOKUP(B86,SERVIÇOS!$A$6:$E$7697,5,0),IF(A86="INSUMO",VLOOKUP(B86,INSUMOS!$A$6:$E$4845,5,0),IF(A86="COTAÇÃO",VLOOKUP(B86,'014-22-cotação'!$A$9:$J$138,10,0))))</f>
        <v>SER.CG</v>
      </c>
      <c r="E86" s="549" t="str">
        <f>IF(A86="SERVIÇO",VLOOKUP(B86,SERVIÇOS!$A$6:$D$7697,3,0),IF(A86="INSUMO",VLOOKUP(B86,INSUMOS!$A$6:$D$4845,3,0),IF(A86="COTAÇÃO",VLOOKUP(B86,'014-22-cotação'!$A$9:$I$138,4,0))))</f>
        <v>M2</v>
      </c>
      <c r="F86" s="562">
        <f>(0.15*4*0.4)+(0.35*0.35)+(0.07*0.35*4)</f>
        <v>0.46050000000000002</v>
      </c>
      <c r="G86" s="550">
        <f>IF(A86="SERVIÇO",VLOOKUP(B86,SERVIÇOS!$A$6:$D$7697,4,0),IF(A86="INSUMO",VLOOKUP(B86,INSUMOS!$A$6:$D$4845,4,0),IF(A86="COTAÇÃO",VLOOKUP(B86,'014-22-cotação'!$A$9:$I$138,3,0))))</f>
        <v>97.75</v>
      </c>
      <c r="H86" s="561">
        <f>TRUNC((F86*G86),2)</f>
        <v>45.01</v>
      </c>
      <c r="J86" s="375"/>
    </row>
    <row r="87" spans="1:20" s="126" customFormat="1" ht="25.5" x14ac:dyDescent="0.2">
      <c r="A87" s="398" t="s">
        <v>1120</v>
      </c>
      <c r="B87" s="207">
        <v>96543</v>
      </c>
      <c r="C87" s="548" t="str">
        <f>IF(A87="SERVIÇO",VLOOKUP(B87,SERVIÇOS!$A$6:$D$7697,2,0),IF(A87="INSUMO",VLOOKUP(B87,INSUMOS!$A$6:$D$4845,2,0),IF(A87="COTAÇÃO",VLOOKUP(B87,'014-22-cotação'!$A$9:$I$138,2,0))))</f>
        <v>ARMAÇÃO DE BLOCO UTILIZANDO AÇO CA-60 DE 5 MM - MONTAGEM. AF_01/2024</v>
      </c>
      <c r="D87" s="549" t="str">
        <f>IF(A87="SERVIÇO",VLOOKUP(B87,SERVIÇOS!$A$6:$E$7697,5,0),IF(A87="INSUMO",VLOOKUP(B87,INSUMOS!$A$6:$E$4845,5,0),IF(A87="COTAÇÃO",VLOOKUP(B87,'014-22-cotação'!$A$9:$J$138,10,0))))</f>
        <v>SER.CG</v>
      </c>
      <c r="E87" s="549" t="str">
        <f>IF(A87="SERVIÇO",VLOOKUP(B87,SERVIÇOS!$A$6:$D$7697,3,0),IF(A87="INSUMO",VLOOKUP(B87,INSUMOS!$A$6:$D$4845,3,0),IF(A87="COTAÇÃO",VLOOKUP(B87,'014-22-cotação'!$A$9:$I$138,4,0))))</f>
        <v>KG</v>
      </c>
      <c r="F87" s="562">
        <f>F89*20</f>
        <v>0.39649999999999996</v>
      </c>
      <c r="G87" s="550">
        <f>IF(A87="SERVIÇO",VLOOKUP(B87,SERVIÇOS!$A$6:$D$7697,4,0),IF(A87="INSUMO",VLOOKUP(B87,INSUMOS!$A$6:$D$4845,4,0),IF(A87="COTAÇÃO",VLOOKUP(B87,'014-22-cotação'!$A$9:$I$138,3,0))))</f>
        <v>20.76</v>
      </c>
      <c r="H87" s="561">
        <f t="shared" ref="H87:H94" si="8">TRUNC((F87*G87),2)</f>
        <v>8.23</v>
      </c>
      <c r="J87" s="375"/>
    </row>
    <row r="88" spans="1:20" s="126" customFormat="1" ht="25.5" x14ac:dyDescent="0.2">
      <c r="A88" s="398" t="s">
        <v>1120</v>
      </c>
      <c r="B88" s="207">
        <v>96544</v>
      </c>
      <c r="C88" s="548" t="str">
        <f>IF(A88="SERVIÇO",VLOOKUP(B88,SERVIÇOS!$A$6:$D$7697,2,0),IF(A88="INSUMO",VLOOKUP(B88,INSUMOS!$A$6:$D$4845,2,0),IF(A88="COTAÇÃO",VLOOKUP(B88,'014-22-cotação'!$A$9:$I$138,2,0))))</f>
        <v>ARMAÇÃO DE BLOCO UTILIZANDO AÇO CA-50 DE 6,3 MM - MONTAGEM. AF_01/2024</v>
      </c>
      <c r="D88" s="549" t="str">
        <f>IF(A88="SERVIÇO",VLOOKUP(B88,SERVIÇOS!$A$6:$E$7697,5,0),IF(A88="INSUMO",VLOOKUP(B88,INSUMOS!$A$6:$E$4845,5,0),IF(A88="COTAÇÃO",VLOOKUP(B88,'014-22-cotação'!$A$9:$J$138,10,0))))</f>
        <v>SER.CG</v>
      </c>
      <c r="E88" s="549" t="str">
        <f>IF(A88="SERVIÇO",VLOOKUP(B88,SERVIÇOS!$A$6:$D$7697,3,0),IF(A88="INSUMO",VLOOKUP(B88,INSUMOS!$A$6:$D$4845,3,0),IF(A88="COTAÇÃO",VLOOKUP(B88,'014-22-cotação'!$A$9:$I$138,4,0))))</f>
        <v>KG</v>
      </c>
      <c r="F88" s="562">
        <f>F89*15</f>
        <v>0.297375</v>
      </c>
      <c r="G88" s="550">
        <f>IF(A88="SERVIÇO",VLOOKUP(B88,SERVIÇOS!$A$6:$D$7697,4,0),IF(A88="INSUMO",VLOOKUP(B88,INSUMOS!$A$6:$D$4845,4,0),IF(A88="COTAÇÃO",VLOOKUP(B88,'014-22-cotação'!$A$9:$I$138,3,0))))</f>
        <v>18.41</v>
      </c>
      <c r="H88" s="561">
        <f t="shared" si="8"/>
        <v>5.47</v>
      </c>
      <c r="J88" s="375"/>
    </row>
    <row r="89" spans="1:20" s="126" customFormat="1" ht="51" x14ac:dyDescent="0.2">
      <c r="A89" s="398" t="s">
        <v>1120</v>
      </c>
      <c r="B89" s="207">
        <v>94965</v>
      </c>
      <c r="C89" s="548" t="str">
        <f>IF(A89="SERVIÇO",VLOOKUP(B89,SERVIÇOS!$A$6:$D$7697,2,0),IF(A89="INSUMO",VLOOKUP(B89,INSUMOS!$A$6:$D$4845,2,0),IF(A89="COTAÇÃO",VLOOKUP(B89,'014-22-cotação'!$A$9:$I$138,2,0))))</f>
        <v>CONCRETO FCK = 25MPA, TRAÇO 1:2,3:2,7 (EM MASSA SECA DE CIMENTO/ AREIA MÉDIA/ BRITA 1) - PREPARO MECÂNICO COM BETONEIRA 400 L. AF_05/2021</v>
      </c>
      <c r="D89" s="549" t="str">
        <f>IF(A89="SERVIÇO",VLOOKUP(B89,SERVIÇOS!$A$6:$E$7697,5,0),IF(A89="INSUMO",VLOOKUP(B89,INSUMOS!$A$6:$E$4845,5,0),IF(A89="COTAÇÃO",VLOOKUP(B89,'014-22-cotação'!$A$9:$J$138,10,0))))</f>
        <v>SER.CG</v>
      </c>
      <c r="E89" s="549" t="str">
        <f>IF(A89="SERVIÇO",VLOOKUP(B89,SERVIÇOS!$A$6:$D$7697,3,0),IF(A89="INSUMO",VLOOKUP(B89,INSUMOS!$A$6:$D$4845,3,0),IF(A89="COTAÇÃO",VLOOKUP(B89,'014-22-cotação'!$A$9:$I$138,4,0))))</f>
        <v>M3</v>
      </c>
      <c r="F89" s="562">
        <f>(0.5*0.15*0.15)+(0.35*0.35*0.07)</f>
        <v>1.9824999999999999E-2</v>
      </c>
      <c r="G89" s="550">
        <f>IF(A89="SERVIÇO",VLOOKUP(B89,SERVIÇOS!$A$6:$D$7697,4,0),IF(A89="INSUMO",VLOOKUP(B89,INSUMOS!$A$6:$D$4845,4,0),IF(A89="COTAÇÃO",VLOOKUP(B89,'014-22-cotação'!$A$9:$I$138,3,0))))</f>
        <v>575.24</v>
      </c>
      <c r="H89" s="561">
        <f t="shared" si="8"/>
        <v>11.4</v>
      </c>
      <c r="J89" s="375"/>
    </row>
    <row r="90" spans="1:20" s="486" customFormat="1" ht="38.25" x14ac:dyDescent="0.2">
      <c r="A90" s="475" t="s">
        <v>1120</v>
      </c>
      <c r="B90" s="207">
        <v>103670</v>
      </c>
      <c r="C90" s="548" t="str">
        <f>IF(A90="SERVIÇO",VLOOKUP(B90,SERVIÇOS!$A$6:$D$7697,2,0),IF(A90="INSUMO",VLOOKUP(B90,INSUMOS!$A$6:$D$4845,2,0),IF(A90="COTAÇÃO",VLOOKUP(B90,'014-22-cotação'!$A$9:$I$138,2,0))))</f>
        <v>LANÇAMENTO COM USO DE BALDES, ADENSAMENTO E ACABAMENTO DE CONCRETO EM ESTRUTURAS. AF_02/2022</v>
      </c>
      <c r="D90" s="549" t="str">
        <f>IF(A90="SERVIÇO",VLOOKUP(B90,SERVIÇOS!$A$6:$E$7697,5,0),IF(A90="INSUMO",VLOOKUP(B90,INSUMOS!$A$6:$E$4845,5,0),IF(A90="COTAÇÃO",VLOOKUP(B90,'014-22-cotação'!$A$9:$J$138,10,0))))</f>
        <v>SER.CG</v>
      </c>
      <c r="E90" s="549" t="str">
        <f>IF(A90="SERVIÇO",VLOOKUP(B90,SERVIÇOS!$A$6:$D$7697,3,0),IF(A90="INSUMO",VLOOKUP(B90,INSUMOS!$A$6:$D$4845,3,0),IF(A90="COTAÇÃO",VLOOKUP(B90,'014-22-cotação'!$A$9:$I$138,4,0))))</f>
        <v>M3</v>
      </c>
      <c r="F90" s="562">
        <f>F89</f>
        <v>1.9824999999999999E-2</v>
      </c>
      <c r="G90" s="550">
        <f>IF(A90="SERVIÇO",VLOOKUP(B90,SERVIÇOS!$A$6:$D$7697,4,0),IF(A90="INSUMO",VLOOKUP(B90,INSUMOS!$A$6:$D$4845,4,0),IF(A90="COTAÇÃO",VLOOKUP(B90,'014-22-cotação'!$A$9:$I$138,3,0))))</f>
        <v>326.58999999999997</v>
      </c>
      <c r="H90" s="561">
        <f t="shared" si="8"/>
        <v>6.47</v>
      </c>
      <c r="J90" s="487"/>
    </row>
    <row r="91" spans="1:20" s="126" customFormat="1" ht="25.5" x14ac:dyDescent="0.2">
      <c r="A91" s="398" t="s">
        <v>1120</v>
      </c>
      <c r="B91" s="207">
        <v>102488</v>
      </c>
      <c r="C91" s="548" t="str">
        <f>IF(A91="SERVIÇO",VLOOKUP(B91,SERVIÇOS!$A$6:$D$7697,2,0),IF(A91="INSUMO",VLOOKUP(B91,INSUMOS!$A$6:$D$4845,2,0),IF(A91="COTAÇÃO",VLOOKUP(B91,'014-22-cotação'!$A$9:$I$138,2,0))))</f>
        <v>PREPARO DO PISO CIMENTADO PARA PINTURA - LIXAMENTO E LIMPEZA. AF_05/2021</v>
      </c>
      <c r="D91" s="549" t="str">
        <f>IF(A91="SERVIÇO",VLOOKUP(B91,SERVIÇOS!$A$6:$E$7697,5,0),IF(A91="INSUMO",VLOOKUP(B91,INSUMOS!$A$6:$E$4845,5,0),IF(A91="COTAÇÃO",VLOOKUP(B91,'014-22-cotação'!$A$9:$J$138,10,0))))</f>
        <v>SER.CG</v>
      </c>
      <c r="E91" s="549" t="str">
        <f>IF(A91="SERVIÇO",VLOOKUP(B91,SERVIÇOS!$A$6:$D$7697,3,0),IF(A91="INSUMO",VLOOKUP(B91,INSUMOS!$A$6:$D$4845,3,0),IF(A91="COTAÇÃO",VLOOKUP(B91,'014-22-cotação'!$A$9:$I$138,4,0))))</f>
        <v>M2</v>
      </c>
      <c r="F91" s="562">
        <f>F86</f>
        <v>0.46050000000000002</v>
      </c>
      <c r="G91" s="550">
        <f>IF(A91="SERVIÇO",VLOOKUP(B91,SERVIÇOS!$A$6:$D$7697,4,0),IF(A91="INSUMO",VLOOKUP(B91,INSUMOS!$A$6:$D$4845,4,0),IF(A91="COTAÇÃO",VLOOKUP(B91,'014-22-cotação'!$A$9:$I$138,3,0))))</f>
        <v>3.98</v>
      </c>
      <c r="H91" s="561">
        <f t="shared" si="8"/>
        <v>1.83</v>
      </c>
      <c r="J91" s="375"/>
    </row>
    <row r="92" spans="1:20" s="126" customFormat="1" ht="38.25" x14ac:dyDescent="0.2">
      <c r="A92" s="398" t="s">
        <v>1120</v>
      </c>
      <c r="B92" s="207">
        <v>102491</v>
      </c>
      <c r="C92" s="548" t="str">
        <f>IF(A92="SERVIÇO",VLOOKUP(B92,SERVIÇOS!$A$6:$D$7697,2,0),IF(A92="INSUMO",VLOOKUP(B92,INSUMOS!$A$6:$D$4845,2,0),IF(A92="COTAÇÃO",VLOOKUP(B92,'014-22-cotação'!$A$9:$I$138,2,0))))</f>
        <v>PINTURA DE PISO COM TINTA ACRÍLICA, APLICAÇÃO MANUAL, 2 DEMÃOS, INCLUSO FUNDO PREPARADOR. AF_05/2021</v>
      </c>
      <c r="D92" s="549" t="str">
        <f>IF(A92="SERVIÇO",VLOOKUP(B92,SERVIÇOS!$A$6:$E$7697,5,0),IF(A92="INSUMO",VLOOKUP(B92,INSUMOS!$A$6:$E$4845,5,0),IF(A92="COTAÇÃO",VLOOKUP(B92,'014-22-cotação'!$A$9:$J$138,10,0))))</f>
        <v>SER.CG</v>
      </c>
      <c r="E92" s="549" t="str">
        <f>IF(A92="SERVIÇO",VLOOKUP(B92,SERVIÇOS!$A$6:$D$7697,3,0),IF(A92="INSUMO",VLOOKUP(B92,INSUMOS!$A$6:$D$4845,3,0),IF(A92="COTAÇÃO",VLOOKUP(B92,'014-22-cotação'!$A$9:$I$138,4,0))))</f>
        <v>M2</v>
      </c>
      <c r="F92" s="562">
        <f>F91</f>
        <v>0.46050000000000002</v>
      </c>
      <c r="G92" s="550">
        <f>IF(A92="SERVIÇO",VLOOKUP(B92,SERVIÇOS!$A$6:$D$7697,4,0),IF(A92="INSUMO",VLOOKUP(B92,INSUMOS!$A$6:$D$4845,4,0),IF(A92="COTAÇÃO",VLOOKUP(B92,'014-22-cotação'!$A$9:$I$138,3,0))))</f>
        <v>22.93</v>
      </c>
      <c r="H92" s="561">
        <f t="shared" si="8"/>
        <v>10.55</v>
      </c>
      <c r="J92" s="375"/>
    </row>
    <row r="93" spans="1:20" s="126" customFormat="1" ht="25.5" x14ac:dyDescent="0.2">
      <c r="A93" s="398" t="s">
        <v>1120</v>
      </c>
      <c r="B93" s="207">
        <v>98557</v>
      </c>
      <c r="C93" s="548" t="str">
        <f>IF(A93="SERVIÇO",VLOOKUP(B93,SERVIÇOS!$A$6:$D$7697,2,0),IF(A93="INSUMO",VLOOKUP(B93,INSUMOS!$A$6:$D$4845,2,0),IF(A93="COTAÇÃO",VLOOKUP(B93,'014-22-cotação'!$A$9:$I$138,2,0))))</f>
        <v>IMPERMEABILIZAÇÃO DE SUPERFÍCIE COM EMULSÃO ASFÁLTICA, 2 DEMÃOS. AF_09/2023</v>
      </c>
      <c r="D93" s="549" t="str">
        <f>IF(A93="SERVIÇO",VLOOKUP(B93,SERVIÇOS!$A$6:$E$7697,5,0),IF(A93="INSUMO",VLOOKUP(B93,INSUMOS!$A$6:$E$4845,5,0),IF(A93="COTAÇÃO",VLOOKUP(B93,'014-22-cotação'!$A$9:$J$138,10,0))))</f>
        <v>SER.CG</v>
      </c>
      <c r="E93" s="549" t="str">
        <f>IF(A93="SERVIÇO",VLOOKUP(B93,SERVIÇOS!$A$6:$D$7697,3,0),IF(A93="INSUMO",VLOOKUP(B93,INSUMOS!$A$6:$D$4845,3,0),IF(A93="COTAÇÃO",VLOOKUP(B93,'014-22-cotação'!$A$9:$I$138,4,0))))</f>
        <v>M2</v>
      </c>
      <c r="F93" s="562">
        <f>0.1*0.2*4</f>
        <v>8.0000000000000016E-2</v>
      </c>
      <c r="G93" s="550">
        <f>IF(A93="SERVIÇO",VLOOKUP(B93,SERVIÇOS!$A$6:$D$7697,4,0),IF(A93="INSUMO",VLOOKUP(B93,INSUMOS!$A$6:$D$4845,4,0),IF(A93="COTAÇÃO",VLOOKUP(B93,'014-22-cotação'!$A$9:$I$138,3,0))))</f>
        <v>47.43</v>
      </c>
      <c r="H93" s="561">
        <f t="shared" si="8"/>
        <v>3.79</v>
      </c>
      <c r="J93" s="375"/>
    </row>
    <row r="94" spans="1:20" s="126" customFormat="1" ht="51" x14ac:dyDescent="0.2">
      <c r="A94" s="398" t="s">
        <v>1120</v>
      </c>
      <c r="B94" s="207">
        <v>96523</v>
      </c>
      <c r="C94" s="548" t="str">
        <f>IF(A94="SERVIÇO",VLOOKUP(B94,SERVIÇOS!$A$6:$D$7697,2,0),IF(A94="INSUMO",VLOOKUP(B94,INSUMOS!$A$6:$D$4845,2,0),IF(A94="COTAÇÃO",VLOOKUP(B94,'014-22-cotação'!$A$9:$I$138,2,0))))</f>
        <v>ESCAVAÇÃO MANUAL PARA BLOCO DE COROAMENTO OU SAPATA (INCLUINDO ESCAVAÇÃO PARA COLOCAÇÃO DE FÔRMAS). AF_01/2024</v>
      </c>
      <c r="D94" s="549" t="str">
        <f>IF(A94="SERVIÇO",VLOOKUP(B94,SERVIÇOS!$A$6:$E$7697,5,0),IF(A94="INSUMO",VLOOKUP(B94,INSUMOS!$A$6:$E$4845,5,0),IF(A94="COTAÇÃO",VLOOKUP(B94,'014-22-cotação'!$A$9:$J$138,10,0))))</f>
        <v>SER.CG</v>
      </c>
      <c r="E94" s="549" t="str">
        <f>IF(A94="SERVIÇO",VLOOKUP(B94,SERVIÇOS!$A$6:$D$7697,3,0),IF(A94="INSUMO",VLOOKUP(B94,INSUMOS!$A$6:$D$4845,3,0),IF(A94="COTAÇÃO",VLOOKUP(B94,'014-22-cotação'!$A$9:$I$138,4,0))))</f>
        <v>M3</v>
      </c>
      <c r="F94" s="562">
        <f>0.1*0.2*0.2</f>
        <v>4.000000000000001E-3</v>
      </c>
      <c r="G94" s="550">
        <f>IF(A94="SERVIÇO",VLOOKUP(B94,SERVIÇOS!$A$6:$D$7697,4,0),IF(A94="INSUMO",VLOOKUP(B94,INSUMOS!$A$6:$D$4845,4,0),IF(A94="COTAÇÃO",VLOOKUP(B94,'014-22-cotação'!$A$9:$I$138,3,0))))</f>
        <v>103.18</v>
      </c>
      <c r="H94" s="561">
        <f t="shared" si="8"/>
        <v>0.41</v>
      </c>
      <c r="J94" s="375"/>
    </row>
    <row r="95" spans="1:20" s="62" customFormat="1" ht="12.75" customHeight="1" x14ac:dyDescent="0.2">
      <c r="A95" s="318"/>
      <c r="B95" s="373" t="s">
        <v>109</v>
      </c>
      <c r="C95" s="643" t="s">
        <v>4495</v>
      </c>
      <c r="D95" s="644"/>
      <c r="E95" s="644"/>
      <c r="F95" s="644"/>
      <c r="G95" s="644"/>
      <c r="H95" s="387"/>
      <c r="J95" s="63"/>
    </row>
    <row r="96" spans="1:20" s="62" customFormat="1" ht="12.75" x14ac:dyDescent="0.2">
      <c r="A96" s="318"/>
      <c r="B96" s="388"/>
      <c r="C96" s="386"/>
      <c r="D96" s="386"/>
      <c r="E96" s="386"/>
      <c r="F96" s="386"/>
      <c r="G96" s="386"/>
      <c r="H96" s="387"/>
      <c r="J96" s="375"/>
      <c r="T96" s="126"/>
    </row>
    <row r="97" spans="1:20" s="62" customFormat="1" ht="38.25" x14ac:dyDescent="0.2">
      <c r="A97" s="318"/>
      <c r="B97" s="263" t="s">
        <v>3453</v>
      </c>
      <c r="C97" s="376" t="s">
        <v>4504</v>
      </c>
      <c r="D97" s="377" t="s">
        <v>101</v>
      </c>
      <c r="E97" s="377" t="s">
        <v>5</v>
      </c>
      <c r="F97" s="378"/>
      <c r="G97" s="379"/>
      <c r="H97" s="380">
        <f>ROUND(SUM(H98:H99),2)</f>
        <v>38.6</v>
      </c>
      <c r="J97" s="375"/>
      <c r="T97" s="126"/>
    </row>
    <row r="98" spans="1:20" s="126" customFormat="1" ht="25.5" x14ac:dyDescent="0.2">
      <c r="A98" s="398" t="s">
        <v>1120</v>
      </c>
      <c r="B98" s="207">
        <v>88262</v>
      </c>
      <c r="C98" s="548" t="str">
        <f>IF(A98="SERVIÇO",VLOOKUP(B98,SERVIÇOS!$A$6:$D$7697,2,0),IF(A98="INSUMO",VLOOKUP(B98,INSUMOS!$A$6:$D$4845,2,0),IF(A98="COTAÇÃO",VLOOKUP(B98,'014-22-cotação'!$A$9:$I$138,2,0))))</f>
        <v>CARPINTEIRO DE FORMAS COM ENCARGOS COMPLEMENTARES</v>
      </c>
      <c r="D98" s="549" t="str">
        <f>IF(A98="SERVIÇO",VLOOKUP(B98,SERVIÇOS!$A$6:$E$7697,5,0),IF(A98="INSUMO",VLOOKUP(B98,INSUMOS!$A$6:$E$4845,5,0),IF(A98="COTAÇÃO",VLOOKUP(B98,'014-22-cotação'!$A$9:$J$138,10,0))))</f>
        <v>M.O</v>
      </c>
      <c r="E98" s="549" t="str">
        <f>IF(A98="SERVIÇO",VLOOKUP(B98,SERVIÇOS!$A$6:$D$7697,3,0),IF(A98="INSUMO",VLOOKUP(B98,INSUMOS!$A$6:$D$4845,3,0),IF(A98="COTAÇÃO",VLOOKUP(B98,'014-22-cotação'!$A$9:$I$138,4,0))))</f>
        <v>H</v>
      </c>
      <c r="F98" s="562">
        <v>0.8</v>
      </c>
      <c r="G98" s="550">
        <f>IF(A98="SERVIÇO",VLOOKUP(B98,SERVIÇOS!$A$6:$D$7697,4,0),IF(A98="INSUMO",VLOOKUP(B98,INSUMOS!$A$6:$D$4845,4,0),IF(A98="COTAÇÃO",VLOOKUP(B98,'014-22-cotação'!$A$9:$I$138,3,0))))</f>
        <v>30.71</v>
      </c>
      <c r="H98" s="561">
        <f>TRUNC((F98*G98),2)</f>
        <v>24.56</v>
      </c>
      <c r="J98" s="375"/>
    </row>
    <row r="99" spans="1:20" s="126" customFormat="1" ht="25.5" x14ac:dyDescent="0.2">
      <c r="A99" s="398" t="s">
        <v>1120</v>
      </c>
      <c r="B99" s="207">
        <v>88316</v>
      </c>
      <c r="C99" s="548" t="str">
        <f>IF(A99="SERVIÇO",VLOOKUP(B99,SERVIÇOS!$A$6:$D$7697,2,0),IF(A99="INSUMO",VLOOKUP(B99,INSUMOS!$A$6:$D$4845,2,0),IF(A99="COTAÇÃO",VLOOKUP(B99,'014-22-cotação'!$A$9:$I$138,2,0))))</f>
        <v>SERVENTE COM ENCARGOS COMPLEMENTARES</v>
      </c>
      <c r="D99" s="549" t="str">
        <f>IF(A99="SERVIÇO",VLOOKUP(B99,SERVIÇOS!$A$6:$E$7697,5,0),IF(A99="INSUMO",VLOOKUP(B99,INSUMOS!$A$6:$E$4845,5,0),IF(A99="COTAÇÃO",VLOOKUP(B99,'014-22-cotação'!$A$9:$J$138,10,0))))</f>
        <v>M.O</v>
      </c>
      <c r="E99" s="549" t="str">
        <f>IF(A99="SERVIÇO",VLOOKUP(B99,SERVIÇOS!$A$6:$D$7697,3,0),IF(A99="INSUMO",VLOOKUP(B99,INSUMOS!$A$6:$D$4845,3,0),IF(A99="COTAÇÃO",VLOOKUP(B99,'014-22-cotação'!$A$9:$I$138,4,0))))</f>
        <v>H</v>
      </c>
      <c r="F99" s="562">
        <v>0.6</v>
      </c>
      <c r="G99" s="550">
        <f>IF(A99="SERVIÇO",VLOOKUP(B99,SERVIÇOS!$A$6:$D$7697,4,0),IF(A99="INSUMO",VLOOKUP(B99,INSUMOS!$A$6:$D$4845,4,0),IF(A99="COTAÇÃO",VLOOKUP(B99,'014-22-cotação'!$A$9:$I$138,3,0))))</f>
        <v>23.4</v>
      </c>
      <c r="H99" s="561">
        <f>TRUNC((F99*G99),2)</f>
        <v>14.04</v>
      </c>
      <c r="J99" s="375"/>
    </row>
    <row r="100" spans="1:20" s="62" customFormat="1" ht="12.75" customHeight="1" x14ac:dyDescent="0.2">
      <c r="A100" s="318"/>
      <c r="B100" s="373" t="s">
        <v>109</v>
      </c>
      <c r="C100" s="389" t="s">
        <v>4503</v>
      </c>
      <c r="D100" s="386"/>
      <c r="E100" s="386"/>
      <c r="F100" s="386"/>
      <c r="G100" s="386"/>
      <c r="H100" s="387"/>
      <c r="J100" s="64"/>
    </row>
    <row r="101" spans="1:20" s="62" customFormat="1" ht="12.75" x14ac:dyDescent="0.2">
      <c r="A101" s="318"/>
      <c r="B101" s="388"/>
      <c r="C101" s="386"/>
      <c r="D101" s="386"/>
      <c r="E101" s="386"/>
      <c r="F101" s="386"/>
      <c r="G101" s="386"/>
      <c r="H101" s="387"/>
      <c r="J101" s="375"/>
      <c r="T101" s="126"/>
    </row>
    <row r="102" spans="1:20" s="62" customFormat="1" ht="38.25" x14ac:dyDescent="0.2">
      <c r="A102" s="318"/>
      <c r="B102" s="263" t="s">
        <v>3454</v>
      </c>
      <c r="C102" s="376" t="s">
        <v>4506</v>
      </c>
      <c r="D102" s="377" t="s">
        <v>101</v>
      </c>
      <c r="E102" s="377" t="s">
        <v>5</v>
      </c>
      <c r="F102" s="378"/>
      <c r="G102" s="379"/>
      <c r="H102" s="380">
        <f>ROUND(SUM(H103:H104),2)</f>
        <v>27.78</v>
      </c>
      <c r="J102" s="375"/>
      <c r="T102" s="126"/>
    </row>
    <row r="103" spans="1:20" s="126" customFormat="1" ht="25.5" x14ac:dyDescent="0.2">
      <c r="A103" s="398" t="s">
        <v>1120</v>
      </c>
      <c r="B103" s="207">
        <v>88262</v>
      </c>
      <c r="C103" s="548" t="str">
        <f>IF(A103="SERVIÇO",VLOOKUP(B103,SERVIÇOS!$A$6:$D$7697,2,0),IF(A103="INSUMO",VLOOKUP(B103,INSUMOS!$A$6:$D$4845,2,0),IF(A103="COTAÇÃO",VLOOKUP(B103,'014-22-cotação'!$A$9:$I$138,2,0))))</f>
        <v>CARPINTEIRO DE FORMAS COM ENCARGOS COMPLEMENTARES</v>
      </c>
      <c r="D103" s="549" t="str">
        <f>IF(A103="SERVIÇO",VLOOKUP(B103,SERVIÇOS!$A$6:$E$7697,5,0),IF(A103="INSUMO",VLOOKUP(B103,INSUMOS!$A$6:$E$4845,5,0),IF(A103="COTAÇÃO",VLOOKUP(B103,'014-22-cotação'!$A$9:$J$138,10,0))))</f>
        <v>M.O</v>
      </c>
      <c r="E103" s="549" t="str">
        <f>IF(A103="SERVIÇO",VLOOKUP(B103,SERVIÇOS!$A$6:$D$7697,3,0),IF(A103="INSUMO",VLOOKUP(B103,INSUMOS!$A$6:$D$4845,3,0),IF(A103="COTAÇÃO",VLOOKUP(B103,'014-22-cotação'!$A$9:$I$138,4,0))))</f>
        <v>H</v>
      </c>
      <c r="F103" s="562">
        <v>0.6</v>
      </c>
      <c r="G103" s="550">
        <f>IF(A103="SERVIÇO",VLOOKUP(B103,SERVIÇOS!$A$6:$D$7697,4,0),IF(A103="INSUMO",VLOOKUP(B103,INSUMOS!$A$6:$D$4845,4,0),IF(A103="COTAÇÃO",VLOOKUP(B103,'014-22-cotação'!$A$9:$I$138,3,0))))</f>
        <v>30.71</v>
      </c>
      <c r="H103" s="561">
        <f>TRUNC((F103*G103),2)</f>
        <v>18.420000000000002</v>
      </c>
      <c r="J103" s="375"/>
    </row>
    <row r="104" spans="1:20" s="126" customFormat="1" ht="25.5" x14ac:dyDescent="0.2">
      <c r="A104" s="398" t="s">
        <v>1120</v>
      </c>
      <c r="B104" s="207">
        <v>88316</v>
      </c>
      <c r="C104" s="548" t="str">
        <f>IF(A104="SERVIÇO",VLOOKUP(B104,SERVIÇOS!$A$6:$D$7697,2,0),IF(A104="INSUMO",VLOOKUP(B104,INSUMOS!$A$6:$D$4845,2,0),IF(A104="COTAÇÃO",VLOOKUP(B104,'014-22-cotação'!$A$9:$I$138,2,0))))</f>
        <v>SERVENTE COM ENCARGOS COMPLEMENTARES</v>
      </c>
      <c r="D104" s="549" t="str">
        <f>IF(A104="SERVIÇO",VLOOKUP(B104,SERVIÇOS!$A$6:$E$7697,5,0),IF(A104="INSUMO",VLOOKUP(B104,INSUMOS!$A$6:$E$4845,5,0),IF(A104="COTAÇÃO",VLOOKUP(B104,'014-22-cotação'!$A$9:$J$138,10,0))))</f>
        <v>M.O</v>
      </c>
      <c r="E104" s="549" t="str">
        <f>IF(A104="SERVIÇO",VLOOKUP(B104,SERVIÇOS!$A$6:$D$7697,3,0),IF(A104="INSUMO",VLOOKUP(B104,INSUMOS!$A$6:$D$4845,3,0),IF(A104="COTAÇÃO",VLOOKUP(B104,'014-22-cotação'!$A$9:$I$138,4,0))))</f>
        <v>H</v>
      </c>
      <c r="F104" s="562">
        <v>0.4</v>
      </c>
      <c r="G104" s="550">
        <f>IF(A104="SERVIÇO",VLOOKUP(B104,SERVIÇOS!$A$6:$D$7697,4,0),IF(A104="INSUMO",VLOOKUP(B104,INSUMOS!$A$6:$D$4845,4,0),IF(A104="COTAÇÃO",VLOOKUP(B104,'014-22-cotação'!$A$9:$I$138,3,0))))</f>
        <v>23.4</v>
      </c>
      <c r="H104" s="561">
        <f>TRUNC((F104*G104),2)</f>
        <v>9.36</v>
      </c>
      <c r="J104" s="375"/>
    </row>
    <row r="105" spans="1:20" s="62" customFormat="1" ht="12.75" customHeight="1" x14ac:dyDescent="0.2">
      <c r="A105" s="318"/>
      <c r="B105" s="373" t="s">
        <v>109</v>
      </c>
      <c r="C105" s="389" t="s">
        <v>4505</v>
      </c>
      <c r="D105" s="386"/>
      <c r="E105" s="386"/>
      <c r="F105" s="386"/>
      <c r="G105" s="386"/>
      <c r="H105" s="387"/>
      <c r="J105" s="64"/>
    </row>
    <row r="106" spans="1:20" s="62" customFormat="1" ht="12.75" x14ac:dyDescent="0.2">
      <c r="A106" s="318"/>
      <c r="B106" s="388"/>
      <c r="C106" s="386"/>
      <c r="D106" s="386"/>
      <c r="E106" s="386"/>
      <c r="F106" s="386"/>
      <c r="G106" s="386"/>
      <c r="H106" s="387"/>
      <c r="J106" s="375"/>
      <c r="T106" s="126"/>
    </row>
    <row r="107" spans="1:20" s="62" customFormat="1" ht="38.25" x14ac:dyDescent="0.2">
      <c r="A107" s="318"/>
      <c r="B107" s="263" t="s">
        <v>3455</v>
      </c>
      <c r="C107" s="376" t="s">
        <v>4515</v>
      </c>
      <c r="D107" s="377" t="s">
        <v>101</v>
      </c>
      <c r="E107" s="377" t="s">
        <v>5</v>
      </c>
      <c r="F107" s="378"/>
      <c r="G107" s="379"/>
      <c r="H107" s="380">
        <f>ROUND(SUM(H108:H109),2)</f>
        <v>19.3</v>
      </c>
      <c r="J107" s="375"/>
      <c r="T107" s="126"/>
    </row>
    <row r="108" spans="1:20" s="126" customFormat="1" ht="25.5" x14ac:dyDescent="0.2">
      <c r="A108" s="398" t="s">
        <v>1120</v>
      </c>
      <c r="B108" s="207">
        <v>88262</v>
      </c>
      <c r="C108" s="548" t="str">
        <f>IF(A108="SERVIÇO",VLOOKUP(B108,SERVIÇOS!$A$6:$D$7697,2,0),IF(A108="INSUMO",VLOOKUP(B108,INSUMOS!$A$6:$D$4845,2,0),IF(A108="COTAÇÃO",VLOOKUP(B108,'014-22-cotação'!$A$9:$I$138,2,0))))</f>
        <v>CARPINTEIRO DE FORMAS COM ENCARGOS COMPLEMENTARES</v>
      </c>
      <c r="D108" s="549" t="str">
        <f>IF(A108="SERVIÇO",VLOOKUP(B108,SERVIÇOS!$A$6:$E$7697,5,0),IF(A108="INSUMO",VLOOKUP(B108,INSUMOS!$A$6:$E$4845,5,0),IF(A108="COTAÇÃO",VLOOKUP(B108,'014-22-cotação'!$A$9:$J$138,10,0))))</f>
        <v>M.O</v>
      </c>
      <c r="E108" s="549" t="str">
        <f>IF(A108="SERVIÇO",VLOOKUP(B108,SERVIÇOS!$A$6:$D$7697,3,0),IF(A108="INSUMO",VLOOKUP(B108,INSUMOS!$A$6:$D$4845,3,0),IF(A108="COTAÇÃO",VLOOKUP(B108,'014-22-cotação'!$A$9:$I$138,4,0))))</f>
        <v>H</v>
      </c>
      <c r="F108" s="562">
        <v>0.4</v>
      </c>
      <c r="G108" s="550">
        <f>IF(A108="SERVIÇO",VLOOKUP(B108,SERVIÇOS!$A$6:$D$7697,4,0),IF(A108="INSUMO",VLOOKUP(B108,INSUMOS!$A$6:$D$4845,4,0),IF(A108="COTAÇÃO",VLOOKUP(B108,'014-22-cotação'!$A$9:$I$138,3,0))))</f>
        <v>30.71</v>
      </c>
      <c r="H108" s="561">
        <f>TRUNC((F108*G108),2)</f>
        <v>12.28</v>
      </c>
      <c r="J108" s="375"/>
    </row>
    <row r="109" spans="1:20" s="126" customFormat="1" ht="25.5" x14ac:dyDescent="0.2">
      <c r="A109" s="398" t="s">
        <v>1120</v>
      </c>
      <c r="B109" s="207">
        <v>88316</v>
      </c>
      <c r="C109" s="548" t="str">
        <f>IF(A109="SERVIÇO",VLOOKUP(B109,SERVIÇOS!$A$6:$D$7697,2,0),IF(A109="INSUMO",VLOOKUP(B109,INSUMOS!$A$6:$D$4845,2,0),IF(A109="COTAÇÃO",VLOOKUP(B109,'014-22-cotação'!$A$9:$I$138,2,0))))</f>
        <v>SERVENTE COM ENCARGOS COMPLEMENTARES</v>
      </c>
      <c r="D109" s="549" t="str">
        <f>IF(A109="SERVIÇO",VLOOKUP(B109,SERVIÇOS!$A$6:$E$7697,5,0),IF(A109="INSUMO",VLOOKUP(B109,INSUMOS!$A$6:$E$4845,5,0),IF(A109="COTAÇÃO",VLOOKUP(B109,'014-22-cotação'!$A$9:$J$138,10,0))))</f>
        <v>M.O</v>
      </c>
      <c r="E109" s="549" t="str">
        <f>IF(A109="SERVIÇO",VLOOKUP(B109,SERVIÇOS!$A$6:$D$7697,3,0),IF(A109="INSUMO",VLOOKUP(B109,INSUMOS!$A$6:$D$4845,3,0),IF(A109="COTAÇÃO",VLOOKUP(B109,'014-22-cotação'!$A$9:$I$138,4,0))))</f>
        <v>H</v>
      </c>
      <c r="F109" s="562">
        <v>0.3</v>
      </c>
      <c r="G109" s="550">
        <f>IF(A109="SERVIÇO",VLOOKUP(B109,SERVIÇOS!$A$6:$D$7697,4,0),IF(A109="INSUMO",VLOOKUP(B109,INSUMOS!$A$6:$D$4845,4,0),IF(A109="COTAÇÃO",VLOOKUP(B109,'014-22-cotação'!$A$9:$I$138,3,0))))</f>
        <v>23.4</v>
      </c>
      <c r="H109" s="561">
        <f>TRUNC((F109*G109),2)</f>
        <v>7.02</v>
      </c>
      <c r="J109" s="375"/>
    </row>
    <row r="110" spans="1:20" s="62" customFormat="1" ht="12.75" customHeight="1" x14ac:dyDescent="0.2">
      <c r="A110" s="318"/>
      <c r="B110" s="373" t="s">
        <v>109</v>
      </c>
      <c r="C110" s="389" t="s">
        <v>4514</v>
      </c>
      <c r="D110" s="386"/>
      <c r="E110" s="386"/>
      <c r="F110" s="386"/>
      <c r="G110" s="386"/>
      <c r="H110" s="387"/>
      <c r="J110" s="64"/>
    </row>
    <row r="111" spans="1:20" s="213" customFormat="1" ht="12.75" x14ac:dyDescent="0.25">
      <c r="A111" s="199"/>
      <c r="B111" s="208"/>
      <c r="C111" s="175"/>
      <c r="D111" s="176"/>
      <c r="E111" s="176"/>
      <c r="F111" s="176"/>
      <c r="G111" s="176"/>
      <c r="H111" s="176"/>
      <c r="J111" s="83"/>
      <c r="S111" s="331"/>
      <c r="T111" s="342"/>
    </row>
    <row r="112" spans="1:20" s="213" customFormat="1" ht="25.5" x14ac:dyDescent="0.25">
      <c r="A112" s="199"/>
      <c r="B112" s="263" t="s">
        <v>3456</v>
      </c>
      <c r="C112" s="177" t="s">
        <v>3495</v>
      </c>
      <c r="D112" s="178" t="s">
        <v>101</v>
      </c>
      <c r="E112" s="178" t="s">
        <v>163</v>
      </c>
      <c r="F112" s="179"/>
      <c r="G112" s="180"/>
      <c r="H112" s="181">
        <f>ROUND(SUM(H113:H115),2)</f>
        <v>185.18</v>
      </c>
      <c r="J112" s="83"/>
      <c r="S112" s="331"/>
      <c r="T112" s="342"/>
    </row>
    <row r="113" spans="1:20" s="399" customFormat="1" ht="25.5" x14ac:dyDescent="0.25">
      <c r="A113" s="398" t="s">
        <v>1120</v>
      </c>
      <c r="B113" s="207">
        <v>88316</v>
      </c>
      <c r="C113" s="548" t="str">
        <f>IF(A113="SERVIÇO",VLOOKUP(B113,SERVIÇOS!$A$6:$D$7697,2,0),IF(A113="INSUMO",VLOOKUP(B113,INSUMOS!$A$6:$D$4845,2,0),IF(A113="COTAÇÃO",VLOOKUP(B113,'014-22-cotação'!$A$9:$I$138,2,0))))</f>
        <v>SERVENTE COM ENCARGOS COMPLEMENTARES</v>
      </c>
      <c r="D113" s="549" t="str">
        <f>IF(A113="SERVIÇO",VLOOKUP(B113,SERVIÇOS!$A$6:$E$7697,5,0),IF(A113="INSUMO",VLOOKUP(B113,INSUMOS!$A$6:$E$4845,5,0),IF(A113="COTAÇÃO",VLOOKUP(B113,'014-22-cotação'!$A$9:$J$138,10,0))))</f>
        <v>M.O</v>
      </c>
      <c r="E113" s="549" t="str">
        <f>IF(A113="SERVIÇO",VLOOKUP(B113,SERVIÇOS!$A$6:$D$7697,3,0),IF(A113="INSUMO",VLOOKUP(B113,INSUMOS!$A$6:$D$4845,3,0),IF(A113="COTAÇÃO",VLOOKUP(B113,'014-22-cotação'!$A$9:$I$138,4,0))))</f>
        <v>H</v>
      </c>
      <c r="F113" s="562">
        <v>1.6</v>
      </c>
      <c r="G113" s="550">
        <f>IF(A113="SERVIÇO",VLOOKUP(B113,SERVIÇOS!$A$6:$D$7697,4,0),IF(A113="INSUMO",VLOOKUP(B113,INSUMOS!$A$6:$D$4845,4,0),IF(A113="COTAÇÃO",VLOOKUP(B113,'014-22-cotação'!$A$9:$I$138,3,0))))</f>
        <v>23.4</v>
      </c>
      <c r="H113" s="561">
        <f>TRUNC((F113*G113),2)</f>
        <v>37.44</v>
      </c>
      <c r="J113" s="401"/>
      <c r="S113" s="402"/>
      <c r="T113" s="400"/>
    </row>
    <row r="114" spans="1:20" s="399" customFormat="1" ht="12.75" x14ac:dyDescent="0.25">
      <c r="A114" s="398" t="s">
        <v>1122</v>
      </c>
      <c r="B114" s="207">
        <v>7253</v>
      </c>
      <c r="C114" s="548" t="str">
        <f>IF(A114="SERVIÇO",VLOOKUP(B114,SERVIÇOS!$A$6:$D$7697,2,0),IF(A114="INSUMO",VLOOKUP(B114,INSUMOS!$A$6:$D$4845,2,0),IF(A114="COTAÇÃO",VLOOKUP(B114,'014-22-cotação'!$A$9:$I$138,2,0))))</f>
        <v xml:space="preserve">TERRA VEGETAL (GRANEL)                                                                                                                                                                                                                                                                                                                                                                                                                                                                                    </v>
      </c>
      <c r="D114" s="549" t="str">
        <f>IF(A114="SERVIÇO",VLOOKUP(B114,SERVIÇOS!$A$6:$E$7697,5,0),IF(A114="INSUMO",VLOOKUP(B114,INSUMOS!$A$6:$E$4845,5,0),IF(A114="COTAÇÃO",VLOOKUP(B114,'014-22-cotação'!$A$9:$J$138,10,0))))</f>
        <v>MAT.</v>
      </c>
      <c r="E114" s="549" t="str">
        <f>IF(A114="SERVIÇO",VLOOKUP(B114,SERVIÇOS!$A$6:$D$7697,3,0),IF(A114="INSUMO",VLOOKUP(B114,INSUMOS!$A$6:$D$4845,3,0),IF(A114="COTAÇÃO",VLOOKUP(B114,'014-22-cotação'!$A$9:$I$138,4,0))))</f>
        <v xml:space="preserve">M3    </v>
      </c>
      <c r="F114" s="562">
        <v>0.9</v>
      </c>
      <c r="G114" s="550">
        <f>IF(A114="SERVIÇO",VLOOKUP(B114,SERVIÇOS!$A$6:$D$7697,4,0),IF(A114="INSUMO",VLOOKUP(B114,INSUMOS!$A$6:$D$4845,4,0),IF(A114="COTAÇÃO",VLOOKUP(B114,'014-22-cotação'!$A$9:$I$138,3,0))))</f>
        <v>150</v>
      </c>
      <c r="H114" s="561">
        <f>TRUNC((F114*G114),2)</f>
        <v>135</v>
      </c>
      <c r="J114" s="401"/>
      <c r="S114" s="402"/>
      <c r="T114" s="400"/>
    </row>
    <row r="115" spans="1:20" s="399" customFormat="1" ht="12.75" x14ac:dyDescent="0.25">
      <c r="A115" s="398" t="s">
        <v>1122</v>
      </c>
      <c r="B115" s="207" t="s">
        <v>4574</v>
      </c>
      <c r="C115" s="548" t="str">
        <f>IF(A115="SERVIÇO",VLOOKUP(B115,SERVIÇOS!$A$6:$D$7697,2,0),IF(A115="INSUMO",VLOOKUP(B115,INSUMOS!$A$6:$D$4845,2,0),IF(A115="COTAÇÃO",VLOOKUP(B115,'014-22-cotação'!$A$9:$I$138,2,0))))</f>
        <v>ADUBO ORGÂNICO COMPOSTO</v>
      </c>
      <c r="D115" s="549" t="str">
        <f>IF(A115="SERVIÇO",VLOOKUP(B115,SERVIÇOS!$A$6:$E$7697,5,0),IF(A115="INSUMO",VLOOKUP(B115,INSUMOS!$A$6:$E$4845,5,0),IF(A115="COTAÇÃO",VLOOKUP(B115,'014-22-cotação'!$A$9:$J$138,10,0))))</f>
        <v>MAT.</v>
      </c>
      <c r="E115" s="549" t="str">
        <f>IF(A115="SERVIÇO",VLOOKUP(B115,SERVIÇOS!$A$6:$D$7697,3,0),IF(A115="INSUMO",VLOOKUP(B115,INSUMOS!$A$6:$D$4845,3,0),IF(A115="COTAÇÃO",VLOOKUP(B115,'014-22-cotação'!$A$9:$I$138,4,0))))</f>
        <v>KG</v>
      </c>
      <c r="F115" s="562">
        <f>0.1*500</f>
        <v>50</v>
      </c>
      <c r="G115" s="550">
        <f>IF(A115="SERVIÇO",VLOOKUP(B115,SERVIÇOS!$A$6:$D$7697,4,0),IF(A115="INSUMO",VLOOKUP(B115,INSUMOS!$A$6:$D$4845,4,0),IF(A115="COTAÇÃO",VLOOKUP(B115,'014-22-cotação'!$A$9:$I$138,3,0))))</f>
        <v>0.25490000000000002</v>
      </c>
      <c r="H115" s="561">
        <f>TRUNC((F115*G115),2)</f>
        <v>12.74</v>
      </c>
      <c r="J115" s="401" t="s">
        <v>4546</v>
      </c>
      <c r="S115" s="402"/>
      <c r="T115" s="400"/>
    </row>
    <row r="116" spans="1:20" s="213" customFormat="1" ht="12.75" x14ac:dyDescent="0.25">
      <c r="A116" s="199"/>
      <c r="B116" s="207" t="s">
        <v>109</v>
      </c>
      <c r="C116" s="382" t="s">
        <v>4545</v>
      </c>
      <c r="D116" s="383"/>
      <c r="E116" s="383"/>
      <c r="F116" s="383"/>
      <c r="G116" s="383"/>
      <c r="H116" s="384"/>
      <c r="J116" s="83"/>
      <c r="S116" s="331"/>
      <c r="T116" s="342"/>
    </row>
    <row r="117" spans="1:20" s="62" customFormat="1" ht="12.75" x14ac:dyDescent="0.2">
      <c r="A117" s="318"/>
      <c r="B117" s="388"/>
      <c r="C117" s="386"/>
      <c r="D117" s="386"/>
      <c r="E117" s="386"/>
      <c r="F117" s="386"/>
      <c r="G117" s="386"/>
      <c r="H117" s="387"/>
      <c r="J117" s="375"/>
      <c r="T117" s="126"/>
    </row>
    <row r="118" spans="1:20" s="62" customFormat="1" ht="12.75" x14ac:dyDescent="0.2">
      <c r="A118" s="199"/>
      <c r="B118" s="208"/>
      <c r="C118" s="175"/>
      <c r="D118" s="176"/>
      <c r="E118" s="176"/>
      <c r="F118" s="176"/>
      <c r="G118" s="176"/>
      <c r="H118" s="176"/>
      <c r="J118" s="128"/>
    </row>
    <row r="119" spans="1:20" s="62" customFormat="1" ht="25.5" customHeight="1" x14ac:dyDescent="0.2">
      <c r="A119" s="318"/>
      <c r="B119" s="263" t="s">
        <v>2155</v>
      </c>
      <c r="C119" s="177" t="s">
        <v>3425</v>
      </c>
      <c r="D119" s="178" t="s">
        <v>174</v>
      </c>
      <c r="E119" s="178" t="s">
        <v>1155</v>
      </c>
      <c r="F119" s="179"/>
      <c r="G119" s="180"/>
      <c r="H119" s="181">
        <f>SUM(H120:H121)</f>
        <v>11229.460000000001</v>
      </c>
      <c r="J119" s="319"/>
    </row>
    <row r="120" spans="1:20" s="126" customFormat="1" ht="25.5" customHeight="1" x14ac:dyDescent="0.2">
      <c r="A120" s="416" t="s">
        <v>1120</v>
      </c>
      <c r="B120" s="207" t="str">
        <f>B124</f>
        <v>CCA - 10.002</v>
      </c>
      <c r="C120" s="548" t="str">
        <f>C124</f>
        <v>VIGIA DIURNO COM ENCARGOS COMPLEMENTARES DE MENSALISTA</v>
      </c>
      <c r="D120" s="549" t="str">
        <f>D124</f>
        <v xml:space="preserve">SER.CG </v>
      </c>
      <c r="E120" s="549" t="str">
        <f>E124</f>
        <v>H</v>
      </c>
      <c r="F120" s="570">
        <v>210</v>
      </c>
      <c r="G120" s="550">
        <f>H124</f>
        <v>19.489999999999998</v>
      </c>
      <c r="H120" s="561">
        <f>TRUNC((F120*G120),2)</f>
        <v>4092.9</v>
      </c>
    </row>
    <row r="121" spans="1:20" s="126" customFormat="1" ht="25.5" customHeight="1" x14ac:dyDescent="0.2">
      <c r="A121" s="416" t="s">
        <v>1122</v>
      </c>
      <c r="B121" s="207" t="str">
        <f>B128</f>
        <v>CCA - 10.003</v>
      </c>
      <c r="C121" s="548" t="str">
        <f>C128</f>
        <v>VIGIA NOTURNO COM ENCARGOS COMPLEMENTARES DE MENSALISTA</v>
      </c>
      <c r="D121" s="549" t="str">
        <f>D128</f>
        <v xml:space="preserve">SER.CG </v>
      </c>
      <c r="E121" s="549" t="str">
        <f>E128</f>
        <v>H</v>
      </c>
      <c r="F121" s="570">
        <v>296</v>
      </c>
      <c r="G121" s="550">
        <f>H128</f>
        <v>24.11</v>
      </c>
      <c r="H121" s="561">
        <f>TRUNC((F121*G121),2)</f>
        <v>7136.56</v>
      </c>
    </row>
    <row r="122" spans="1:20" s="126" customFormat="1" ht="174" customHeight="1" x14ac:dyDescent="0.2">
      <c r="A122" s="416"/>
      <c r="B122" s="207" t="s">
        <v>109</v>
      </c>
      <c r="C122" s="643" t="s">
        <v>3426</v>
      </c>
      <c r="D122" s="644"/>
      <c r="E122" s="644"/>
      <c r="F122" s="644"/>
      <c r="G122" s="644"/>
      <c r="H122" s="645"/>
      <c r="J122" s="375"/>
    </row>
    <row r="123" spans="1:20" s="62" customFormat="1" ht="12.75" x14ac:dyDescent="0.2">
      <c r="A123" s="318"/>
      <c r="B123" s="208"/>
      <c r="C123" s="175"/>
      <c r="D123" s="176"/>
      <c r="E123" s="176"/>
      <c r="F123" s="176"/>
      <c r="G123" s="176"/>
      <c r="H123" s="176"/>
      <c r="J123" s="63"/>
    </row>
    <row r="124" spans="1:20" s="62" customFormat="1" ht="25.5" x14ac:dyDescent="0.2">
      <c r="A124" s="318"/>
      <c r="B124" s="263" t="s">
        <v>2156</v>
      </c>
      <c r="C124" s="177" t="s">
        <v>3427</v>
      </c>
      <c r="D124" s="178" t="s">
        <v>101</v>
      </c>
      <c r="E124" s="178" t="s">
        <v>160</v>
      </c>
      <c r="F124" s="179"/>
      <c r="G124" s="180"/>
      <c r="H124" s="181">
        <f>SUM(H125)</f>
        <v>19.489999999999998</v>
      </c>
      <c r="J124" s="64"/>
    </row>
    <row r="125" spans="1:20" s="486" customFormat="1" ht="25.5" x14ac:dyDescent="0.2">
      <c r="A125" s="499" t="s">
        <v>1120</v>
      </c>
      <c r="B125" s="207">
        <v>100289</v>
      </c>
      <c r="C125" s="548" t="str">
        <f>IF(A125="SERVIÇO",VLOOKUP(B125,SERVIÇOS!$A$6:$D$7697,2,0),IF(A125="INSUMO",VLOOKUP(B125,INSUMOS!$A$6:$D$4845,2,0),IF(A125="COTAÇÃO",VLOOKUP(B125,'014-22-cotação'!$A$9:$I$138,2,0))))</f>
        <v>VIGIA DIURNO COM ENCARGOS COMPLEMENTARES</v>
      </c>
      <c r="D125" s="549" t="str">
        <f>IF(A125="SERVIÇO",VLOOKUP(B125,SERVIÇOS!$A$6:$E$7697,5,0),IF(A125="INSUMO",VLOOKUP(B125,INSUMOS!$A$6:$E$4845,5,0),IF(A125="COTAÇÃO",VLOOKUP(B125,'014-22-cotação'!$A$9:$J$138,10,0))))</f>
        <v>M.O</v>
      </c>
      <c r="E125" s="549" t="str">
        <f>IF(A125="SERVIÇO",VLOOKUP(B125,SERVIÇOS!$A$6:$D$7697,3,0),IF(A125="INSUMO",VLOOKUP(B125,INSUMOS!$A$6:$D$4845,3,0),IF(A125="COTAÇÃO",VLOOKUP(B125,'014-22-cotação'!$A$9:$I$138,4,0))))</f>
        <v>H</v>
      </c>
      <c r="F125" s="570">
        <f>(1/(1+110.14%))*(1+70.04%)</f>
        <v>0.80917483582373662</v>
      </c>
      <c r="G125" s="550">
        <f>IF(A125="SERVIÇO",VLOOKUP(B125,SERVIÇOS!$A$6:$D$7697,4,0),IF(A125="INSUMO",VLOOKUP(B125,INSUMOS!$A$6:$D$4845,4,0),IF(A125="COTAÇÃO",VLOOKUP(B125,'014-22-cotação'!$A$9:$I$138,3,0))))</f>
        <v>24.09</v>
      </c>
      <c r="H125" s="561">
        <f t="shared" ref="H125" si="9">TRUNC((F125*G125),2)</f>
        <v>19.489999999999998</v>
      </c>
    </row>
    <row r="126" spans="1:20" s="62" customFormat="1" ht="38.25" x14ac:dyDescent="0.2">
      <c r="A126" s="318"/>
      <c r="B126" s="207" t="s">
        <v>109</v>
      </c>
      <c r="C126" s="382" t="s">
        <v>3429</v>
      </c>
      <c r="D126" s="383"/>
      <c r="E126" s="383"/>
      <c r="F126" s="383"/>
      <c r="G126" s="383"/>
      <c r="H126" s="384"/>
      <c r="J126" s="63"/>
    </row>
    <row r="127" spans="1:20" s="62" customFormat="1" ht="12.75" x14ac:dyDescent="0.2">
      <c r="A127" s="318"/>
      <c r="B127" s="208"/>
      <c r="C127" s="175"/>
      <c r="D127" s="176"/>
      <c r="E127" s="176"/>
      <c r="F127" s="176"/>
      <c r="G127" s="176"/>
      <c r="H127" s="176"/>
      <c r="J127" s="63"/>
    </row>
    <row r="128" spans="1:20" s="62" customFormat="1" ht="25.5" x14ac:dyDescent="0.2">
      <c r="A128" s="318"/>
      <c r="B128" s="263" t="s">
        <v>3430</v>
      </c>
      <c r="C128" s="177" t="s">
        <v>3428</v>
      </c>
      <c r="D128" s="178" t="s">
        <v>101</v>
      </c>
      <c r="E128" s="178" t="s">
        <v>160</v>
      </c>
      <c r="F128" s="179"/>
      <c r="G128" s="180"/>
      <c r="H128" s="181">
        <f>SUM(H129)</f>
        <v>24.11</v>
      </c>
      <c r="J128" s="64"/>
    </row>
    <row r="129" spans="1:30" s="486" customFormat="1" ht="25.5" x14ac:dyDescent="0.2">
      <c r="A129" s="499" t="s">
        <v>1120</v>
      </c>
      <c r="B129" s="207" t="str">
        <f>B132</f>
        <v>CCA - 10.003.1</v>
      </c>
      <c r="C129" s="548" t="str">
        <f>C132</f>
        <v>VIGIA NOTURNO COM ENCARGOS COMPLEMENTARES DE MENSALISTA</v>
      </c>
      <c r="D129" s="549" t="str">
        <f>D132</f>
        <v xml:space="preserve">SER.CG </v>
      </c>
      <c r="E129" s="549" t="str">
        <f>E132</f>
        <v>H</v>
      </c>
      <c r="F129" s="570">
        <f>(1/(1+110.14%))*(1+70.04%)</f>
        <v>0.80917483582373662</v>
      </c>
      <c r="G129" s="550">
        <f>H132</f>
        <v>29.8</v>
      </c>
      <c r="H129" s="561">
        <f t="shared" ref="H129" si="10">TRUNC((F129*G129),2)</f>
        <v>24.11</v>
      </c>
    </row>
    <row r="130" spans="1:30" s="62" customFormat="1" ht="38.25" x14ac:dyDescent="0.2">
      <c r="A130" s="318"/>
      <c r="B130" s="207" t="s">
        <v>109</v>
      </c>
      <c r="C130" s="382" t="s">
        <v>3429</v>
      </c>
      <c r="D130" s="383"/>
      <c r="E130" s="383"/>
      <c r="F130" s="383"/>
      <c r="G130" s="383"/>
      <c r="H130" s="384"/>
      <c r="J130" s="63"/>
    </row>
    <row r="131" spans="1:30" s="62" customFormat="1" ht="12.75" x14ac:dyDescent="0.2">
      <c r="A131" s="199"/>
      <c r="B131" s="208"/>
      <c r="C131" s="175"/>
      <c r="D131" s="176"/>
      <c r="E131" s="176"/>
      <c r="F131" s="176"/>
      <c r="G131" s="176"/>
      <c r="H131" s="176"/>
      <c r="I131" s="494"/>
      <c r="K131" s="63"/>
      <c r="L131" s="495"/>
      <c r="M131" s="495"/>
      <c r="N131" s="495"/>
      <c r="O131" s="495"/>
      <c r="W131" s="496">
        <f>'[13]045-20-CAPA'!$D$33</f>
        <v>4973692.2189253652</v>
      </c>
    </row>
    <row r="132" spans="1:30" s="62" customFormat="1" ht="25.5" x14ac:dyDescent="0.2">
      <c r="A132" s="199"/>
      <c r="B132" s="263" t="s">
        <v>12724</v>
      </c>
      <c r="C132" s="177" t="s">
        <v>3428</v>
      </c>
      <c r="D132" s="178" t="s">
        <v>101</v>
      </c>
      <c r="E132" s="178" t="s">
        <v>160</v>
      </c>
      <c r="F132" s="179"/>
      <c r="G132" s="180"/>
      <c r="H132" s="181">
        <f>SUM(H133:H140)</f>
        <v>29.8</v>
      </c>
      <c r="I132" s="497"/>
      <c r="K132" s="64"/>
      <c r="L132" s="498" t="s">
        <v>12725</v>
      </c>
      <c r="M132" s="495"/>
      <c r="N132" s="495"/>
      <c r="O132" s="495"/>
      <c r="W132" s="496">
        <f>'[13]045-20-CAPA'!$D$33</f>
        <v>4973692.2189253652</v>
      </c>
    </row>
    <row r="133" spans="1:30" s="486" customFormat="1" ht="25.5" x14ac:dyDescent="0.2">
      <c r="A133" s="475" t="s">
        <v>1122</v>
      </c>
      <c r="B133" s="207">
        <v>37370</v>
      </c>
      <c r="C133" s="548" t="str">
        <f>IF(A133="SERVIÇO",VLOOKUP(B133,SERVIÇOS!$A$6:$D$7697,2,0),IF(A133="INSUMO",VLOOKUP(B133,INSUMOS!$A$6:$D$4845,2,0),IF(A133="COTAÇÃO",VLOOKUP(B133,'014-22-cotação'!$A$9:$I$138,2,0))))</f>
        <v xml:space="preserve">ALIMENTACAO - HORISTA (COLETADO CAIXA - ENCARGOS COMPLEMENTARES)                                                                                                                                                                                                                                                                                                                                                                                                                                          </v>
      </c>
      <c r="D133" s="549" t="str">
        <f>IF(A133="SERVIÇO",VLOOKUP(B133,SERVIÇOS!$A$6:$E$7697,5,0),IF(A133="INSUMO",VLOOKUP(B133,INSUMOS!$A$6:$E$4845,5,0),IF(A133="COTAÇÃO",VLOOKUP(B133,'014-22-cotação'!$A$9:$J$138,10,0))))</f>
        <v>M.O</v>
      </c>
      <c r="E133" s="549" t="str">
        <f>IF(A133="SERVIÇO",VLOOKUP(B133,SERVIÇOS!$A$6:$D$7697,3,0),IF(A133="INSUMO",VLOOKUP(B133,INSUMOS!$A$6:$D$4845,3,0),IF(A133="COTAÇÃO",VLOOKUP(B133,'014-22-cotação'!$A$9:$I$138,4,0))))</f>
        <v xml:space="preserve">H     </v>
      </c>
      <c r="F133" s="570">
        <v>1</v>
      </c>
      <c r="G133" s="550">
        <f>IF(A133="SERVIÇO",VLOOKUP(B133,SERVIÇOS!$A$6:$D$7697,4,0),IF(A133="INSUMO",VLOOKUP(B133,INSUMOS!$A$6:$D$4845,4,0),IF(A133="COTAÇÃO",VLOOKUP(B133,'014-22-cotação'!$A$9:$I$138,3,0))))</f>
        <v>3.8</v>
      </c>
      <c r="H133" s="561">
        <f t="shared" ref="H133:H140" si="11">TRUNC((F133*G133),2)</f>
        <v>3.8</v>
      </c>
      <c r="I133" s="500"/>
      <c r="L133" s="501"/>
      <c r="M133" s="501"/>
      <c r="N133" s="501"/>
      <c r="O133" s="501"/>
      <c r="W133" s="502">
        <f>'[13]045-20-CAPA'!$D$33</f>
        <v>4973692.2189253652</v>
      </c>
    </row>
    <row r="134" spans="1:30" s="486" customFormat="1" ht="25.5" x14ac:dyDescent="0.2">
      <c r="A134" s="475" t="s">
        <v>1122</v>
      </c>
      <c r="B134" s="207">
        <v>37371</v>
      </c>
      <c r="C134" s="548" t="str">
        <f>IF(A134="SERVIÇO",VLOOKUP(B134,SERVIÇOS!$A$6:$D$7697,2,0),IF(A134="INSUMO",VLOOKUP(B134,INSUMOS!$A$6:$D$4845,2,0),IF(A134="COTAÇÃO",VLOOKUP(B134,'014-22-cotação'!$A$9:$I$138,2,0))))</f>
        <v xml:space="preserve">TRANSPORTE - HORISTA (COLETADO CAIXA - ENCARGOS COMPLEMENTARES)                                                                                                                                                                                                                                                                                                                                                                                                                                           </v>
      </c>
      <c r="D134" s="549" t="str">
        <f>IF(A134="SERVIÇO",VLOOKUP(B134,SERVIÇOS!$A$6:$E$7697,5,0),IF(A134="INSUMO",VLOOKUP(B134,INSUMOS!$A$6:$E$4845,5,0),IF(A134="COTAÇÃO",VLOOKUP(B134,'014-22-cotação'!$A$9:$J$138,10,0))))</f>
        <v>M.O</v>
      </c>
      <c r="E134" s="549" t="str">
        <f>IF(A134="SERVIÇO",VLOOKUP(B134,SERVIÇOS!$A$6:$D$7697,3,0),IF(A134="INSUMO",VLOOKUP(B134,INSUMOS!$A$6:$D$4845,3,0),IF(A134="COTAÇÃO",VLOOKUP(B134,'014-22-cotação'!$A$9:$I$138,4,0))))</f>
        <v xml:space="preserve">H     </v>
      </c>
      <c r="F134" s="570">
        <v>1</v>
      </c>
      <c r="G134" s="550">
        <f>IF(A134="SERVIÇO",VLOOKUP(B134,SERVIÇOS!$A$6:$D$7697,4,0),IF(A134="INSUMO",VLOOKUP(B134,INSUMOS!$A$6:$D$4845,4,0),IF(A134="COTAÇÃO",VLOOKUP(B134,'014-22-cotação'!$A$9:$I$138,3,0))))</f>
        <v>1.5</v>
      </c>
      <c r="H134" s="561">
        <f t="shared" si="11"/>
        <v>1.5</v>
      </c>
      <c r="I134" s="500"/>
      <c r="L134" s="501"/>
      <c r="M134" s="501"/>
      <c r="N134" s="501"/>
      <c r="O134" s="501"/>
      <c r="W134" s="502">
        <f>'[13]045-20-CAPA'!$D$33</f>
        <v>4973692.2189253652</v>
      </c>
    </row>
    <row r="135" spans="1:30" s="486" customFormat="1" ht="25.5" x14ac:dyDescent="0.2">
      <c r="A135" s="475" t="s">
        <v>1122</v>
      </c>
      <c r="B135" s="207">
        <v>37372</v>
      </c>
      <c r="C135" s="548" t="str">
        <f>IF(A135="SERVIÇO",VLOOKUP(B135,SERVIÇOS!$A$6:$D$7697,2,0),IF(A135="INSUMO",VLOOKUP(B135,INSUMOS!$A$6:$D$4845,2,0),IF(A135="COTAÇÃO",VLOOKUP(B135,'014-22-cotação'!$A$9:$I$138,2,0))))</f>
        <v xml:space="preserve">EXAMES - HORISTA (COLETADO CAIXA - ENCARGOS COMPLEMENTARES)                                                                                                                                                                                                                                                                                                                                                                                                                                               </v>
      </c>
      <c r="D135" s="549" t="str">
        <f>IF(A135="SERVIÇO",VLOOKUP(B135,SERVIÇOS!$A$6:$E$7697,5,0),IF(A135="INSUMO",VLOOKUP(B135,INSUMOS!$A$6:$E$4845,5,0),IF(A135="COTAÇÃO",VLOOKUP(B135,'014-22-cotação'!$A$9:$J$138,10,0))))</f>
        <v>MAT.</v>
      </c>
      <c r="E135" s="549" t="str">
        <f>IF(A135="SERVIÇO",VLOOKUP(B135,SERVIÇOS!$A$6:$D$7697,3,0),IF(A135="INSUMO",VLOOKUP(B135,INSUMOS!$A$6:$D$4845,3,0),IF(A135="COTAÇÃO",VLOOKUP(B135,'014-22-cotação'!$A$9:$I$138,4,0))))</f>
        <v xml:space="preserve">H     </v>
      </c>
      <c r="F135" s="570">
        <v>1</v>
      </c>
      <c r="G135" s="550">
        <f>IF(A135="SERVIÇO",VLOOKUP(B135,SERVIÇOS!$A$6:$D$7697,4,0),IF(A135="INSUMO",VLOOKUP(B135,INSUMOS!$A$6:$D$4845,4,0),IF(A135="COTAÇÃO",VLOOKUP(B135,'014-22-cotação'!$A$9:$I$138,3,0))))</f>
        <v>1.34</v>
      </c>
      <c r="H135" s="561">
        <f t="shared" si="11"/>
        <v>1.34</v>
      </c>
      <c r="I135" s="500"/>
      <c r="L135" s="501"/>
      <c r="M135" s="501"/>
      <c r="N135" s="501"/>
      <c r="O135" s="501"/>
      <c r="W135" s="502">
        <f>'[13]045-20-CAPA'!$D$33</f>
        <v>4973692.2189253652</v>
      </c>
    </row>
    <row r="136" spans="1:30" s="486" customFormat="1" ht="25.5" x14ac:dyDescent="0.2">
      <c r="A136" s="475" t="s">
        <v>1122</v>
      </c>
      <c r="B136" s="207">
        <v>37373</v>
      </c>
      <c r="C136" s="548" t="str">
        <f>IF(A136="SERVIÇO",VLOOKUP(B136,SERVIÇOS!$A$6:$D$7697,2,0),IF(A136="INSUMO",VLOOKUP(B136,INSUMOS!$A$6:$D$4845,2,0),IF(A136="COTAÇÃO",VLOOKUP(B136,'014-22-cotação'!$A$9:$I$138,2,0))))</f>
        <v xml:space="preserve">SEGURO - HORISTA (COLETADO CAIXA - ENCARGOS COMPLEMENTARES)                                                                                                                                                                                                                                                                                                                                                                                                                                               </v>
      </c>
      <c r="D136" s="549" t="str">
        <f>IF(A136="SERVIÇO",VLOOKUP(B136,SERVIÇOS!$A$6:$E$7697,5,0),IF(A136="INSUMO",VLOOKUP(B136,INSUMOS!$A$6:$E$4845,5,0),IF(A136="COTAÇÃO",VLOOKUP(B136,'014-22-cotação'!$A$9:$J$138,10,0))))</f>
        <v>M.O</v>
      </c>
      <c r="E136" s="549" t="str">
        <f>IF(A136="SERVIÇO",VLOOKUP(B136,SERVIÇOS!$A$6:$D$7697,3,0),IF(A136="INSUMO",VLOOKUP(B136,INSUMOS!$A$6:$D$4845,3,0),IF(A136="COTAÇÃO",VLOOKUP(B136,'014-22-cotação'!$A$9:$I$138,4,0))))</f>
        <v xml:space="preserve">H     </v>
      </c>
      <c r="F136" s="570">
        <v>1</v>
      </c>
      <c r="G136" s="550">
        <f>IF(A136="SERVIÇO",VLOOKUP(B136,SERVIÇOS!$A$6:$D$7697,4,0),IF(A136="INSUMO",VLOOKUP(B136,INSUMOS!$A$6:$D$4845,4,0),IF(A136="COTAÇÃO",VLOOKUP(B136,'014-22-cotação'!$A$9:$I$138,3,0))))</f>
        <v>0.04</v>
      </c>
      <c r="H136" s="561">
        <f t="shared" si="11"/>
        <v>0.04</v>
      </c>
      <c r="I136" s="500"/>
      <c r="L136" s="501"/>
      <c r="M136" s="501"/>
      <c r="N136" s="501"/>
      <c r="O136" s="501"/>
      <c r="W136" s="502">
        <f>'[13]045-20-CAPA'!$D$33</f>
        <v>4973692.2189253652</v>
      </c>
    </row>
    <row r="137" spans="1:30" s="486" customFormat="1" ht="12.75" x14ac:dyDescent="0.2">
      <c r="A137" s="475" t="s">
        <v>1122</v>
      </c>
      <c r="B137" s="207">
        <v>34345</v>
      </c>
      <c r="C137" s="548" t="str">
        <f>IF(A137="SERVIÇO",VLOOKUP(B137,SERVIÇOS!$A$6:$D$7697,2,0),IF(A137="INSUMO",VLOOKUP(B137,INSUMOS!$A$6:$D$4845,2,0),IF(A137="COTAÇÃO",VLOOKUP(B137,'014-22-cotação'!$A$9:$I$138,2,0))))</f>
        <v xml:space="preserve">VIGIA DIURNO (HORISTA)                                                                                                                                                                                                                                                                                                                                                                                                                                                                                    </v>
      </c>
      <c r="D137" s="549" t="str">
        <f>IF(A137="SERVIÇO",VLOOKUP(B137,SERVIÇOS!$A$6:$E$7697,5,0),IF(A137="INSUMO",VLOOKUP(B137,INSUMOS!$A$6:$E$4845,5,0),IF(A137="COTAÇÃO",VLOOKUP(B137,'014-22-cotação'!$A$9:$J$138,10,0))))</f>
        <v>M.O</v>
      </c>
      <c r="E137" s="549" t="str">
        <f>IF(A137="SERVIÇO",VLOOKUP(B137,SERVIÇOS!$A$6:$D$7697,3,0),IF(A137="INSUMO",VLOOKUP(B137,INSUMOS!$A$6:$D$4845,3,0),IF(A137="COTAÇÃO",VLOOKUP(B137,'014-22-cotação'!$A$9:$I$138,4,0))))</f>
        <v xml:space="preserve">H     </v>
      </c>
      <c r="F137" s="570">
        <f>1*1.37148</f>
        <v>1.37148</v>
      </c>
      <c r="G137" s="550">
        <f>IF(A137="SERVIÇO",VLOOKUP(B137,SERVIÇOS!$A$6:$D$7697,4,0),IF(A137="INSUMO",VLOOKUP(B137,INSUMOS!$A$6:$D$4845,4,0),IF(A137="COTAÇÃO",VLOOKUP(B137,'014-22-cotação'!$A$9:$I$138,3,0))))</f>
        <v>15.38</v>
      </c>
      <c r="H137" s="561">
        <f t="shared" si="11"/>
        <v>21.09</v>
      </c>
      <c r="I137" s="500"/>
      <c r="L137" s="501"/>
      <c r="M137" s="501"/>
      <c r="N137" s="501"/>
      <c r="O137" s="501"/>
      <c r="W137" s="502">
        <f>'[13]045-20-CAPA'!$D$33</f>
        <v>4973692.2189253652</v>
      </c>
    </row>
    <row r="138" spans="1:30" s="486" customFormat="1" ht="38.25" x14ac:dyDescent="0.2">
      <c r="A138" s="475" t="s">
        <v>1122</v>
      </c>
      <c r="B138" s="207">
        <v>43467</v>
      </c>
      <c r="C138" s="548" t="str">
        <f>IF(A138="SERVIÇO",VLOOKUP(B138,SERVIÇOS!$A$6:$D$7697,2,0),IF(A138="INSUMO",VLOOKUP(B138,INSUMOS!$A$6:$D$4845,2,0),IF(A138="COTAÇÃO",VLOOKUP(B138,'014-22-cotação'!$A$9:$I$138,2,0))))</f>
        <v xml:space="preserve">FERRAMENTAS - FAMILIA SERVENTE - HORISTA (ENCARGOS COMPLEMENTARES - COLETADO CAIXA)                                                                                                                                                                                                                                                                                                                                                                                                                       </v>
      </c>
      <c r="D138" s="549" t="str">
        <f>IF(A138="SERVIÇO",VLOOKUP(B138,SERVIÇOS!$A$6:$E$7697,5,0),IF(A138="INSUMO",VLOOKUP(B138,INSUMOS!$A$6:$E$4845,5,0),IF(A138="COTAÇÃO",VLOOKUP(B138,'014-22-cotação'!$A$9:$J$138,10,0))))</f>
        <v>EQUIP.</v>
      </c>
      <c r="E138" s="549" t="str">
        <f>IF(A138="SERVIÇO",VLOOKUP(B138,SERVIÇOS!$A$6:$D$7697,3,0),IF(A138="INSUMO",VLOOKUP(B138,INSUMOS!$A$6:$D$4845,3,0),IF(A138="COTAÇÃO",VLOOKUP(B138,'014-22-cotação'!$A$9:$I$138,4,0))))</f>
        <v xml:space="preserve">H     </v>
      </c>
      <c r="F138" s="570">
        <v>1</v>
      </c>
      <c r="G138" s="550">
        <f>IF(A138="SERVIÇO",VLOOKUP(B138,SERVIÇOS!$A$6:$D$7697,4,0),IF(A138="INSUMO",VLOOKUP(B138,INSUMOS!$A$6:$D$4845,4,0),IF(A138="COTAÇÃO",VLOOKUP(B138,'014-22-cotação'!$A$9:$I$138,3,0))))</f>
        <v>0.61</v>
      </c>
      <c r="H138" s="561">
        <f t="shared" si="11"/>
        <v>0.61</v>
      </c>
      <c r="I138" s="500"/>
      <c r="L138" s="501"/>
      <c r="M138" s="501"/>
      <c r="N138" s="501"/>
      <c r="O138" s="501"/>
      <c r="W138" s="502">
        <f>'[13]045-20-CAPA'!$D$33</f>
        <v>4973692.2189253652</v>
      </c>
    </row>
    <row r="139" spans="1:30" s="486" customFormat="1" ht="38.25" x14ac:dyDescent="0.2">
      <c r="A139" s="475" t="s">
        <v>1122</v>
      </c>
      <c r="B139" s="207">
        <v>43491</v>
      </c>
      <c r="C139" s="548" t="str">
        <f>IF(A139="SERVIÇO",VLOOKUP(B139,SERVIÇOS!$A$6:$D$7697,2,0),IF(A139="INSUMO",VLOOKUP(B139,INSUMOS!$A$6:$D$4845,2,0),IF(A139="COTAÇÃO",VLOOKUP(B139,'014-22-cotação'!$A$9:$I$138,2,0))))</f>
        <v xml:space="preserve">EPI - FAMILIA SERVENTE - HORISTA (ENCARGOS COMPLEMENTARES - COLETADO CAIXA)                                                                                                                                                                                                                                                                                                                                                                                                                               </v>
      </c>
      <c r="D139" s="549" t="str">
        <f>IF(A139="SERVIÇO",VLOOKUP(B139,SERVIÇOS!$A$6:$E$7697,5,0),IF(A139="INSUMO",VLOOKUP(B139,INSUMOS!$A$6:$E$4845,5,0),IF(A139="COTAÇÃO",VLOOKUP(B139,'014-22-cotação'!$A$9:$J$138,10,0))))</f>
        <v>EPI</v>
      </c>
      <c r="E139" s="549" t="str">
        <f>IF(A139="SERVIÇO",VLOOKUP(B139,SERVIÇOS!$A$6:$D$7697,3,0),IF(A139="INSUMO",VLOOKUP(B139,INSUMOS!$A$6:$D$4845,3,0),IF(A139="COTAÇÃO",VLOOKUP(B139,'014-22-cotação'!$A$9:$I$138,4,0))))</f>
        <v xml:space="preserve">H     </v>
      </c>
      <c r="F139" s="570">
        <v>1</v>
      </c>
      <c r="G139" s="550">
        <f>IF(A139="SERVIÇO",VLOOKUP(B139,SERVIÇOS!$A$6:$D$7697,4,0),IF(A139="INSUMO",VLOOKUP(B139,INSUMOS!$A$6:$D$4845,4,0),IF(A139="COTAÇÃO",VLOOKUP(B139,'014-22-cotação'!$A$9:$I$138,3,0))))</f>
        <v>1.33</v>
      </c>
      <c r="H139" s="561">
        <f t="shared" si="11"/>
        <v>1.33</v>
      </c>
      <c r="I139" s="500"/>
      <c r="L139" s="501"/>
      <c r="M139" s="501"/>
      <c r="N139" s="501"/>
      <c r="O139" s="501"/>
      <c r="W139" s="502">
        <f>'[13]045-20-CAPA'!$D$33</f>
        <v>4973692.2189253652</v>
      </c>
    </row>
    <row r="140" spans="1:30" s="486" customFormat="1" ht="25.5" x14ac:dyDescent="0.2">
      <c r="A140" s="475" t="s">
        <v>1120</v>
      </c>
      <c r="B140" s="207">
        <v>100288</v>
      </c>
      <c r="C140" s="548" t="str">
        <f>IF(A140="SERVIÇO",VLOOKUP(B140,SERVIÇOS!$A$6:$D$7697,2,0),IF(A140="INSUMO",VLOOKUP(B140,INSUMOS!$A$6:$D$4845,2,0),IF(A140="COTAÇÃO",VLOOKUP(B140,'014-22-cotação'!$A$9:$I$138,2,0))))</f>
        <v>CURSO DE CAPACITAÇÃO PARA VIGIA DIURNO (ENCARGOS COMPLEMENTARES) - HORISTA</v>
      </c>
      <c r="D140" s="549" t="str">
        <f>IF(A140="SERVIÇO",VLOOKUP(B140,SERVIÇOS!$A$6:$E$7697,5,0),IF(A140="INSUMO",VLOOKUP(B140,INSUMOS!$A$6:$E$4845,5,0),IF(A140="COTAÇÃO",VLOOKUP(B140,'014-22-cotação'!$A$9:$J$138,10,0))))</f>
        <v>CAPACIT.</v>
      </c>
      <c r="E140" s="549" t="str">
        <f>IF(A140="SERVIÇO",VLOOKUP(B140,SERVIÇOS!$A$6:$D$7697,3,0),IF(A140="INSUMO",VLOOKUP(B140,INSUMOS!$A$6:$D$4845,3,0),IF(A140="COTAÇÃO",VLOOKUP(B140,'014-22-cotação'!$A$9:$I$138,4,0))))</f>
        <v>H</v>
      </c>
      <c r="F140" s="570">
        <v>1</v>
      </c>
      <c r="G140" s="550">
        <f>IF(A140="SERVIÇO",VLOOKUP(B140,SERVIÇOS!$A$6:$D$7697,4,0),IF(A140="INSUMO",VLOOKUP(B140,INSUMOS!$A$6:$D$4845,4,0),IF(A140="COTAÇÃO",VLOOKUP(B140,'014-22-cotação'!$A$9:$I$138,3,0))))</f>
        <v>0.09</v>
      </c>
      <c r="H140" s="561">
        <f t="shared" si="11"/>
        <v>0.09</v>
      </c>
      <c r="I140" s="500"/>
      <c r="L140" s="501"/>
      <c r="M140" s="501"/>
      <c r="N140" s="501"/>
      <c r="O140" s="501"/>
      <c r="W140" s="502">
        <f>'[13]045-20-CAPA'!$D$33</f>
        <v>4973692.2189253652</v>
      </c>
    </row>
    <row r="141" spans="1:30" s="62" customFormat="1" ht="25.5" x14ac:dyDescent="0.2">
      <c r="A141" s="199"/>
      <c r="B141" s="207" t="s">
        <v>109</v>
      </c>
      <c r="C141" s="382" t="s">
        <v>12726</v>
      </c>
      <c r="D141" s="270"/>
      <c r="E141" s="270"/>
      <c r="F141" s="270"/>
      <c r="G141" s="270"/>
      <c r="H141" s="271"/>
      <c r="I141" s="494"/>
      <c r="K141" s="63"/>
      <c r="L141" s="495"/>
      <c r="M141" s="495"/>
      <c r="N141" s="495"/>
      <c r="O141" s="495"/>
      <c r="W141" s="496">
        <f>'[13]045-20-CAPA'!$D$33</f>
        <v>4973692.2189253652</v>
      </c>
    </row>
    <row r="142" spans="1:30" s="62" customFormat="1" ht="12.75" x14ac:dyDescent="0.2">
      <c r="A142" s="318"/>
      <c r="B142" s="208"/>
      <c r="C142" s="175"/>
      <c r="D142" s="176"/>
      <c r="E142" s="176"/>
      <c r="F142" s="176"/>
      <c r="G142" s="176"/>
      <c r="H142" s="176"/>
      <c r="J142" s="63"/>
    </row>
    <row r="143" spans="1:30" s="62" customFormat="1" x14ac:dyDescent="0.2">
      <c r="A143" s="265"/>
      <c r="B143" s="265"/>
      <c r="C143" s="267"/>
      <c r="D143" s="265"/>
      <c r="E143" s="265"/>
      <c r="F143" s="265"/>
      <c r="G143" s="265"/>
      <c r="H143" s="265"/>
      <c r="I143" s="25"/>
      <c r="J143" s="11"/>
      <c r="N143" s="25"/>
      <c r="O143" s="25"/>
      <c r="R143" s="53"/>
      <c r="S143" s="25"/>
      <c r="T143" s="25"/>
      <c r="U143" s="25"/>
      <c r="V143" s="25"/>
      <c r="W143" s="25"/>
      <c r="X143" s="25"/>
      <c r="Y143" s="25"/>
      <c r="Z143" s="25"/>
      <c r="AA143" s="25"/>
      <c r="AB143" s="25"/>
      <c r="AC143" s="25"/>
      <c r="AD143" s="25"/>
    </row>
    <row r="144" spans="1:30" ht="60.75" customHeight="1" x14ac:dyDescent="0.25">
      <c r="A144" s="93"/>
      <c r="B144" s="625" t="str">
        <f>'014-22-CAPA'!D37</f>
        <v>ENG. GILMAR DA MOTA FERNANDES
ART: 0720220018938
CREA: 23785/D-DF
Matrícula: 973.113-X</v>
      </c>
      <c r="C144" s="625"/>
      <c r="D144" s="625"/>
      <c r="E144" s="625"/>
      <c r="F144" s="625"/>
      <c r="G144" s="625"/>
      <c r="H144" s="625"/>
      <c r="I144" s="266"/>
      <c r="J144" s="266"/>
      <c r="N144" s="53"/>
      <c r="O144" s="53"/>
    </row>
    <row r="145" spans="1:15" ht="60.75" customHeight="1" x14ac:dyDescent="0.25">
      <c r="A145" s="93"/>
      <c r="B145" s="625" t="str">
        <f>'014-22-CAPA'!D38</f>
        <v>ENG. HERBERT MESQUITA LOIOLA
ART: 0720240055972
CREA: 25130/D-DF
Matrícula: 973.299-3</v>
      </c>
      <c r="C145" s="625"/>
      <c r="D145" s="625"/>
      <c r="E145" s="625"/>
      <c r="F145" s="625"/>
      <c r="G145" s="625"/>
      <c r="H145" s="625"/>
      <c r="I145" s="266"/>
      <c r="J145" s="266"/>
      <c r="N145" s="53"/>
      <c r="O145" s="53"/>
    </row>
  </sheetData>
  <autoFilter ref="B9:H141" xr:uid="{00000000-0001-0000-0300-000000000000}"/>
  <mergeCells count="16">
    <mergeCell ref="C64:G64"/>
    <mergeCell ref="C76:G76"/>
    <mergeCell ref="C95:G95"/>
    <mergeCell ref="C122:H122"/>
    <mergeCell ref="B145:H145"/>
    <mergeCell ref="B144:H144"/>
    <mergeCell ref="C7:E7"/>
    <mergeCell ref="C20:G20"/>
    <mergeCell ref="C31:G31"/>
    <mergeCell ref="C42:G42"/>
    <mergeCell ref="C53:G53"/>
    <mergeCell ref="B1:H1"/>
    <mergeCell ref="B2:H2"/>
    <mergeCell ref="B3:H3"/>
    <mergeCell ref="B4:H4"/>
    <mergeCell ref="B5:H5"/>
  </mergeCells>
  <printOptions horizontalCentered="1"/>
  <pageMargins left="0.78740157480314965" right="0.78740157480314965" top="0.33" bottom="0.28999999999999998" header="0.11811023622047245" footer="0.11811023622047245"/>
  <pageSetup paperSize="9" scale="73" orientation="portrait" r:id="rId1"/>
  <headerFooter>
    <oddHeader>&amp;C&amp;F</oddHeader>
    <oddFooter>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P139"/>
  <sheetViews>
    <sheetView showGridLines="0" view="pageBreakPreview" zoomScaleNormal="100" zoomScaleSheetLayoutView="100" workbookViewId="0">
      <selection activeCell="P6" sqref="P6"/>
    </sheetView>
  </sheetViews>
  <sheetFormatPr defaultColWidth="9.140625" defaultRowHeight="15.75" x14ac:dyDescent="0.25"/>
  <cols>
    <col min="1" max="1" width="13.28515625" style="256" customWidth="1"/>
    <col min="2" max="2" width="36.7109375" style="337" customWidth="1"/>
    <col min="3" max="3" width="12.28515625" style="259" customWidth="1"/>
    <col min="4" max="4" width="4.5703125" style="88" customWidth="1"/>
    <col min="5" max="9" width="15.85546875" style="88" customWidth="1"/>
    <col min="10" max="10" width="11" style="88" customWidth="1"/>
    <col min="11" max="11" width="11.5703125" style="88" customWidth="1"/>
    <col min="12" max="12" width="10.28515625" style="88" customWidth="1"/>
    <col min="13" max="13" width="10" style="60" bestFit="1" customWidth="1"/>
    <col min="14" max="14" width="10.140625" style="60" customWidth="1"/>
    <col min="15" max="15" width="9.140625" style="391"/>
    <col min="16" max="16" width="11.140625" style="391" customWidth="1"/>
    <col min="17" max="17" width="12.28515625" style="60" customWidth="1"/>
    <col min="18" max="16384" width="9.140625" style="60"/>
  </cols>
  <sheetData>
    <row r="1" spans="1:16" s="30" customFormat="1" x14ac:dyDescent="0.25">
      <c r="A1" s="628"/>
      <c r="B1" s="628"/>
      <c r="C1" s="628"/>
      <c r="D1" s="628"/>
      <c r="E1" s="628"/>
      <c r="F1" s="628"/>
      <c r="G1" s="628"/>
      <c r="H1" s="628"/>
      <c r="I1" s="628"/>
      <c r="J1" s="91"/>
      <c r="K1" s="92"/>
      <c r="L1" s="92"/>
    </row>
    <row r="2" spans="1:16" s="50" customFormat="1" ht="18.75" x14ac:dyDescent="0.3">
      <c r="A2" s="629" t="s">
        <v>1151</v>
      </c>
      <c r="B2" s="629"/>
      <c r="C2" s="629"/>
      <c r="D2" s="629"/>
      <c r="E2" s="629"/>
      <c r="F2" s="629"/>
      <c r="G2" s="629"/>
      <c r="H2" s="629"/>
      <c r="I2" s="629"/>
      <c r="J2" s="93"/>
      <c r="K2" s="94"/>
      <c r="L2" s="93"/>
      <c r="M2" s="49"/>
      <c r="N2" s="49"/>
      <c r="O2" s="49"/>
    </row>
    <row r="3" spans="1:16" s="50" customFormat="1" ht="18.75" x14ac:dyDescent="0.3">
      <c r="A3" s="629" t="s">
        <v>1152</v>
      </c>
      <c r="B3" s="629"/>
      <c r="C3" s="629"/>
      <c r="D3" s="629"/>
      <c r="E3" s="629"/>
      <c r="F3" s="629"/>
      <c r="G3" s="629"/>
      <c r="H3" s="629"/>
      <c r="I3" s="629"/>
      <c r="J3" s="93"/>
      <c r="K3" s="94"/>
      <c r="L3" s="93"/>
      <c r="M3" s="49"/>
      <c r="N3" s="49"/>
      <c r="O3" s="49"/>
    </row>
    <row r="4" spans="1:16" s="50" customFormat="1" ht="18.75" x14ac:dyDescent="0.3">
      <c r="A4" s="629" t="s">
        <v>1154</v>
      </c>
      <c r="B4" s="629"/>
      <c r="C4" s="629"/>
      <c r="D4" s="629"/>
      <c r="E4" s="629"/>
      <c r="F4" s="629"/>
      <c r="G4" s="629"/>
      <c r="H4" s="629"/>
      <c r="I4" s="629"/>
      <c r="J4" s="94"/>
      <c r="K4" s="93"/>
      <c r="L4" s="93"/>
      <c r="M4" s="49"/>
      <c r="N4" s="49"/>
      <c r="O4" s="49"/>
    </row>
    <row r="5" spans="1:16" s="50" customFormat="1" ht="18.75" x14ac:dyDescent="0.3">
      <c r="A5" s="629" t="s">
        <v>158</v>
      </c>
      <c r="B5" s="629"/>
      <c r="C5" s="629"/>
      <c r="D5" s="629"/>
      <c r="E5" s="629"/>
      <c r="F5" s="629"/>
      <c r="G5" s="629"/>
      <c r="H5" s="629"/>
      <c r="I5" s="629"/>
      <c r="J5" s="94"/>
      <c r="K5" s="93"/>
      <c r="L5" s="93"/>
      <c r="M5" s="49"/>
      <c r="N5" s="49">
        <f>191.61</f>
        <v>191.61</v>
      </c>
      <c r="O5" s="49"/>
    </row>
    <row r="6" spans="1:16" s="50" customFormat="1" ht="25.5" x14ac:dyDescent="0.2">
      <c r="A6" s="221" t="s">
        <v>99</v>
      </c>
      <c r="B6" s="607" t="str">
        <f>'014-22-CCU''s'!C6</f>
        <v>014/2022-SEORÇA-SDS-R02</v>
      </c>
      <c r="C6" s="627"/>
      <c r="D6" s="627"/>
      <c r="E6" s="627"/>
      <c r="F6" s="244"/>
      <c r="G6" s="244"/>
      <c r="H6" s="244" t="s">
        <v>60</v>
      </c>
      <c r="I6" s="234">
        <f>'014-22-CAPA'!E20</f>
        <v>45478</v>
      </c>
      <c r="J6" s="95"/>
      <c r="K6" s="94"/>
      <c r="L6" s="93"/>
      <c r="M6" s="49"/>
      <c r="N6" s="49">
        <f>N5*0.174</f>
        <v>33.340139999999998</v>
      </c>
      <c r="O6" s="49"/>
      <c r="P6" s="49"/>
    </row>
    <row r="7" spans="1:16" s="50" customFormat="1" ht="12.75" x14ac:dyDescent="0.2">
      <c r="A7" s="221" t="s">
        <v>13</v>
      </c>
      <c r="B7" s="607" t="str">
        <f>'014-22-CCU''s'!C7</f>
        <v xml:space="preserve">ORÇ. REVITALIZAÇÃO DA PRAÇA 21 DE ABRIL </v>
      </c>
      <c r="C7" s="627"/>
      <c r="D7" s="627"/>
      <c r="E7" s="627"/>
      <c r="F7" s="221"/>
      <c r="G7" s="221"/>
      <c r="H7" s="221" t="s">
        <v>16</v>
      </c>
      <c r="I7" s="93" t="str">
        <f>'014.01-22-ORÇAMENTO'!J7</f>
        <v>PROJ-DE-034-20</v>
      </c>
      <c r="J7" s="95"/>
      <c r="K7" s="93"/>
      <c r="L7" s="93"/>
      <c r="M7" s="49"/>
      <c r="N7" s="49"/>
      <c r="O7" s="49"/>
    </row>
    <row r="8" spans="1:16" s="50" customFormat="1" ht="12.75" x14ac:dyDescent="0.2">
      <c r="A8" s="257"/>
      <c r="B8" s="220"/>
      <c r="C8" s="93"/>
      <c r="D8" s="93"/>
      <c r="E8" s="93"/>
      <c r="F8" s="93"/>
      <c r="G8" s="221"/>
      <c r="H8" s="221"/>
      <c r="I8" s="216"/>
      <c r="J8" s="95"/>
      <c r="K8" s="93"/>
      <c r="L8" s="93"/>
      <c r="M8" s="49"/>
      <c r="N8" s="49"/>
      <c r="O8" s="49"/>
    </row>
    <row r="9" spans="1:16" ht="22.5" x14ac:dyDescent="0.25">
      <c r="A9" s="84" t="s">
        <v>12</v>
      </c>
      <c r="B9" s="333" t="s">
        <v>11</v>
      </c>
      <c r="C9" s="85" t="s">
        <v>180</v>
      </c>
      <c r="D9" s="85" t="s">
        <v>10</v>
      </c>
      <c r="E9" s="85" t="s">
        <v>1499</v>
      </c>
      <c r="F9" s="85" t="s">
        <v>1500</v>
      </c>
      <c r="G9" s="85" t="s">
        <v>1501</v>
      </c>
      <c r="H9" s="85" t="s">
        <v>1502</v>
      </c>
      <c r="I9" s="85" t="s">
        <v>1503</v>
      </c>
    </row>
    <row r="10" spans="1:16" s="86" customFormat="1" ht="11.25" x14ac:dyDescent="0.25">
      <c r="A10" s="127"/>
      <c r="B10" s="334"/>
      <c r="C10" s="130"/>
      <c r="D10" s="130"/>
      <c r="E10" s="130"/>
      <c r="F10" s="130"/>
      <c r="G10" s="130"/>
      <c r="H10" s="130"/>
      <c r="I10" s="130"/>
      <c r="J10" s="89"/>
      <c r="K10" s="89"/>
      <c r="L10" s="89"/>
      <c r="O10" s="392"/>
      <c r="P10" s="392"/>
    </row>
    <row r="11" spans="1:16" s="87" customFormat="1" ht="22.5" x14ac:dyDescent="0.25">
      <c r="A11" s="258" t="s">
        <v>3437</v>
      </c>
      <c r="B11" s="338" t="s">
        <v>4458</v>
      </c>
      <c r="C11" s="260">
        <f>MIN(E13:I13)</f>
        <v>40</v>
      </c>
      <c r="D11" s="261" t="s">
        <v>106</v>
      </c>
      <c r="E11" s="321" t="s">
        <v>3420</v>
      </c>
      <c r="F11" s="321" t="s">
        <v>4459</v>
      </c>
      <c r="G11" s="321" t="s">
        <v>4474</v>
      </c>
      <c r="H11" s="321"/>
      <c r="I11" s="321"/>
      <c r="J11" s="90" t="s">
        <v>161</v>
      </c>
      <c r="K11" s="90"/>
      <c r="L11" s="90"/>
      <c r="O11" s="393"/>
      <c r="P11" s="393"/>
    </row>
    <row r="12" spans="1:16" s="410" customFormat="1" ht="22.5" x14ac:dyDescent="0.25">
      <c r="A12" s="571"/>
      <c r="B12" s="572"/>
      <c r="C12" s="573" t="s">
        <v>184</v>
      </c>
      <c r="D12" s="646"/>
      <c r="E12" s="575" t="s">
        <v>3422</v>
      </c>
      <c r="F12" s="575" t="s">
        <v>4462</v>
      </c>
      <c r="G12" s="575" t="s">
        <v>4476</v>
      </c>
      <c r="H12" s="575"/>
      <c r="I12" s="575"/>
      <c r="J12" s="409" t="s">
        <v>183</v>
      </c>
      <c r="K12" s="409" t="s">
        <v>181</v>
      </c>
      <c r="L12" s="409" t="s">
        <v>182</v>
      </c>
      <c r="O12" s="411"/>
      <c r="P12" s="411"/>
    </row>
    <row r="13" spans="1:16" s="410" customFormat="1" ht="11.25" x14ac:dyDescent="0.25">
      <c r="A13" s="576"/>
      <c r="B13" s="577"/>
      <c r="C13" s="573" t="s">
        <v>9</v>
      </c>
      <c r="D13" s="647"/>
      <c r="E13" s="578">
        <f>13.82*4</f>
        <v>55.28</v>
      </c>
      <c r="F13" s="579">
        <f>10*4</f>
        <v>40</v>
      </c>
      <c r="G13" s="578">
        <f>26.25*2</f>
        <v>52.5</v>
      </c>
      <c r="H13" s="579"/>
      <c r="I13" s="579"/>
      <c r="J13" s="409">
        <f>MEDIAN(E13:I13)</f>
        <v>52.5</v>
      </c>
      <c r="K13" s="409">
        <f>J13*1.3</f>
        <v>68.25</v>
      </c>
      <c r="L13" s="409">
        <f>J13*0.7</f>
        <v>36.75</v>
      </c>
      <c r="O13" s="411"/>
      <c r="P13" s="411"/>
    </row>
    <row r="14" spans="1:16" s="410" customFormat="1" ht="11.25" x14ac:dyDescent="0.25">
      <c r="A14" s="576"/>
      <c r="B14" s="577"/>
      <c r="C14" s="573" t="s">
        <v>8</v>
      </c>
      <c r="D14" s="647"/>
      <c r="E14" s="575" t="s">
        <v>3423</v>
      </c>
      <c r="F14" s="575" t="s">
        <v>4461</v>
      </c>
      <c r="G14" s="575" t="s">
        <v>3911</v>
      </c>
      <c r="H14" s="575"/>
      <c r="I14" s="575"/>
      <c r="J14" s="409"/>
      <c r="K14" s="409"/>
      <c r="L14" s="409"/>
      <c r="O14" s="411"/>
      <c r="P14" s="411"/>
    </row>
    <row r="15" spans="1:16" s="410" customFormat="1" ht="11.25" x14ac:dyDescent="0.25">
      <c r="A15" s="576"/>
      <c r="B15" s="577"/>
      <c r="C15" s="573" t="s">
        <v>7</v>
      </c>
      <c r="D15" s="647"/>
      <c r="E15" s="580" t="s">
        <v>3421</v>
      </c>
      <c r="F15" s="580" t="s">
        <v>4460</v>
      </c>
      <c r="G15" s="580" t="s">
        <v>4475</v>
      </c>
      <c r="H15" s="580"/>
      <c r="I15" s="580"/>
      <c r="J15" s="409"/>
      <c r="K15" s="409"/>
      <c r="L15" s="409"/>
      <c r="O15" s="411"/>
      <c r="P15" s="411"/>
    </row>
    <row r="16" spans="1:16" s="410" customFormat="1" ht="11.25" x14ac:dyDescent="0.25">
      <c r="A16" s="576"/>
      <c r="B16" s="577"/>
      <c r="C16" s="573" t="s">
        <v>6</v>
      </c>
      <c r="D16" s="647"/>
      <c r="E16" s="581">
        <v>45446</v>
      </c>
      <c r="F16" s="581">
        <v>45446</v>
      </c>
      <c r="G16" s="581">
        <v>45446</v>
      </c>
      <c r="H16" s="581"/>
      <c r="I16" s="581"/>
      <c r="J16" s="409"/>
      <c r="K16" s="409"/>
      <c r="L16" s="409"/>
      <c r="O16" s="411"/>
      <c r="P16" s="411"/>
    </row>
    <row r="17" spans="1:16" s="410" customFormat="1" ht="11.25" x14ac:dyDescent="0.25">
      <c r="A17" s="582"/>
      <c r="B17" s="583"/>
      <c r="C17" s="573" t="s">
        <v>1498</v>
      </c>
      <c r="D17" s="648"/>
      <c r="E17" s="581" t="s">
        <v>3437</v>
      </c>
      <c r="F17" s="581" t="s">
        <v>3437</v>
      </c>
      <c r="G17" s="581" t="s">
        <v>3437</v>
      </c>
      <c r="H17" s="581"/>
      <c r="I17" s="581"/>
      <c r="J17" s="409"/>
      <c r="K17" s="409"/>
      <c r="L17" s="409"/>
      <c r="O17" s="411"/>
      <c r="P17" s="411"/>
    </row>
    <row r="18" spans="1:16" s="86" customFormat="1" ht="11.25" x14ac:dyDescent="0.25">
      <c r="A18" s="127"/>
      <c r="B18" s="334"/>
      <c r="C18" s="130"/>
      <c r="D18" s="130"/>
      <c r="E18" s="130"/>
      <c r="F18" s="130"/>
      <c r="G18" s="130"/>
      <c r="H18" s="130"/>
      <c r="I18" s="130"/>
      <c r="J18" s="89"/>
      <c r="K18" s="89"/>
      <c r="L18" s="89"/>
      <c r="O18" s="392"/>
      <c r="P18" s="392"/>
    </row>
    <row r="19" spans="1:16" s="87" customFormat="1" ht="22.5" x14ac:dyDescent="0.25">
      <c r="A19" s="258" t="s">
        <v>3438</v>
      </c>
      <c r="B19" s="338" t="s">
        <v>4469</v>
      </c>
      <c r="C19" s="260">
        <f>MIN(E21:I21)</f>
        <v>35.159999999999997</v>
      </c>
      <c r="D19" s="261" t="s">
        <v>106</v>
      </c>
      <c r="E19" s="321" t="s">
        <v>3420</v>
      </c>
      <c r="F19" s="321" t="s">
        <v>4459</v>
      </c>
      <c r="G19" s="321" t="s">
        <v>4474</v>
      </c>
      <c r="H19" s="321"/>
      <c r="I19" s="321"/>
      <c r="J19" s="90" t="s">
        <v>161</v>
      </c>
      <c r="K19" s="90"/>
      <c r="L19" s="90"/>
      <c r="O19" s="393"/>
      <c r="P19" s="393"/>
    </row>
    <row r="20" spans="1:16" s="410" customFormat="1" ht="22.5" x14ac:dyDescent="0.25">
      <c r="A20" s="571"/>
      <c r="B20" s="572"/>
      <c r="C20" s="573" t="s">
        <v>184</v>
      </c>
      <c r="D20" s="646"/>
      <c r="E20" s="575" t="s">
        <v>3422</v>
      </c>
      <c r="F20" s="575" t="s">
        <v>4462</v>
      </c>
      <c r="G20" s="575" t="s">
        <v>4476</v>
      </c>
      <c r="H20" s="575"/>
      <c r="I20" s="575"/>
      <c r="J20" s="409" t="s">
        <v>183</v>
      </c>
      <c r="K20" s="409" t="s">
        <v>181</v>
      </c>
      <c r="L20" s="409" t="s">
        <v>182</v>
      </c>
      <c r="O20" s="411"/>
      <c r="P20" s="411"/>
    </row>
    <row r="21" spans="1:16" s="410" customFormat="1" ht="11.25" x14ac:dyDescent="0.25">
      <c r="A21" s="576"/>
      <c r="B21" s="577"/>
      <c r="C21" s="573" t="s">
        <v>9</v>
      </c>
      <c r="D21" s="647"/>
      <c r="E21" s="578">
        <f>19.65*4</f>
        <v>78.599999999999994</v>
      </c>
      <c r="F21" s="579">
        <f>17.58*2</f>
        <v>35.159999999999997</v>
      </c>
      <c r="G21" s="578">
        <f>24.24*2</f>
        <v>48.48</v>
      </c>
      <c r="H21" s="579"/>
      <c r="I21" s="579"/>
      <c r="J21" s="409">
        <f>MEDIAN(E21:I21)</f>
        <v>48.48</v>
      </c>
      <c r="K21" s="409">
        <f>J21*1.3</f>
        <v>63.024000000000001</v>
      </c>
      <c r="L21" s="409">
        <f>J21*0.7</f>
        <v>33.935999999999993</v>
      </c>
      <c r="O21" s="411"/>
      <c r="P21" s="411"/>
    </row>
    <row r="22" spans="1:16" s="410" customFormat="1" ht="11.25" x14ac:dyDescent="0.25">
      <c r="A22" s="576"/>
      <c r="B22" s="577"/>
      <c r="C22" s="573" t="s">
        <v>8</v>
      </c>
      <c r="D22" s="647"/>
      <c r="E22" s="575" t="s">
        <v>3423</v>
      </c>
      <c r="F22" s="575" t="s">
        <v>4461</v>
      </c>
      <c r="G22" s="575" t="s">
        <v>3911</v>
      </c>
      <c r="H22" s="575"/>
      <c r="I22" s="575"/>
      <c r="J22" s="409"/>
      <c r="K22" s="409"/>
      <c r="L22" s="409"/>
      <c r="O22" s="411"/>
      <c r="P22" s="411"/>
    </row>
    <row r="23" spans="1:16" s="410" customFormat="1" ht="11.25" x14ac:dyDescent="0.25">
      <c r="A23" s="576"/>
      <c r="B23" s="577"/>
      <c r="C23" s="573" t="s">
        <v>7</v>
      </c>
      <c r="D23" s="647"/>
      <c r="E23" s="580" t="s">
        <v>3421</v>
      </c>
      <c r="F23" s="580" t="s">
        <v>4460</v>
      </c>
      <c r="G23" s="580" t="s">
        <v>4475</v>
      </c>
      <c r="H23" s="580"/>
      <c r="I23" s="580"/>
      <c r="J23" s="409"/>
      <c r="K23" s="409"/>
      <c r="L23" s="409"/>
      <c r="O23" s="411"/>
      <c r="P23" s="411"/>
    </row>
    <row r="24" spans="1:16" s="410" customFormat="1" ht="11.25" x14ac:dyDescent="0.25">
      <c r="A24" s="576"/>
      <c r="B24" s="577"/>
      <c r="C24" s="573" t="s">
        <v>6</v>
      </c>
      <c r="D24" s="647"/>
      <c r="E24" s="581">
        <v>45446</v>
      </c>
      <c r="F24" s="581">
        <v>45446</v>
      </c>
      <c r="G24" s="581">
        <v>45446</v>
      </c>
      <c r="H24" s="581"/>
      <c r="I24" s="581"/>
      <c r="J24" s="409"/>
      <c r="K24" s="409"/>
      <c r="L24" s="409"/>
      <c r="O24" s="411"/>
      <c r="P24" s="411"/>
    </row>
    <row r="25" spans="1:16" s="410" customFormat="1" ht="11.25" x14ac:dyDescent="0.25">
      <c r="A25" s="582"/>
      <c r="B25" s="583"/>
      <c r="C25" s="573" t="s">
        <v>1498</v>
      </c>
      <c r="D25" s="648"/>
      <c r="E25" s="581" t="s">
        <v>3438</v>
      </c>
      <c r="F25" s="581" t="s">
        <v>3438</v>
      </c>
      <c r="G25" s="581" t="s">
        <v>3438</v>
      </c>
      <c r="H25" s="581"/>
      <c r="I25" s="581"/>
      <c r="J25" s="409"/>
      <c r="K25" s="409"/>
      <c r="L25" s="409"/>
      <c r="O25" s="411"/>
      <c r="P25" s="411"/>
    </row>
    <row r="26" spans="1:16" s="86" customFormat="1" ht="11.25" x14ac:dyDescent="0.25">
      <c r="A26" s="127"/>
      <c r="B26" s="334"/>
      <c r="C26" s="130"/>
      <c r="D26" s="130"/>
      <c r="E26" s="130"/>
      <c r="F26" s="130"/>
      <c r="G26" s="130"/>
      <c r="H26" s="130"/>
      <c r="I26" s="130"/>
      <c r="J26" s="89"/>
      <c r="K26" s="89"/>
      <c r="L26" s="89"/>
      <c r="O26" s="392"/>
      <c r="P26" s="392"/>
    </row>
    <row r="27" spans="1:16" s="87" customFormat="1" ht="22.5" x14ac:dyDescent="0.25">
      <c r="A27" s="258" t="s">
        <v>3439</v>
      </c>
      <c r="B27" s="338" t="s">
        <v>4473</v>
      </c>
      <c r="C27" s="260">
        <f>MIN(E29:I29)</f>
        <v>35.159999999999997</v>
      </c>
      <c r="D27" s="261" t="s">
        <v>106</v>
      </c>
      <c r="E27" s="321" t="s">
        <v>3420</v>
      </c>
      <c r="F27" s="321" t="s">
        <v>4459</v>
      </c>
      <c r="G27" s="321" t="s">
        <v>4474</v>
      </c>
      <c r="H27" s="321"/>
      <c r="I27" s="321"/>
      <c r="J27" s="90" t="s">
        <v>161</v>
      </c>
      <c r="K27" s="90"/>
      <c r="L27" s="90"/>
      <c r="O27" s="393"/>
      <c r="P27" s="393"/>
    </row>
    <row r="28" spans="1:16" s="410" customFormat="1" ht="22.5" x14ac:dyDescent="0.25">
      <c r="A28" s="571"/>
      <c r="B28" s="572"/>
      <c r="C28" s="573" t="s">
        <v>184</v>
      </c>
      <c r="D28" s="646"/>
      <c r="E28" s="575" t="s">
        <v>3422</v>
      </c>
      <c r="F28" s="575" t="s">
        <v>4462</v>
      </c>
      <c r="G28" s="575" t="s">
        <v>4476</v>
      </c>
      <c r="H28" s="575"/>
      <c r="I28" s="575"/>
      <c r="J28" s="409" t="s">
        <v>183</v>
      </c>
      <c r="K28" s="409" t="s">
        <v>181</v>
      </c>
      <c r="L28" s="409" t="s">
        <v>182</v>
      </c>
      <c r="O28" s="411"/>
      <c r="P28" s="411"/>
    </row>
    <row r="29" spans="1:16" s="410" customFormat="1" ht="11.25" x14ac:dyDescent="0.25">
      <c r="A29" s="576"/>
      <c r="B29" s="577"/>
      <c r="C29" s="573" t="s">
        <v>9</v>
      </c>
      <c r="D29" s="647"/>
      <c r="E29" s="578">
        <f>19.24*4</f>
        <v>76.959999999999994</v>
      </c>
      <c r="F29" s="579">
        <f>17.58*2</f>
        <v>35.159999999999997</v>
      </c>
      <c r="G29" s="578">
        <f>25.86*2</f>
        <v>51.72</v>
      </c>
      <c r="H29" s="579"/>
      <c r="I29" s="579"/>
      <c r="J29" s="409">
        <f>MEDIAN(E29:I29)</f>
        <v>51.72</v>
      </c>
      <c r="K29" s="409">
        <f>J29*1.3</f>
        <v>67.236000000000004</v>
      </c>
      <c r="L29" s="409">
        <f>J29*0.7</f>
        <v>36.203999999999994</v>
      </c>
      <c r="O29" s="411"/>
      <c r="P29" s="411"/>
    </row>
    <row r="30" spans="1:16" s="410" customFormat="1" ht="11.25" x14ac:dyDescent="0.25">
      <c r="A30" s="576"/>
      <c r="B30" s="577"/>
      <c r="C30" s="573" t="s">
        <v>8</v>
      </c>
      <c r="D30" s="647"/>
      <c r="E30" s="575" t="s">
        <v>3423</v>
      </c>
      <c r="F30" s="575" t="s">
        <v>4461</v>
      </c>
      <c r="G30" s="575" t="s">
        <v>3911</v>
      </c>
      <c r="H30" s="575"/>
      <c r="I30" s="575"/>
      <c r="J30" s="409"/>
      <c r="K30" s="409"/>
      <c r="L30" s="409"/>
      <c r="O30" s="411"/>
      <c r="P30" s="411"/>
    </row>
    <row r="31" spans="1:16" s="410" customFormat="1" ht="11.25" x14ac:dyDescent="0.25">
      <c r="A31" s="576"/>
      <c r="B31" s="577"/>
      <c r="C31" s="573" t="s">
        <v>7</v>
      </c>
      <c r="D31" s="647"/>
      <c r="E31" s="580" t="s">
        <v>3421</v>
      </c>
      <c r="F31" s="580" t="s">
        <v>4460</v>
      </c>
      <c r="G31" s="580" t="s">
        <v>4475</v>
      </c>
      <c r="H31" s="580"/>
      <c r="I31" s="580"/>
      <c r="J31" s="409"/>
      <c r="K31" s="409"/>
      <c r="L31" s="409"/>
      <c r="O31" s="411"/>
      <c r="P31" s="411"/>
    </row>
    <row r="32" spans="1:16" s="410" customFormat="1" ht="11.25" x14ac:dyDescent="0.25">
      <c r="A32" s="576"/>
      <c r="B32" s="577"/>
      <c r="C32" s="573" t="s">
        <v>6</v>
      </c>
      <c r="D32" s="647"/>
      <c r="E32" s="581">
        <v>45446</v>
      </c>
      <c r="F32" s="581">
        <v>45446</v>
      </c>
      <c r="G32" s="581">
        <v>45446</v>
      </c>
      <c r="H32" s="581"/>
      <c r="I32" s="581"/>
      <c r="J32" s="409"/>
      <c r="K32" s="409"/>
      <c r="L32" s="409"/>
      <c r="O32" s="411"/>
      <c r="P32" s="411"/>
    </row>
    <row r="33" spans="1:16" s="410" customFormat="1" ht="11.25" x14ac:dyDescent="0.25">
      <c r="A33" s="582"/>
      <c r="B33" s="583"/>
      <c r="C33" s="573" t="s">
        <v>1498</v>
      </c>
      <c r="D33" s="648"/>
      <c r="E33" s="581" t="s">
        <v>3439</v>
      </c>
      <c r="F33" s="581" t="s">
        <v>3439</v>
      </c>
      <c r="G33" s="581" t="s">
        <v>3439</v>
      </c>
      <c r="H33" s="581"/>
      <c r="I33" s="581"/>
      <c r="J33" s="409"/>
      <c r="K33" s="409"/>
      <c r="L33" s="409"/>
      <c r="O33" s="411"/>
      <c r="P33" s="411"/>
    </row>
    <row r="34" spans="1:16" s="86" customFormat="1" ht="11.25" x14ac:dyDescent="0.25">
      <c r="A34" s="127"/>
      <c r="B34" s="334"/>
      <c r="C34" s="130"/>
      <c r="D34" s="130"/>
      <c r="E34" s="130"/>
      <c r="F34" s="130"/>
      <c r="G34" s="130"/>
      <c r="H34" s="130"/>
      <c r="I34" s="130"/>
      <c r="J34" s="89"/>
      <c r="K34" s="89"/>
      <c r="L34" s="89"/>
      <c r="O34" s="392"/>
      <c r="P34" s="392"/>
    </row>
    <row r="35" spans="1:16" s="87" customFormat="1" ht="22.5" x14ac:dyDescent="0.25">
      <c r="A35" s="258" t="s">
        <v>3440</v>
      </c>
      <c r="B35" s="338" t="s">
        <v>4479</v>
      </c>
      <c r="C35" s="260">
        <f>MIN(E37:I37)</f>
        <v>35.159999999999997</v>
      </c>
      <c r="D35" s="261" t="s">
        <v>106</v>
      </c>
      <c r="E35" s="321" t="s">
        <v>3420</v>
      </c>
      <c r="F35" s="321" t="s">
        <v>4459</v>
      </c>
      <c r="G35" s="321" t="s">
        <v>4474</v>
      </c>
      <c r="H35" s="321"/>
      <c r="I35" s="321"/>
      <c r="J35" s="90" t="s">
        <v>161</v>
      </c>
      <c r="K35" s="90"/>
      <c r="L35" s="90"/>
      <c r="O35" s="393"/>
      <c r="P35" s="393"/>
    </row>
    <row r="36" spans="1:16" s="410" customFormat="1" ht="22.5" x14ac:dyDescent="0.25">
      <c r="A36" s="571"/>
      <c r="B36" s="572"/>
      <c r="C36" s="573" t="s">
        <v>184</v>
      </c>
      <c r="D36" s="646"/>
      <c r="E36" s="575" t="s">
        <v>3422</v>
      </c>
      <c r="F36" s="575" t="s">
        <v>4462</v>
      </c>
      <c r="G36" s="575" t="s">
        <v>4476</v>
      </c>
      <c r="H36" s="575"/>
      <c r="I36" s="575"/>
      <c r="J36" s="409" t="s">
        <v>183</v>
      </c>
      <c r="K36" s="409" t="s">
        <v>181</v>
      </c>
      <c r="L36" s="409" t="s">
        <v>182</v>
      </c>
      <c r="O36" s="411"/>
      <c r="P36" s="411"/>
    </row>
    <row r="37" spans="1:16" s="410" customFormat="1" ht="11.25" x14ac:dyDescent="0.25">
      <c r="A37" s="576"/>
      <c r="B37" s="577"/>
      <c r="C37" s="573" t="s">
        <v>9</v>
      </c>
      <c r="D37" s="647"/>
      <c r="E37" s="578">
        <f>16.45*4</f>
        <v>65.8</v>
      </c>
      <c r="F37" s="579">
        <f>17.58*2</f>
        <v>35.159999999999997</v>
      </c>
      <c r="G37" s="578">
        <f>26.03*2</f>
        <v>52.06</v>
      </c>
      <c r="H37" s="579"/>
      <c r="I37" s="579"/>
      <c r="J37" s="409">
        <f>MEDIAN(E37:I37)</f>
        <v>52.06</v>
      </c>
      <c r="K37" s="409">
        <f>J37*1.3</f>
        <v>67.678000000000011</v>
      </c>
      <c r="L37" s="409">
        <f>J37*0.7</f>
        <v>36.442</v>
      </c>
      <c r="O37" s="411"/>
      <c r="P37" s="411"/>
    </row>
    <row r="38" spans="1:16" s="410" customFormat="1" ht="11.25" x14ac:dyDescent="0.25">
      <c r="A38" s="576"/>
      <c r="B38" s="577"/>
      <c r="C38" s="573" t="s">
        <v>8</v>
      </c>
      <c r="D38" s="647"/>
      <c r="E38" s="575" t="s">
        <v>3423</v>
      </c>
      <c r="F38" s="575" t="s">
        <v>4461</v>
      </c>
      <c r="G38" s="575" t="s">
        <v>3911</v>
      </c>
      <c r="H38" s="575"/>
      <c r="I38" s="575"/>
      <c r="J38" s="409"/>
      <c r="K38" s="409"/>
      <c r="L38" s="409"/>
      <c r="O38" s="411"/>
      <c r="P38" s="411"/>
    </row>
    <row r="39" spans="1:16" s="410" customFormat="1" ht="11.25" x14ac:dyDescent="0.25">
      <c r="A39" s="576"/>
      <c r="B39" s="577"/>
      <c r="C39" s="573" t="s">
        <v>7</v>
      </c>
      <c r="D39" s="647"/>
      <c r="E39" s="580" t="s">
        <v>3421</v>
      </c>
      <c r="F39" s="580" t="s">
        <v>4460</v>
      </c>
      <c r="G39" s="580" t="s">
        <v>4475</v>
      </c>
      <c r="H39" s="580"/>
      <c r="I39" s="580"/>
      <c r="J39" s="409"/>
      <c r="K39" s="409"/>
      <c r="L39" s="409"/>
      <c r="O39" s="411"/>
      <c r="P39" s="411"/>
    </row>
    <row r="40" spans="1:16" s="410" customFormat="1" ht="11.25" x14ac:dyDescent="0.25">
      <c r="A40" s="576"/>
      <c r="B40" s="577"/>
      <c r="C40" s="573" t="s">
        <v>6</v>
      </c>
      <c r="D40" s="647"/>
      <c r="E40" s="581">
        <v>45446</v>
      </c>
      <c r="F40" s="581">
        <v>45446</v>
      </c>
      <c r="G40" s="581">
        <v>45446</v>
      </c>
      <c r="H40" s="581"/>
      <c r="I40" s="581"/>
      <c r="J40" s="409"/>
      <c r="K40" s="409"/>
      <c r="L40" s="409"/>
      <c r="O40" s="411"/>
      <c r="P40" s="411"/>
    </row>
    <row r="41" spans="1:16" s="410" customFormat="1" ht="11.25" x14ac:dyDescent="0.25">
      <c r="A41" s="582"/>
      <c r="B41" s="583"/>
      <c r="C41" s="573" t="s">
        <v>1498</v>
      </c>
      <c r="D41" s="648"/>
      <c r="E41" s="581" t="s">
        <v>3440</v>
      </c>
      <c r="F41" s="581" t="s">
        <v>3440</v>
      </c>
      <c r="G41" s="581" t="s">
        <v>3440</v>
      </c>
      <c r="H41" s="581"/>
      <c r="I41" s="581"/>
      <c r="J41" s="409"/>
      <c r="K41" s="409"/>
      <c r="L41" s="409"/>
      <c r="O41" s="411"/>
      <c r="P41" s="411"/>
    </row>
    <row r="42" spans="1:16" s="86" customFormat="1" ht="11.25" x14ac:dyDescent="0.25">
      <c r="A42" s="127"/>
      <c r="B42" s="334"/>
      <c r="C42" s="130"/>
      <c r="D42" s="130"/>
      <c r="E42" s="130"/>
      <c r="F42" s="130"/>
      <c r="G42" s="130"/>
      <c r="H42" s="130"/>
      <c r="I42" s="130"/>
      <c r="J42" s="89"/>
      <c r="K42" s="89"/>
      <c r="L42" s="89"/>
      <c r="O42" s="392"/>
      <c r="P42" s="392"/>
    </row>
    <row r="43" spans="1:16" s="87" customFormat="1" ht="22.5" x14ac:dyDescent="0.25">
      <c r="A43" s="258" t="s">
        <v>3441</v>
      </c>
      <c r="B43" s="338" t="s">
        <v>4482</v>
      </c>
      <c r="C43" s="260">
        <f>MIN(E45:I45)</f>
        <v>44.96</v>
      </c>
      <c r="D43" s="261" t="s">
        <v>106</v>
      </c>
      <c r="E43" s="321" t="s">
        <v>3420</v>
      </c>
      <c r="F43" s="321" t="s">
        <v>4459</v>
      </c>
      <c r="G43" s="321" t="s">
        <v>4474</v>
      </c>
      <c r="H43" s="321"/>
      <c r="I43" s="321"/>
      <c r="J43" s="90" t="s">
        <v>161</v>
      </c>
      <c r="K43" s="90"/>
      <c r="L43" s="90"/>
      <c r="O43" s="393"/>
      <c r="P43" s="393"/>
    </row>
    <row r="44" spans="1:16" s="410" customFormat="1" ht="22.5" x14ac:dyDescent="0.25">
      <c r="A44" s="571"/>
      <c r="B44" s="572"/>
      <c r="C44" s="573" t="s">
        <v>184</v>
      </c>
      <c r="D44" s="646"/>
      <c r="E44" s="575" t="s">
        <v>3422</v>
      </c>
      <c r="F44" s="575" t="s">
        <v>4462</v>
      </c>
      <c r="G44" s="575" t="s">
        <v>4476</v>
      </c>
      <c r="H44" s="575"/>
      <c r="I44" s="575"/>
      <c r="J44" s="409" t="s">
        <v>183</v>
      </c>
      <c r="K44" s="409" t="s">
        <v>181</v>
      </c>
      <c r="L44" s="409" t="s">
        <v>182</v>
      </c>
      <c r="O44" s="411"/>
      <c r="P44" s="411"/>
    </row>
    <row r="45" spans="1:16" s="410" customFormat="1" ht="11.25" x14ac:dyDescent="0.25">
      <c r="A45" s="576"/>
      <c r="B45" s="577"/>
      <c r="C45" s="573" t="s">
        <v>9</v>
      </c>
      <c r="D45" s="647"/>
      <c r="E45" s="578">
        <f>16*4</f>
        <v>64</v>
      </c>
      <c r="F45" s="579">
        <f>22.48*2</f>
        <v>44.96</v>
      </c>
      <c r="G45" s="578">
        <f>29.31*2</f>
        <v>58.62</v>
      </c>
      <c r="H45" s="579"/>
      <c r="I45" s="579"/>
      <c r="J45" s="409">
        <f>MEDIAN(E45:I45)</f>
        <v>58.62</v>
      </c>
      <c r="K45" s="409">
        <f>J45*1.3</f>
        <v>76.206000000000003</v>
      </c>
      <c r="L45" s="409">
        <f>J45*0.7</f>
        <v>41.033999999999999</v>
      </c>
      <c r="O45" s="411"/>
      <c r="P45" s="411"/>
    </row>
    <row r="46" spans="1:16" s="410" customFormat="1" ht="11.25" x14ac:dyDescent="0.25">
      <c r="A46" s="576"/>
      <c r="B46" s="577"/>
      <c r="C46" s="573" t="s">
        <v>8</v>
      </c>
      <c r="D46" s="647"/>
      <c r="E46" s="575" t="s">
        <v>3423</v>
      </c>
      <c r="F46" s="575" t="s">
        <v>4461</v>
      </c>
      <c r="G46" s="575" t="s">
        <v>3911</v>
      </c>
      <c r="H46" s="575"/>
      <c r="I46" s="575"/>
      <c r="J46" s="409"/>
      <c r="K46" s="409"/>
      <c r="L46" s="409"/>
      <c r="O46" s="411"/>
      <c r="P46" s="411"/>
    </row>
    <row r="47" spans="1:16" s="410" customFormat="1" ht="11.25" x14ac:dyDescent="0.25">
      <c r="A47" s="576"/>
      <c r="B47" s="577"/>
      <c r="C47" s="573" t="s">
        <v>7</v>
      </c>
      <c r="D47" s="647"/>
      <c r="E47" s="580" t="s">
        <v>3421</v>
      </c>
      <c r="F47" s="580" t="s">
        <v>4460</v>
      </c>
      <c r="G47" s="580" t="s">
        <v>4475</v>
      </c>
      <c r="H47" s="580"/>
      <c r="I47" s="580"/>
      <c r="J47" s="409"/>
      <c r="K47" s="409"/>
      <c r="L47" s="409"/>
      <c r="O47" s="411"/>
      <c r="P47" s="411"/>
    </row>
    <row r="48" spans="1:16" s="410" customFormat="1" ht="11.25" x14ac:dyDescent="0.25">
      <c r="A48" s="576"/>
      <c r="B48" s="577"/>
      <c r="C48" s="573" t="s">
        <v>6</v>
      </c>
      <c r="D48" s="647"/>
      <c r="E48" s="581">
        <v>45446</v>
      </c>
      <c r="F48" s="581">
        <v>45446</v>
      </c>
      <c r="G48" s="581">
        <v>45446</v>
      </c>
      <c r="H48" s="581"/>
      <c r="I48" s="581"/>
      <c r="J48" s="409"/>
      <c r="K48" s="409"/>
      <c r="L48" s="409"/>
      <c r="O48" s="411"/>
      <c r="P48" s="411"/>
    </row>
    <row r="49" spans="1:16" s="410" customFormat="1" ht="11.25" x14ac:dyDescent="0.25">
      <c r="A49" s="582"/>
      <c r="B49" s="583"/>
      <c r="C49" s="573" t="s">
        <v>1498</v>
      </c>
      <c r="D49" s="648"/>
      <c r="E49" s="581" t="s">
        <v>3441</v>
      </c>
      <c r="F49" s="581" t="s">
        <v>3441</v>
      </c>
      <c r="G49" s="581" t="s">
        <v>3441</v>
      </c>
      <c r="H49" s="581"/>
      <c r="I49" s="581"/>
      <c r="J49" s="409"/>
      <c r="K49" s="409"/>
      <c r="L49" s="409"/>
      <c r="O49" s="411"/>
      <c r="P49" s="411"/>
    </row>
    <row r="50" spans="1:16" s="86" customFormat="1" ht="11.25" x14ac:dyDescent="0.25">
      <c r="A50" s="127"/>
      <c r="B50" s="334"/>
      <c r="C50" s="130"/>
      <c r="D50" s="130"/>
      <c r="E50" s="130"/>
      <c r="F50" s="130"/>
      <c r="G50" s="130"/>
      <c r="H50" s="130"/>
      <c r="I50" s="130"/>
      <c r="J50" s="89"/>
      <c r="K50" s="89"/>
      <c r="L50" s="89"/>
      <c r="O50" s="392"/>
      <c r="P50" s="392"/>
    </row>
    <row r="51" spans="1:16" s="87" customFormat="1" ht="22.5" x14ac:dyDescent="0.25">
      <c r="A51" s="258" t="s">
        <v>3442</v>
      </c>
      <c r="B51" s="338" t="s">
        <v>3904</v>
      </c>
      <c r="C51" s="260">
        <f>MIN(E53:I53)</f>
        <v>950</v>
      </c>
      <c r="D51" s="261" t="s">
        <v>107</v>
      </c>
      <c r="E51" s="321" t="s">
        <v>3917</v>
      </c>
      <c r="F51" s="321" t="s">
        <v>3921</v>
      </c>
      <c r="G51" s="321" t="s">
        <v>3926</v>
      </c>
      <c r="H51" s="321"/>
      <c r="I51" s="321"/>
      <c r="J51" s="90" t="s">
        <v>161</v>
      </c>
      <c r="K51" s="90"/>
      <c r="L51" s="90"/>
      <c r="O51" s="393"/>
      <c r="P51" s="393"/>
    </row>
    <row r="52" spans="1:16" s="410" customFormat="1" ht="22.5" x14ac:dyDescent="0.25">
      <c r="A52" s="571"/>
      <c r="B52" s="572"/>
      <c r="C52" s="573" t="s">
        <v>184</v>
      </c>
      <c r="D52" s="646"/>
      <c r="E52" s="575" t="s">
        <v>3918</v>
      </c>
      <c r="F52" s="575" t="s">
        <v>3918</v>
      </c>
      <c r="G52" s="575" t="s">
        <v>3927</v>
      </c>
      <c r="H52" s="575"/>
      <c r="I52" s="575"/>
      <c r="J52" s="409" t="s">
        <v>183</v>
      </c>
      <c r="K52" s="409" t="s">
        <v>181</v>
      </c>
      <c r="L52" s="409" t="s">
        <v>182</v>
      </c>
      <c r="O52" s="411"/>
      <c r="P52" s="411"/>
    </row>
    <row r="53" spans="1:16" s="410" customFormat="1" ht="11.25" x14ac:dyDescent="0.25">
      <c r="A53" s="576"/>
      <c r="B53" s="577"/>
      <c r="C53" s="573" t="s">
        <v>9</v>
      </c>
      <c r="D53" s="647"/>
      <c r="E53" s="579">
        <v>950</v>
      </c>
      <c r="F53" s="579">
        <v>2400</v>
      </c>
      <c r="G53" s="579">
        <v>1200</v>
      </c>
      <c r="H53" s="579"/>
      <c r="I53" s="579"/>
      <c r="J53" s="409">
        <f>MEDIAN(E53:I53)</f>
        <v>1200</v>
      </c>
      <c r="K53" s="409">
        <f>J53*1.3</f>
        <v>1560</v>
      </c>
      <c r="L53" s="409">
        <f>J53*0.7</f>
        <v>840</v>
      </c>
      <c r="O53" s="411"/>
      <c r="P53" s="411"/>
    </row>
    <row r="54" spans="1:16" s="410" customFormat="1" ht="11.25" x14ac:dyDescent="0.25">
      <c r="A54" s="576"/>
      <c r="B54" s="577"/>
      <c r="C54" s="573" t="s">
        <v>8</v>
      </c>
      <c r="D54" s="647"/>
      <c r="E54" s="584" t="s">
        <v>3919</v>
      </c>
      <c r="F54" s="575" t="s">
        <v>3922</v>
      </c>
      <c r="G54" s="584" t="s">
        <v>12699</v>
      </c>
      <c r="H54" s="575"/>
      <c r="I54" s="575"/>
      <c r="J54" s="409"/>
      <c r="K54" s="409"/>
      <c r="L54" s="409"/>
      <c r="O54" s="411"/>
      <c r="P54" s="411"/>
    </row>
    <row r="55" spans="1:16" s="410" customFormat="1" ht="11.25" x14ac:dyDescent="0.25">
      <c r="A55" s="576"/>
      <c r="B55" s="577"/>
      <c r="C55" s="573" t="s">
        <v>7</v>
      </c>
      <c r="D55" s="647"/>
      <c r="E55" s="580" t="s">
        <v>3920</v>
      </c>
      <c r="F55" s="580" t="s">
        <v>3923</v>
      </c>
      <c r="G55" s="580" t="s">
        <v>3928</v>
      </c>
      <c r="H55" s="580"/>
      <c r="I55" s="580"/>
      <c r="J55" s="409"/>
      <c r="K55" s="409"/>
      <c r="L55" s="409"/>
      <c r="O55" s="411"/>
      <c r="P55" s="411"/>
    </row>
    <row r="56" spans="1:16" s="410" customFormat="1" ht="11.25" x14ac:dyDescent="0.25">
      <c r="A56" s="576"/>
      <c r="B56" s="577"/>
      <c r="C56" s="573" t="s">
        <v>6</v>
      </c>
      <c r="D56" s="647"/>
      <c r="E56" s="581">
        <v>45454</v>
      </c>
      <c r="F56" s="581">
        <v>45450</v>
      </c>
      <c r="G56" s="581">
        <v>45450</v>
      </c>
      <c r="H56" s="581"/>
      <c r="I56" s="581"/>
      <c r="J56" s="409"/>
      <c r="K56" s="409"/>
      <c r="L56" s="409"/>
      <c r="O56" s="411"/>
      <c r="P56" s="411"/>
    </row>
    <row r="57" spans="1:16" s="410" customFormat="1" ht="11.25" x14ac:dyDescent="0.25">
      <c r="A57" s="582"/>
      <c r="B57" s="583"/>
      <c r="C57" s="573" t="s">
        <v>1498</v>
      </c>
      <c r="D57" s="648"/>
      <c r="E57" s="581" t="s">
        <v>3442</v>
      </c>
      <c r="F57" s="581" t="s">
        <v>3442</v>
      </c>
      <c r="G57" s="581" t="s">
        <v>3442</v>
      </c>
      <c r="H57" s="581"/>
      <c r="I57" s="581"/>
      <c r="J57" s="409"/>
      <c r="K57" s="409"/>
      <c r="L57" s="409"/>
      <c r="O57" s="411"/>
      <c r="P57" s="411"/>
    </row>
    <row r="58" spans="1:16" s="86" customFormat="1" ht="11.25" x14ac:dyDescent="0.25">
      <c r="A58" s="127"/>
      <c r="B58" s="334"/>
      <c r="C58" s="130"/>
      <c r="D58" s="130"/>
      <c r="E58" s="130"/>
      <c r="F58" s="130"/>
      <c r="G58" s="130"/>
      <c r="H58" s="130"/>
      <c r="I58" s="130"/>
      <c r="J58" s="89"/>
      <c r="K58" s="89"/>
      <c r="L58" s="89"/>
      <c r="O58" s="392"/>
      <c r="P58" s="392"/>
    </row>
    <row r="59" spans="1:16" s="87" customFormat="1" ht="22.5" x14ac:dyDescent="0.25">
      <c r="A59" s="258" t="s">
        <v>4507</v>
      </c>
      <c r="B59" s="338" t="s">
        <v>4512</v>
      </c>
      <c r="C59" s="260">
        <f>MIN(E61:I61)</f>
        <v>11.25</v>
      </c>
      <c r="D59" s="261" t="s">
        <v>5</v>
      </c>
      <c r="E59" s="321" t="s">
        <v>4819</v>
      </c>
      <c r="F59" s="321" t="s">
        <v>4508</v>
      </c>
      <c r="G59" s="321" t="s">
        <v>4823</v>
      </c>
      <c r="H59" s="321"/>
      <c r="I59" s="321"/>
      <c r="J59" s="90" t="s">
        <v>161</v>
      </c>
      <c r="K59" s="90"/>
      <c r="L59" s="90"/>
      <c r="O59" s="393"/>
      <c r="P59" s="393"/>
    </row>
    <row r="60" spans="1:16" s="410" customFormat="1" ht="33.75" x14ac:dyDescent="0.25">
      <c r="A60" s="571"/>
      <c r="B60" s="572"/>
      <c r="C60" s="573" t="s">
        <v>184</v>
      </c>
      <c r="D60" s="646"/>
      <c r="E60" s="575" t="s">
        <v>4820</v>
      </c>
      <c r="F60" s="575" t="s">
        <v>4511</v>
      </c>
      <c r="G60" s="575" t="s">
        <v>4824</v>
      </c>
      <c r="H60" s="585"/>
      <c r="I60" s="585"/>
      <c r="J60" s="409" t="s">
        <v>183</v>
      </c>
      <c r="K60" s="409" t="s">
        <v>181</v>
      </c>
      <c r="L60" s="409" t="s">
        <v>182</v>
      </c>
      <c r="O60" s="411"/>
      <c r="P60" s="411"/>
    </row>
    <row r="61" spans="1:16" s="410" customFormat="1" ht="11.25" x14ac:dyDescent="0.25">
      <c r="A61" s="576"/>
      <c r="B61" s="577"/>
      <c r="C61" s="573" t="s">
        <v>9</v>
      </c>
      <c r="D61" s="647"/>
      <c r="E61" s="579">
        <v>16.53</v>
      </c>
      <c r="F61" s="579">
        <v>11.25</v>
      </c>
      <c r="G61" s="579">
        <v>14.92</v>
      </c>
      <c r="H61" s="579"/>
      <c r="I61" s="579"/>
      <c r="J61" s="409">
        <f>MEDIAN(E61:I61)</f>
        <v>14.92</v>
      </c>
      <c r="K61" s="409">
        <f>J61*1.3</f>
        <v>19.396000000000001</v>
      </c>
      <c r="L61" s="409">
        <f>J61*0.7</f>
        <v>10.443999999999999</v>
      </c>
      <c r="O61" s="411"/>
      <c r="P61" s="411"/>
    </row>
    <row r="62" spans="1:16" s="410" customFormat="1" ht="11.25" x14ac:dyDescent="0.25">
      <c r="A62" s="576"/>
      <c r="B62" s="577"/>
      <c r="C62" s="573" t="s">
        <v>8</v>
      </c>
      <c r="D62" s="647"/>
      <c r="E62" s="584" t="s">
        <v>4821</v>
      </c>
      <c r="F62" s="584" t="s">
        <v>4510</v>
      </c>
      <c r="G62" s="584" t="s">
        <v>4825</v>
      </c>
      <c r="H62" s="575"/>
      <c r="I62" s="575"/>
      <c r="J62" s="409"/>
      <c r="K62" s="409"/>
      <c r="L62" s="409"/>
      <c r="O62" s="411"/>
      <c r="P62" s="411"/>
    </row>
    <row r="63" spans="1:16" s="410" customFormat="1" ht="11.25" x14ac:dyDescent="0.25">
      <c r="A63" s="576"/>
      <c r="B63" s="577"/>
      <c r="C63" s="573" t="s">
        <v>7</v>
      </c>
      <c r="D63" s="647"/>
      <c r="E63" s="580" t="s">
        <v>4822</v>
      </c>
      <c r="F63" s="580" t="s">
        <v>4509</v>
      </c>
      <c r="G63" s="580" t="s">
        <v>4826</v>
      </c>
      <c r="H63" s="580"/>
      <c r="I63" s="580"/>
      <c r="J63" s="409"/>
      <c r="K63" s="409"/>
      <c r="L63" s="409"/>
      <c r="O63" s="411"/>
      <c r="P63" s="411"/>
    </row>
    <row r="64" spans="1:16" s="410" customFormat="1" ht="11.25" x14ac:dyDescent="0.25">
      <c r="A64" s="576"/>
      <c r="B64" s="577"/>
      <c r="C64" s="573" t="s">
        <v>6</v>
      </c>
      <c r="D64" s="647"/>
      <c r="E64" s="581">
        <v>45448</v>
      </c>
      <c r="F64" s="581">
        <v>45448</v>
      </c>
      <c r="G64" s="581">
        <v>45448</v>
      </c>
      <c r="H64" s="581"/>
      <c r="I64" s="581"/>
      <c r="J64" s="409"/>
      <c r="K64" s="409"/>
      <c r="L64" s="409"/>
      <c r="O64" s="411"/>
      <c r="P64" s="411"/>
    </row>
    <row r="65" spans="1:16" s="410" customFormat="1" ht="11.25" x14ac:dyDescent="0.25">
      <c r="A65" s="582"/>
      <c r="B65" s="583"/>
      <c r="C65" s="573" t="s">
        <v>1498</v>
      </c>
      <c r="D65" s="648"/>
      <c r="E65" s="581" t="s">
        <v>4507</v>
      </c>
      <c r="F65" s="581" t="s">
        <v>4507</v>
      </c>
      <c r="G65" s="581" t="s">
        <v>4507</v>
      </c>
      <c r="H65" s="581"/>
      <c r="I65" s="581"/>
      <c r="J65" s="409"/>
      <c r="K65" s="409"/>
      <c r="L65" s="409"/>
      <c r="O65" s="414" t="s">
        <v>156</v>
      </c>
      <c r="P65" s="411"/>
    </row>
    <row r="66" spans="1:16" s="86" customFormat="1" ht="11.25" x14ac:dyDescent="0.25">
      <c r="A66" s="127"/>
      <c r="B66" s="334"/>
      <c r="C66" s="130"/>
      <c r="D66" s="130"/>
      <c r="E66" s="130"/>
      <c r="F66" s="130"/>
      <c r="G66" s="130"/>
      <c r="H66" s="130"/>
      <c r="I66" s="130"/>
      <c r="J66" s="89"/>
      <c r="K66" s="89"/>
      <c r="L66" s="89"/>
      <c r="O66" s="392"/>
      <c r="P66" s="392"/>
    </row>
    <row r="67" spans="1:16" s="87" customFormat="1" ht="22.5" x14ac:dyDescent="0.25">
      <c r="A67" s="258" t="s">
        <v>3443</v>
      </c>
      <c r="B67" s="338" t="s">
        <v>4513</v>
      </c>
      <c r="C67" s="260">
        <f>MIN(E69:I69)</f>
        <v>0.41</v>
      </c>
      <c r="D67" s="261" t="s">
        <v>107</v>
      </c>
      <c r="E67" s="321" t="s">
        <v>4819</v>
      </c>
      <c r="F67" s="321" t="s">
        <v>4508</v>
      </c>
      <c r="G67" s="321" t="s">
        <v>4827</v>
      </c>
      <c r="H67" s="321"/>
      <c r="I67" s="321"/>
      <c r="J67" s="90" t="s">
        <v>161</v>
      </c>
      <c r="K67" s="90"/>
      <c r="L67" s="90"/>
      <c r="O67" s="393"/>
      <c r="P67" s="393"/>
    </row>
    <row r="68" spans="1:16" s="410" customFormat="1" ht="33.75" x14ac:dyDescent="0.25">
      <c r="A68" s="571"/>
      <c r="B68" s="572"/>
      <c r="C68" s="573" t="s">
        <v>184</v>
      </c>
      <c r="D68" s="646"/>
      <c r="E68" s="575" t="s">
        <v>4820</v>
      </c>
      <c r="F68" s="575" t="s">
        <v>4511</v>
      </c>
      <c r="G68" s="575" t="s">
        <v>4828</v>
      </c>
      <c r="H68" s="585"/>
      <c r="I68" s="585"/>
      <c r="J68" s="409" t="s">
        <v>183</v>
      </c>
      <c r="K68" s="409" t="s">
        <v>181</v>
      </c>
      <c r="L68" s="409" t="s">
        <v>182</v>
      </c>
      <c r="O68" s="411"/>
      <c r="P68" s="411"/>
    </row>
    <row r="69" spans="1:16" s="410" customFormat="1" ht="11.25" x14ac:dyDescent="0.25">
      <c r="A69" s="576"/>
      <c r="B69" s="577"/>
      <c r="C69" s="573" t="s">
        <v>9</v>
      </c>
      <c r="D69" s="647"/>
      <c r="E69" s="579">
        <v>0.5</v>
      </c>
      <c r="F69" s="579">
        <v>0.41</v>
      </c>
      <c r="G69" s="579">
        <v>0.44</v>
      </c>
      <c r="H69" s="579"/>
      <c r="I69" s="579"/>
      <c r="J69" s="409">
        <f>MEDIAN(E69:I69)</f>
        <v>0.44</v>
      </c>
      <c r="K69" s="409">
        <f>J69*1.3</f>
        <v>0.57200000000000006</v>
      </c>
      <c r="L69" s="409">
        <f>J69*0.7</f>
        <v>0.308</v>
      </c>
      <c r="O69" s="411"/>
      <c r="P69" s="411"/>
    </row>
    <row r="70" spans="1:16" s="410" customFormat="1" ht="11.25" x14ac:dyDescent="0.25">
      <c r="A70" s="576"/>
      <c r="B70" s="577"/>
      <c r="C70" s="573" t="s">
        <v>8</v>
      </c>
      <c r="D70" s="647"/>
      <c r="E70" s="584" t="s">
        <v>4821</v>
      </c>
      <c r="F70" s="584" t="s">
        <v>4510</v>
      </c>
      <c r="G70" s="584" t="s">
        <v>4829</v>
      </c>
      <c r="H70" s="575"/>
      <c r="I70" s="575"/>
      <c r="J70" s="409"/>
      <c r="K70" s="409"/>
      <c r="L70" s="409"/>
      <c r="O70" s="411"/>
      <c r="P70" s="411"/>
    </row>
    <row r="71" spans="1:16" s="410" customFormat="1" ht="11.25" x14ac:dyDescent="0.25">
      <c r="A71" s="576"/>
      <c r="B71" s="577"/>
      <c r="C71" s="573" t="s">
        <v>7</v>
      </c>
      <c r="D71" s="647"/>
      <c r="E71" s="580" t="s">
        <v>4822</v>
      </c>
      <c r="F71" s="580" t="s">
        <v>4509</v>
      </c>
      <c r="G71" s="580" t="s">
        <v>4830</v>
      </c>
      <c r="H71" s="580"/>
      <c r="I71" s="580"/>
      <c r="J71" s="409"/>
      <c r="K71" s="409"/>
      <c r="L71" s="409"/>
      <c r="O71" s="411"/>
      <c r="P71" s="411"/>
    </row>
    <row r="72" spans="1:16" s="410" customFormat="1" ht="11.25" x14ac:dyDescent="0.25">
      <c r="A72" s="576"/>
      <c r="B72" s="577"/>
      <c r="C72" s="573" t="s">
        <v>6</v>
      </c>
      <c r="D72" s="647"/>
      <c r="E72" s="581">
        <v>45448</v>
      </c>
      <c r="F72" s="581">
        <v>45448</v>
      </c>
      <c r="G72" s="581">
        <v>45448</v>
      </c>
      <c r="H72" s="581"/>
      <c r="I72" s="581"/>
      <c r="J72" s="409"/>
      <c r="K72" s="409"/>
      <c r="L72" s="409"/>
      <c r="O72" s="411"/>
      <c r="P72" s="411"/>
    </row>
    <row r="73" spans="1:16" s="410" customFormat="1" ht="11.25" x14ac:dyDescent="0.25">
      <c r="A73" s="582"/>
      <c r="B73" s="583"/>
      <c r="C73" s="573" t="s">
        <v>1498</v>
      </c>
      <c r="D73" s="648"/>
      <c r="E73" s="581" t="s">
        <v>3443</v>
      </c>
      <c r="F73" s="581" t="s">
        <v>3443</v>
      </c>
      <c r="G73" s="581" t="s">
        <v>3443</v>
      </c>
      <c r="H73" s="581"/>
      <c r="I73" s="581"/>
      <c r="J73" s="409"/>
      <c r="K73" s="409"/>
      <c r="L73" s="409"/>
      <c r="O73" s="411"/>
      <c r="P73" s="411"/>
    </row>
    <row r="74" spans="1:16" s="86" customFormat="1" ht="11.25" x14ac:dyDescent="0.25">
      <c r="A74" s="127"/>
      <c r="B74" s="334"/>
      <c r="C74" s="130"/>
      <c r="D74" s="130"/>
      <c r="E74" s="130"/>
      <c r="F74" s="130"/>
      <c r="G74" s="130"/>
      <c r="H74" s="130"/>
      <c r="I74" s="130"/>
      <c r="J74" s="89"/>
      <c r="K74" s="89"/>
      <c r="L74" s="89"/>
      <c r="O74" s="392"/>
      <c r="P74" s="392"/>
    </row>
    <row r="75" spans="1:16" s="87" customFormat="1" ht="22.5" x14ac:dyDescent="0.25">
      <c r="A75" s="258" t="s">
        <v>3444</v>
      </c>
      <c r="B75" s="338" t="s">
        <v>4550</v>
      </c>
      <c r="C75" s="260">
        <f>MIN(E77:I77)</f>
        <v>4067.9999999999995</v>
      </c>
      <c r="D75" s="261" t="s">
        <v>107</v>
      </c>
      <c r="E75" s="321" t="s">
        <v>4616</v>
      </c>
      <c r="F75" s="321" t="s">
        <v>4620</v>
      </c>
      <c r="G75" s="321" t="s">
        <v>4831</v>
      </c>
      <c r="H75" s="321"/>
      <c r="I75" s="321"/>
      <c r="J75" s="90" t="s">
        <v>161</v>
      </c>
      <c r="K75" s="90"/>
      <c r="L75" s="90"/>
      <c r="O75" s="393"/>
      <c r="P75" s="393"/>
    </row>
    <row r="76" spans="1:16" s="410" customFormat="1" ht="22.5" x14ac:dyDescent="0.25">
      <c r="A76" s="571"/>
      <c r="B76" s="572"/>
      <c r="C76" s="573" t="s">
        <v>184</v>
      </c>
      <c r="D76" s="646"/>
      <c r="E76" s="585" t="s">
        <v>4618</v>
      </c>
      <c r="F76" s="585" t="s">
        <v>4832</v>
      </c>
      <c r="G76" s="575" t="s">
        <v>4833</v>
      </c>
      <c r="H76" s="585"/>
      <c r="I76" s="575"/>
      <c r="J76" s="409" t="s">
        <v>183</v>
      </c>
      <c r="K76" s="409" t="s">
        <v>181</v>
      </c>
      <c r="L76" s="409" t="s">
        <v>182</v>
      </c>
      <c r="O76" s="411"/>
      <c r="P76" s="411"/>
    </row>
    <row r="77" spans="1:16" s="410" customFormat="1" ht="11.25" x14ac:dyDescent="0.25">
      <c r="A77" s="576"/>
      <c r="B77" s="577"/>
      <c r="C77" s="573" t="s">
        <v>9</v>
      </c>
      <c r="D77" s="647"/>
      <c r="E77" s="578">
        <v>7141.13</v>
      </c>
      <c r="F77" s="578">
        <f>3600*1.13</f>
        <v>4067.9999999999995</v>
      </c>
      <c r="G77" s="579">
        <v>5330</v>
      </c>
      <c r="H77" s="579"/>
      <c r="I77" s="579"/>
      <c r="J77" s="409">
        <f>MEDIAN(E77:I77)</f>
        <v>5330</v>
      </c>
      <c r="K77" s="409">
        <f>J77*1.3</f>
        <v>6929</v>
      </c>
      <c r="L77" s="409">
        <f>J77*0.7</f>
        <v>3730.9999999999995</v>
      </c>
      <c r="O77" s="411"/>
      <c r="P77" s="411"/>
    </row>
    <row r="78" spans="1:16" s="410" customFormat="1" ht="11.25" x14ac:dyDescent="0.25">
      <c r="A78" s="576"/>
      <c r="B78" s="577"/>
      <c r="C78" s="573" t="s">
        <v>8</v>
      </c>
      <c r="D78" s="647"/>
      <c r="E78" s="575" t="s">
        <v>4617</v>
      </c>
      <c r="F78" s="575" t="s">
        <v>4621</v>
      </c>
      <c r="G78" s="584" t="s">
        <v>4834</v>
      </c>
      <c r="H78" s="575"/>
      <c r="I78" s="575"/>
      <c r="J78" s="409"/>
      <c r="K78" s="409"/>
      <c r="L78" s="409"/>
      <c r="O78" s="411"/>
      <c r="P78" s="411"/>
    </row>
    <row r="79" spans="1:16" s="410" customFormat="1" ht="11.25" x14ac:dyDescent="0.25">
      <c r="A79" s="576"/>
      <c r="B79" s="577"/>
      <c r="C79" s="573" t="s">
        <v>7</v>
      </c>
      <c r="D79" s="647"/>
      <c r="E79" s="580" t="s">
        <v>4619</v>
      </c>
      <c r="F79" s="580" t="s">
        <v>4835</v>
      </c>
      <c r="G79" s="580" t="s">
        <v>4836</v>
      </c>
      <c r="H79" s="580"/>
      <c r="I79" s="580"/>
      <c r="J79" s="409"/>
      <c r="K79" s="409"/>
      <c r="L79" s="409"/>
      <c r="O79" s="411"/>
      <c r="P79" s="411"/>
    </row>
    <row r="80" spans="1:16" s="410" customFormat="1" ht="11.25" x14ac:dyDescent="0.25">
      <c r="A80" s="576"/>
      <c r="B80" s="577"/>
      <c r="C80" s="573" t="s">
        <v>6</v>
      </c>
      <c r="D80" s="647"/>
      <c r="E80" s="581">
        <v>45447</v>
      </c>
      <c r="F80" s="581">
        <v>45447</v>
      </c>
      <c r="G80" s="581">
        <v>45447</v>
      </c>
      <c r="H80" s="581"/>
      <c r="I80" s="581"/>
      <c r="J80" s="409"/>
      <c r="K80" s="409"/>
      <c r="L80" s="409"/>
      <c r="O80" s="411"/>
      <c r="P80" s="411"/>
    </row>
    <row r="81" spans="1:16" s="410" customFormat="1" ht="11.25" x14ac:dyDescent="0.25">
      <c r="A81" s="582"/>
      <c r="B81" s="583"/>
      <c r="C81" s="573" t="s">
        <v>1498</v>
      </c>
      <c r="D81" s="648"/>
      <c r="E81" s="581" t="s">
        <v>4837</v>
      </c>
      <c r="F81" s="581" t="s">
        <v>4838</v>
      </c>
      <c r="G81" s="581" t="s">
        <v>4839</v>
      </c>
      <c r="H81" s="581"/>
      <c r="I81" s="581"/>
      <c r="J81" s="409"/>
      <c r="K81" s="409"/>
      <c r="L81" s="409"/>
      <c r="O81" s="411"/>
      <c r="P81" s="411"/>
    </row>
    <row r="82" spans="1:16" s="86" customFormat="1" ht="11.25" x14ac:dyDescent="0.25">
      <c r="A82" s="127"/>
      <c r="B82" s="334"/>
      <c r="C82" s="130"/>
      <c r="D82" s="130"/>
      <c r="E82" s="130"/>
      <c r="F82" s="130"/>
      <c r="G82" s="130"/>
      <c r="H82" s="130"/>
      <c r="I82" s="130"/>
      <c r="J82" s="89"/>
      <c r="K82" s="89"/>
      <c r="L82" s="89"/>
      <c r="O82" s="392"/>
      <c r="P82" s="392"/>
    </row>
    <row r="83" spans="1:16" s="87" customFormat="1" ht="22.5" x14ac:dyDescent="0.25">
      <c r="A83" s="258" t="s">
        <v>4553</v>
      </c>
      <c r="B83" s="338" t="s">
        <v>4552</v>
      </c>
      <c r="C83" s="260">
        <f>MIN(E85:I85)</f>
        <v>3322.2</v>
      </c>
      <c r="D83" s="261" t="s">
        <v>107</v>
      </c>
      <c r="E83" s="321" t="s">
        <v>4616</v>
      </c>
      <c r="F83" s="321" t="s">
        <v>4620</v>
      </c>
      <c r="G83" s="321" t="s">
        <v>4831</v>
      </c>
      <c r="H83" s="321"/>
      <c r="I83" s="321"/>
      <c r="J83" s="90" t="s">
        <v>161</v>
      </c>
      <c r="K83" s="90"/>
      <c r="L83" s="90"/>
      <c r="O83" s="393"/>
      <c r="P83" s="393"/>
    </row>
    <row r="84" spans="1:16" s="410" customFormat="1" ht="22.5" x14ac:dyDescent="0.25">
      <c r="A84" s="571"/>
      <c r="B84" s="572"/>
      <c r="C84" s="573" t="s">
        <v>184</v>
      </c>
      <c r="D84" s="646"/>
      <c r="E84" s="585" t="s">
        <v>4618</v>
      </c>
      <c r="F84" s="585" t="s">
        <v>4832</v>
      </c>
      <c r="G84" s="575" t="s">
        <v>4833</v>
      </c>
      <c r="H84" s="585"/>
      <c r="I84" s="575"/>
      <c r="J84" s="409" t="s">
        <v>183</v>
      </c>
      <c r="K84" s="409" t="s">
        <v>181</v>
      </c>
      <c r="L84" s="409" t="s">
        <v>182</v>
      </c>
      <c r="O84" s="411"/>
      <c r="P84" s="411"/>
    </row>
    <row r="85" spans="1:16" s="410" customFormat="1" ht="11.25" x14ac:dyDescent="0.25">
      <c r="A85" s="576"/>
      <c r="B85" s="577"/>
      <c r="C85" s="573" t="s">
        <v>9</v>
      </c>
      <c r="D85" s="647"/>
      <c r="E85" s="578">
        <v>3927.36</v>
      </c>
      <c r="F85" s="578">
        <f>2940*1.13</f>
        <v>3322.2</v>
      </c>
      <c r="G85" s="579">
        <v>4410</v>
      </c>
      <c r="H85" s="579"/>
      <c r="I85" s="579"/>
      <c r="J85" s="409">
        <f>MEDIAN(E85:I85)</f>
        <v>3927.36</v>
      </c>
      <c r="K85" s="409">
        <f>J85*1.3</f>
        <v>5105.5680000000002</v>
      </c>
      <c r="L85" s="409">
        <f>J85*0.7</f>
        <v>2749.152</v>
      </c>
      <c r="O85" s="411"/>
      <c r="P85" s="411"/>
    </row>
    <row r="86" spans="1:16" s="410" customFormat="1" ht="11.25" x14ac:dyDescent="0.25">
      <c r="A86" s="576"/>
      <c r="B86" s="577"/>
      <c r="C86" s="573" t="s">
        <v>8</v>
      </c>
      <c r="D86" s="647"/>
      <c r="E86" s="575" t="s">
        <v>4617</v>
      </c>
      <c r="F86" s="575" t="s">
        <v>4621</v>
      </c>
      <c r="G86" s="584" t="s">
        <v>4834</v>
      </c>
      <c r="H86" s="575"/>
      <c r="I86" s="575"/>
      <c r="J86" s="409"/>
      <c r="K86" s="409"/>
      <c r="L86" s="409"/>
      <c r="O86" s="411"/>
      <c r="P86" s="411"/>
    </row>
    <row r="87" spans="1:16" s="410" customFormat="1" ht="11.25" x14ac:dyDescent="0.25">
      <c r="A87" s="576"/>
      <c r="B87" s="577"/>
      <c r="C87" s="573" t="s">
        <v>7</v>
      </c>
      <c r="D87" s="647"/>
      <c r="E87" s="580" t="s">
        <v>4619</v>
      </c>
      <c r="F87" s="580" t="s">
        <v>4835</v>
      </c>
      <c r="G87" s="580" t="s">
        <v>4836</v>
      </c>
      <c r="H87" s="580"/>
      <c r="I87" s="580"/>
      <c r="J87" s="409"/>
      <c r="K87" s="409"/>
      <c r="L87" s="409"/>
      <c r="O87" s="411"/>
      <c r="P87" s="411"/>
    </row>
    <row r="88" spans="1:16" s="410" customFormat="1" ht="11.25" x14ac:dyDescent="0.25">
      <c r="A88" s="576"/>
      <c r="B88" s="577"/>
      <c r="C88" s="573" t="s">
        <v>6</v>
      </c>
      <c r="D88" s="647"/>
      <c r="E88" s="581">
        <v>45447</v>
      </c>
      <c r="F88" s="581">
        <v>45447</v>
      </c>
      <c r="G88" s="581">
        <v>45447</v>
      </c>
      <c r="H88" s="581"/>
      <c r="I88" s="581"/>
      <c r="J88" s="409"/>
      <c r="K88" s="409"/>
      <c r="L88" s="409"/>
      <c r="O88" s="411"/>
      <c r="P88" s="411"/>
    </row>
    <row r="89" spans="1:16" s="410" customFormat="1" ht="11.25" x14ac:dyDescent="0.25">
      <c r="A89" s="582"/>
      <c r="B89" s="583"/>
      <c r="C89" s="573" t="s">
        <v>1498</v>
      </c>
      <c r="D89" s="648"/>
      <c r="E89" s="581" t="s">
        <v>4837</v>
      </c>
      <c r="F89" s="581" t="s">
        <v>4838</v>
      </c>
      <c r="G89" s="581" t="s">
        <v>4839</v>
      </c>
      <c r="H89" s="581"/>
      <c r="I89" s="581"/>
      <c r="J89" s="409"/>
      <c r="K89" s="409"/>
      <c r="L89" s="409"/>
      <c r="O89" s="411"/>
      <c r="P89" s="411"/>
    </row>
    <row r="90" spans="1:16" s="86" customFormat="1" ht="11.25" x14ac:dyDescent="0.25">
      <c r="A90" s="127"/>
      <c r="B90" s="334"/>
      <c r="C90" s="130"/>
      <c r="D90" s="130"/>
      <c r="E90" s="130"/>
      <c r="F90" s="130"/>
      <c r="G90" s="130"/>
      <c r="H90" s="130"/>
      <c r="I90" s="130"/>
      <c r="J90" s="89"/>
      <c r="K90" s="89"/>
      <c r="L90" s="89"/>
      <c r="O90" s="392"/>
      <c r="P90" s="392"/>
    </row>
    <row r="91" spans="1:16" s="87" customFormat="1" ht="22.5" x14ac:dyDescent="0.25">
      <c r="A91" s="258" t="s">
        <v>4556</v>
      </c>
      <c r="B91" s="338" t="s">
        <v>4555</v>
      </c>
      <c r="C91" s="260">
        <f>MIN(E93:I93)</f>
        <v>2327.7999999999997</v>
      </c>
      <c r="D91" s="261" t="s">
        <v>107</v>
      </c>
      <c r="E91" s="321" t="s">
        <v>4616</v>
      </c>
      <c r="F91" s="321" t="s">
        <v>4620</v>
      </c>
      <c r="G91" s="321" t="s">
        <v>4831</v>
      </c>
      <c r="H91" s="321"/>
      <c r="I91" s="321"/>
      <c r="J91" s="90" t="s">
        <v>161</v>
      </c>
      <c r="K91" s="90"/>
      <c r="L91" s="90"/>
      <c r="O91" s="393"/>
      <c r="P91" s="393"/>
    </row>
    <row r="92" spans="1:16" s="410" customFormat="1" ht="22.5" x14ac:dyDescent="0.25">
      <c r="A92" s="571"/>
      <c r="B92" s="572"/>
      <c r="C92" s="573" t="s">
        <v>184</v>
      </c>
      <c r="D92" s="646"/>
      <c r="E92" s="585" t="s">
        <v>4618</v>
      </c>
      <c r="F92" s="585" t="s">
        <v>4832</v>
      </c>
      <c r="G92" s="575" t="s">
        <v>4833</v>
      </c>
      <c r="H92" s="575"/>
      <c r="I92" s="575"/>
      <c r="J92" s="409" t="s">
        <v>183</v>
      </c>
      <c r="K92" s="409" t="s">
        <v>181</v>
      </c>
      <c r="L92" s="409" t="s">
        <v>182</v>
      </c>
      <c r="O92" s="411"/>
      <c r="P92" s="411"/>
    </row>
    <row r="93" spans="1:16" s="410" customFormat="1" ht="11.25" x14ac:dyDescent="0.25">
      <c r="A93" s="576"/>
      <c r="B93" s="577"/>
      <c r="C93" s="573" t="s">
        <v>9</v>
      </c>
      <c r="D93" s="647"/>
      <c r="E93" s="578">
        <v>4065.03</v>
      </c>
      <c r="F93" s="578">
        <f>2060*1.13</f>
        <v>2327.7999999999997</v>
      </c>
      <c r="G93" s="579">
        <v>3250</v>
      </c>
      <c r="H93" s="579"/>
      <c r="I93" s="579"/>
      <c r="J93" s="409">
        <f>MEDIAN(E93:I93)</f>
        <v>3250</v>
      </c>
      <c r="K93" s="409">
        <f>J93*1.3</f>
        <v>4225</v>
      </c>
      <c r="L93" s="409">
        <f>J93*0.7</f>
        <v>2275</v>
      </c>
      <c r="O93" s="411"/>
      <c r="P93" s="411"/>
    </row>
    <row r="94" spans="1:16" s="410" customFormat="1" ht="11.25" x14ac:dyDescent="0.25">
      <c r="A94" s="576"/>
      <c r="B94" s="577"/>
      <c r="C94" s="573" t="s">
        <v>8</v>
      </c>
      <c r="D94" s="647"/>
      <c r="E94" s="575" t="s">
        <v>4617</v>
      </c>
      <c r="F94" s="575" t="s">
        <v>4621</v>
      </c>
      <c r="G94" s="584" t="s">
        <v>4834</v>
      </c>
      <c r="H94" s="575"/>
      <c r="I94" s="575"/>
      <c r="J94" s="409"/>
      <c r="K94" s="409"/>
      <c r="L94" s="409"/>
      <c r="O94" s="411"/>
      <c r="P94" s="411"/>
    </row>
    <row r="95" spans="1:16" s="410" customFormat="1" ht="11.25" x14ac:dyDescent="0.25">
      <c r="A95" s="576"/>
      <c r="B95" s="577"/>
      <c r="C95" s="573" t="s">
        <v>7</v>
      </c>
      <c r="D95" s="647"/>
      <c r="E95" s="580" t="s">
        <v>4619</v>
      </c>
      <c r="F95" s="580" t="s">
        <v>4835</v>
      </c>
      <c r="G95" s="580" t="s">
        <v>4836</v>
      </c>
      <c r="H95" s="580"/>
      <c r="I95" s="580"/>
      <c r="J95" s="409"/>
      <c r="K95" s="409"/>
      <c r="L95" s="409"/>
      <c r="O95" s="411"/>
      <c r="P95" s="411"/>
    </row>
    <row r="96" spans="1:16" s="410" customFormat="1" ht="11.25" x14ac:dyDescent="0.25">
      <c r="A96" s="576"/>
      <c r="B96" s="577"/>
      <c r="C96" s="573" t="s">
        <v>6</v>
      </c>
      <c r="D96" s="647"/>
      <c r="E96" s="581">
        <v>45447</v>
      </c>
      <c r="F96" s="581">
        <v>45447</v>
      </c>
      <c r="G96" s="581">
        <v>45447</v>
      </c>
      <c r="H96" s="581"/>
      <c r="I96" s="581"/>
      <c r="J96" s="409"/>
      <c r="K96" s="409"/>
      <c r="L96" s="409"/>
      <c r="O96" s="411"/>
      <c r="P96" s="411"/>
    </row>
    <row r="97" spans="1:16" s="410" customFormat="1" ht="11.25" x14ac:dyDescent="0.25">
      <c r="A97" s="582"/>
      <c r="B97" s="583"/>
      <c r="C97" s="573" t="s">
        <v>1498</v>
      </c>
      <c r="D97" s="648"/>
      <c r="E97" s="581" t="s">
        <v>4837</v>
      </c>
      <c r="F97" s="581" t="s">
        <v>4838</v>
      </c>
      <c r="G97" s="581" t="s">
        <v>4839</v>
      </c>
      <c r="H97" s="581"/>
      <c r="I97" s="581"/>
      <c r="J97" s="409"/>
      <c r="K97" s="409"/>
      <c r="L97" s="409"/>
      <c r="O97" s="411"/>
      <c r="P97" s="411"/>
    </row>
    <row r="98" spans="1:16" s="86" customFormat="1" ht="11.25" x14ac:dyDescent="0.25">
      <c r="A98" s="127"/>
      <c r="B98" s="334"/>
      <c r="C98" s="130"/>
      <c r="D98" s="130"/>
      <c r="E98" s="130"/>
      <c r="F98" s="130"/>
      <c r="G98" s="130"/>
      <c r="H98" s="130"/>
      <c r="I98" s="130"/>
      <c r="J98" s="89"/>
      <c r="K98" s="89"/>
      <c r="L98" s="89"/>
      <c r="O98" s="392"/>
      <c r="P98" s="392"/>
    </row>
    <row r="99" spans="1:16" s="87" customFormat="1" ht="22.5" x14ac:dyDescent="0.25">
      <c r="A99" s="258" t="s">
        <v>4559</v>
      </c>
      <c r="B99" s="338" t="s">
        <v>4560</v>
      </c>
      <c r="C99" s="260">
        <f>MIN(E101:I101)</f>
        <v>1811.71</v>
      </c>
      <c r="D99" s="261" t="s">
        <v>107</v>
      </c>
      <c r="E99" s="321" t="s">
        <v>4616</v>
      </c>
      <c r="F99" s="321" t="s">
        <v>4620</v>
      </c>
      <c r="G99" s="321" t="s">
        <v>4831</v>
      </c>
      <c r="H99" s="321"/>
      <c r="I99" s="321"/>
      <c r="J99" s="90" t="s">
        <v>161</v>
      </c>
      <c r="K99" s="90"/>
      <c r="L99" s="90"/>
      <c r="O99" s="393"/>
      <c r="P99" s="393"/>
    </row>
    <row r="100" spans="1:16" s="410" customFormat="1" ht="22.5" x14ac:dyDescent="0.25">
      <c r="A100" s="571"/>
      <c r="B100" s="572"/>
      <c r="C100" s="573" t="s">
        <v>184</v>
      </c>
      <c r="D100" s="646"/>
      <c r="E100" s="585" t="s">
        <v>4618</v>
      </c>
      <c r="F100" s="585" t="s">
        <v>4832</v>
      </c>
      <c r="G100" s="575" t="s">
        <v>4833</v>
      </c>
      <c r="H100" s="575"/>
      <c r="I100" s="575"/>
      <c r="J100" s="409" t="s">
        <v>183</v>
      </c>
      <c r="K100" s="409" t="s">
        <v>181</v>
      </c>
      <c r="L100" s="409" t="s">
        <v>182</v>
      </c>
      <c r="O100" s="411"/>
      <c r="P100" s="411"/>
    </row>
    <row r="101" spans="1:16" s="410" customFormat="1" ht="11.25" x14ac:dyDescent="0.25">
      <c r="A101" s="576"/>
      <c r="B101" s="577"/>
      <c r="C101" s="573" t="s">
        <v>9</v>
      </c>
      <c r="D101" s="647"/>
      <c r="E101" s="578">
        <v>1811.71</v>
      </c>
      <c r="F101" s="578">
        <f>2115*1.13</f>
        <v>2389.9499999999998</v>
      </c>
      <c r="G101" s="579">
        <v>3250</v>
      </c>
      <c r="H101" s="579"/>
      <c r="I101" s="579"/>
      <c r="J101" s="409">
        <f>MEDIAN(E101:I101)</f>
        <v>2389.9499999999998</v>
      </c>
      <c r="K101" s="409">
        <f>J101*1.3</f>
        <v>3106.9349999999999</v>
      </c>
      <c r="L101" s="409">
        <f>J101*0.7</f>
        <v>1672.9649999999997</v>
      </c>
      <c r="O101" s="411"/>
      <c r="P101" s="411"/>
    </row>
    <row r="102" spans="1:16" s="410" customFormat="1" ht="11.25" x14ac:dyDescent="0.25">
      <c r="A102" s="576"/>
      <c r="B102" s="577"/>
      <c r="C102" s="573" t="s">
        <v>8</v>
      </c>
      <c r="D102" s="647"/>
      <c r="E102" s="575" t="s">
        <v>4617</v>
      </c>
      <c r="F102" s="575" t="s">
        <v>4621</v>
      </c>
      <c r="G102" s="584" t="s">
        <v>4834</v>
      </c>
      <c r="H102" s="575"/>
      <c r="I102" s="575"/>
      <c r="J102" s="409"/>
      <c r="K102" s="409"/>
      <c r="L102" s="409"/>
      <c r="O102" s="411"/>
      <c r="P102" s="411"/>
    </row>
    <row r="103" spans="1:16" s="410" customFormat="1" ht="11.25" x14ac:dyDescent="0.25">
      <c r="A103" s="576"/>
      <c r="B103" s="577"/>
      <c r="C103" s="573" t="s">
        <v>7</v>
      </c>
      <c r="D103" s="647"/>
      <c r="E103" s="580" t="s">
        <v>4619</v>
      </c>
      <c r="F103" s="580" t="s">
        <v>4835</v>
      </c>
      <c r="G103" s="580" t="s">
        <v>4836</v>
      </c>
      <c r="H103" s="580"/>
      <c r="I103" s="580"/>
      <c r="J103" s="409"/>
      <c r="K103" s="409"/>
      <c r="L103" s="409"/>
      <c r="O103" s="411"/>
      <c r="P103" s="411"/>
    </row>
    <row r="104" spans="1:16" s="410" customFormat="1" ht="11.25" x14ac:dyDescent="0.25">
      <c r="A104" s="576"/>
      <c r="B104" s="577"/>
      <c r="C104" s="573" t="s">
        <v>6</v>
      </c>
      <c r="D104" s="647"/>
      <c r="E104" s="581">
        <v>45447</v>
      </c>
      <c r="F104" s="581">
        <v>45447</v>
      </c>
      <c r="G104" s="581">
        <v>45447</v>
      </c>
      <c r="H104" s="581"/>
      <c r="I104" s="581"/>
      <c r="J104" s="409"/>
      <c r="K104" s="409"/>
      <c r="L104" s="409"/>
      <c r="O104" s="411"/>
      <c r="P104" s="411"/>
    </row>
    <row r="105" spans="1:16" s="410" customFormat="1" ht="11.25" x14ac:dyDescent="0.25">
      <c r="A105" s="582"/>
      <c r="B105" s="583"/>
      <c r="C105" s="573" t="s">
        <v>1498</v>
      </c>
      <c r="D105" s="648"/>
      <c r="E105" s="581" t="s">
        <v>4837</v>
      </c>
      <c r="F105" s="581" t="s">
        <v>4838</v>
      </c>
      <c r="G105" s="581" t="s">
        <v>4839</v>
      </c>
      <c r="H105" s="581"/>
      <c r="I105" s="581"/>
      <c r="J105" s="409"/>
      <c r="K105" s="409"/>
      <c r="L105" s="409"/>
      <c r="O105" s="411"/>
      <c r="P105" s="411"/>
    </row>
    <row r="106" spans="1:16" s="86" customFormat="1" ht="11.25" x14ac:dyDescent="0.25">
      <c r="A106" s="127"/>
      <c r="B106" s="334"/>
      <c r="C106" s="130"/>
      <c r="D106" s="130"/>
      <c r="E106" s="130"/>
      <c r="F106" s="130"/>
      <c r="G106" s="130"/>
      <c r="H106" s="130"/>
      <c r="I106" s="130"/>
      <c r="J106" s="89"/>
      <c r="K106" s="89"/>
      <c r="L106" s="89"/>
      <c r="O106" s="392"/>
      <c r="P106" s="392"/>
    </row>
    <row r="107" spans="1:16" s="87" customFormat="1" ht="33.75" x14ac:dyDescent="0.25">
      <c r="A107" s="258" t="s">
        <v>3445</v>
      </c>
      <c r="B107" s="338" t="s">
        <v>4572</v>
      </c>
      <c r="C107" s="260">
        <f>MIN(E109:I109)</f>
        <v>2265.6499999999996</v>
      </c>
      <c r="D107" s="261" t="s">
        <v>107</v>
      </c>
      <c r="E107" s="321" t="s">
        <v>4616</v>
      </c>
      <c r="F107" s="321" t="s">
        <v>4620</v>
      </c>
      <c r="G107" s="321" t="s">
        <v>4831</v>
      </c>
      <c r="H107" s="321"/>
      <c r="I107" s="321"/>
      <c r="J107" s="90" t="s">
        <v>161</v>
      </c>
      <c r="K107" s="90"/>
      <c r="L107" s="90"/>
      <c r="O107" s="393"/>
      <c r="P107" s="393"/>
    </row>
    <row r="108" spans="1:16" s="410" customFormat="1" ht="22.5" x14ac:dyDescent="0.25">
      <c r="A108" s="571"/>
      <c r="B108" s="572"/>
      <c r="C108" s="573" t="s">
        <v>184</v>
      </c>
      <c r="D108" s="646"/>
      <c r="E108" s="585" t="s">
        <v>4618</v>
      </c>
      <c r="F108" s="585" t="s">
        <v>4832</v>
      </c>
      <c r="G108" s="575" t="s">
        <v>4833</v>
      </c>
      <c r="H108" s="575"/>
      <c r="I108" s="575"/>
      <c r="J108" s="409" t="s">
        <v>183</v>
      </c>
      <c r="K108" s="409" t="s">
        <v>181</v>
      </c>
      <c r="L108" s="409" t="s">
        <v>182</v>
      </c>
      <c r="O108" s="411"/>
      <c r="P108" s="411"/>
    </row>
    <row r="109" spans="1:16" s="410" customFormat="1" ht="11.25" x14ac:dyDescent="0.25">
      <c r="A109" s="576"/>
      <c r="B109" s="577"/>
      <c r="C109" s="573" t="s">
        <v>9</v>
      </c>
      <c r="D109" s="647"/>
      <c r="E109" s="578">
        <v>4871.05</v>
      </c>
      <c r="F109" s="578">
        <f>2005*1.13</f>
        <v>2265.6499999999996</v>
      </c>
      <c r="G109" s="579">
        <v>2820</v>
      </c>
      <c r="H109" s="579"/>
      <c r="I109" s="579"/>
      <c r="J109" s="409">
        <f>MEDIAN(E109:I109)</f>
        <v>2820</v>
      </c>
      <c r="K109" s="409">
        <f>J109*1.3</f>
        <v>3666</v>
      </c>
      <c r="L109" s="409">
        <f>J109*0.7</f>
        <v>1973.9999999999998</v>
      </c>
      <c r="O109" s="411"/>
      <c r="P109" s="411"/>
    </row>
    <row r="110" spans="1:16" s="410" customFormat="1" ht="11.25" x14ac:dyDescent="0.25">
      <c r="A110" s="576"/>
      <c r="B110" s="577"/>
      <c r="C110" s="573" t="s">
        <v>8</v>
      </c>
      <c r="D110" s="647"/>
      <c r="E110" s="575" t="s">
        <v>4617</v>
      </c>
      <c r="F110" s="575" t="s">
        <v>4621</v>
      </c>
      <c r="G110" s="584" t="s">
        <v>4834</v>
      </c>
      <c r="H110" s="575"/>
      <c r="I110" s="575"/>
      <c r="J110" s="409"/>
      <c r="K110" s="409"/>
      <c r="L110" s="409"/>
      <c r="O110" s="411"/>
      <c r="P110" s="411"/>
    </row>
    <row r="111" spans="1:16" s="410" customFormat="1" ht="11.25" x14ac:dyDescent="0.25">
      <c r="A111" s="576"/>
      <c r="B111" s="577"/>
      <c r="C111" s="573" t="s">
        <v>7</v>
      </c>
      <c r="D111" s="647"/>
      <c r="E111" s="580" t="s">
        <v>4619</v>
      </c>
      <c r="F111" s="580" t="s">
        <v>4835</v>
      </c>
      <c r="G111" s="580" t="s">
        <v>4836</v>
      </c>
      <c r="H111" s="580"/>
      <c r="I111" s="580"/>
      <c r="J111" s="409"/>
      <c r="K111" s="409"/>
      <c r="L111" s="409"/>
      <c r="O111" s="411"/>
      <c r="P111" s="411"/>
    </row>
    <row r="112" spans="1:16" s="410" customFormat="1" ht="11.25" x14ac:dyDescent="0.25">
      <c r="A112" s="576"/>
      <c r="B112" s="577"/>
      <c r="C112" s="573" t="s">
        <v>6</v>
      </c>
      <c r="D112" s="647"/>
      <c r="E112" s="581">
        <v>45447</v>
      </c>
      <c r="F112" s="581">
        <v>45447</v>
      </c>
      <c r="G112" s="581">
        <v>45447</v>
      </c>
      <c r="H112" s="581"/>
      <c r="I112" s="581"/>
      <c r="J112" s="409"/>
      <c r="K112" s="409"/>
      <c r="L112" s="409"/>
      <c r="O112" s="411"/>
      <c r="P112" s="411"/>
    </row>
    <row r="113" spans="1:16" s="410" customFormat="1" ht="11.25" x14ac:dyDescent="0.25">
      <c r="A113" s="582"/>
      <c r="B113" s="583"/>
      <c r="C113" s="573" t="s">
        <v>1498</v>
      </c>
      <c r="D113" s="648"/>
      <c r="E113" s="581" t="s">
        <v>4837</v>
      </c>
      <c r="F113" s="581" t="s">
        <v>4838</v>
      </c>
      <c r="G113" s="581" t="s">
        <v>4839</v>
      </c>
      <c r="H113" s="581"/>
      <c r="I113" s="581"/>
      <c r="J113" s="409"/>
      <c r="K113" s="409"/>
      <c r="L113" s="409"/>
      <c r="O113" s="411"/>
      <c r="P113" s="411"/>
    </row>
    <row r="114" spans="1:16" s="86" customFormat="1" ht="11.25" x14ac:dyDescent="0.25">
      <c r="A114" s="127"/>
      <c r="B114" s="334"/>
      <c r="C114" s="130"/>
      <c r="D114" s="130"/>
      <c r="E114" s="130"/>
      <c r="F114" s="130"/>
      <c r="G114" s="130"/>
      <c r="H114" s="130"/>
      <c r="I114" s="130"/>
      <c r="J114" s="89"/>
      <c r="K114" s="89"/>
      <c r="L114" s="89"/>
      <c r="O114" s="392"/>
      <c r="P114" s="392"/>
    </row>
    <row r="115" spans="1:16" s="87" customFormat="1" ht="22.5" x14ac:dyDescent="0.25">
      <c r="A115" s="258" t="s">
        <v>3419</v>
      </c>
      <c r="B115" s="338" t="s">
        <v>4587</v>
      </c>
      <c r="C115" s="260">
        <f>MIN(E117:I117)</f>
        <v>58</v>
      </c>
      <c r="D115" s="261" t="s">
        <v>107</v>
      </c>
      <c r="E115" s="321" t="s">
        <v>12700</v>
      </c>
      <c r="F115" s="321" t="s">
        <v>4629</v>
      </c>
      <c r="G115" s="321" t="s">
        <v>12701</v>
      </c>
      <c r="H115" s="321"/>
      <c r="I115" s="321"/>
      <c r="J115" s="90" t="s">
        <v>161</v>
      </c>
      <c r="K115" s="90"/>
      <c r="L115" s="90"/>
      <c r="O115" s="393"/>
      <c r="P115" s="393"/>
    </row>
    <row r="116" spans="1:16" s="410" customFormat="1" ht="11.25" x14ac:dyDescent="0.25">
      <c r="A116" s="571"/>
      <c r="B116" s="572"/>
      <c r="C116" s="573" t="s">
        <v>184</v>
      </c>
      <c r="D116" s="646"/>
      <c r="E116" s="575" t="s">
        <v>12702</v>
      </c>
      <c r="F116" s="575" t="s">
        <v>4630</v>
      </c>
      <c r="G116" s="585" t="s">
        <v>3918</v>
      </c>
      <c r="H116" s="585"/>
      <c r="I116" s="575"/>
      <c r="J116" s="409" t="s">
        <v>183</v>
      </c>
      <c r="K116" s="409" t="s">
        <v>181</v>
      </c>
      <c r="L116" s="409" t="s">
        <v>182</v>
      </c>
      <c r="O116" s="411"/>
      <c r="P116" s="411"/>
    </row>
    <row r="117" spans="1:16" s="410" customFormat="1" ht="11.25" x14ac:dyDescent="0.25">
      <c r="A117" s="576"/>
      <c r="B117" s="577"/>
      <c r="C117" s="573" t="s">
        <v>9</v>
      </c>
      <c r="D117" s="647"/>
      <c r="E117" s="579">
        <v>75</v>
      </c>
      <c r="F117" s="579">
        <v>58</v>
      </c>
      <c r="G117" s="579">
        <v>69.900000000000006</v>
      </c>
      <c r="H117" s="579"/>
      <c r="I117" s="579"/>
      <c r="J117" s="409">
        <f>MEDIAN(E117:I117)</f>
        <v>69.900000000000006</v>
      </c>
      <c r="K117" s="409">
        <f>J117*1.3</f>
        <v>90.87</v>
      </c>
      <c r="L117" s="409">
        <f>J117*0.7</f>
        <v>48.93</v>
      </c>
      <c r="O117" s="411"/>
      <c r="P117" s="411"/>
    </row>
    <row r="118" spans="1:16" s="410" customFormat="1" ht="11.25" x14ac:dyDescent="0.25">
      <c r="A118" s="576"/>
      <c r="B118" s="577"/>
      <c r="C118" s="573" t="s">
        <v>8</v>
      </c>
      <c r="D118" s="647"/>
      <c r="E118" s="584" t="s">
        <v>12703</v>
      </c>
      <c r="F118" s="575" t="s">
        <v>12704</v>
      </c>
      <c r="G118" s="584" t="s">
        <v>12705</v>
      </c>
      <c r="H118" s="575"/>
      <c r="I118" s="575"/>
      <c r="J118" s="409"/>
      <c r="K118" s="409"/>
      <c r="L118" s="409"/>
      <c r="O118" s="411"/>
      <c r="P118" s="411"/>
    </row>
    <row r="119" spans="1:16" s="410" customFormat="1" ht="11.25" x14ac:dyDescent="0.25">
      <c r="A119" s="576"/>
      <c r="B119" s="577"/>
      <c r="C119" s="573" t="s">
        <v>7</v>
      </c>
      <c r="D119" s="647"/>
      <c r="E119" s="580" t="s">
        <v>12706</v>
      </c>
      <c r="F119" s="580" t="s">
        <v>4631</v>
      </c>
      <c r="G119" s="580" t="s">
        <v>12707</v>
      </c>
      <c r="H119" s="580"/>
      <c r="I119" s="580"/>
      <c r="J119" s="409"/>
      <c r="K119" s="409"/>
      <c r="L119" s="409"/>
      <c r="O119" s="411"/>
      <c r="P119" s="411"/>
    </row>
    <row r="120" spans="1:16" s="410" customFormat="1" ht="11.25" x14ac:dyDescent="0.25">
      <c r="A120" s="576"/>
      <c r="B120" s="577"/>
      <c r="C120" s="573" t="s">
        <v>6</v>
      </c>
      <c r="D120" s="647"/>
      <c r="E120" s="581">
        <v>45449</v>
      </c>
      <c r="F120" s="581">
        <v>45447</v>
      </c>
      <c r="G120" s="581">
        <v>45447</v>
      </c>
      <c r="H120" s="581"/>
      <c r="I120" s="581"/>
      <c r="J120" s="409"/>
      <c r="K120" s="409"/>
      <c r="L120" s="409"/>
      <c r="O120" s="411"/>
      <c r="P120" s="411"/>
    </row>
    <row r="121" spans="1:16" s="410" customFormat="1" ht="11.25" x14ac:dyDescent="0.25">
      <c r="A121" s="582"/>
      <c r="B121" s="583"/>
      <c r="C121" s="573" t="s">
        <v>1498</v>
      </c>
      <c r="D121" s="648"/>
      <c r="E121" s="581" t="s">
        <v>12708</v>
      </c>
      <c r="F121" s="581" t="s">
        <v>12709</v>
      </c>
      <c r="G121" s="581" t="s">
        <v>12710</v>
      </c>
      <c r="H121" s="581"/>
      <c r="I121" s="581"/>
      <c r="J121" s="409"/>
      <c r="K121" s="409"/>
      <c r="L121" s="409"/>
      <c r="O121" s="411"/>
      <c r="P121" s="411"/>
    </row>
    <row r="122" spans="1:16" s="86" customFormat="1" ht="11.25" x14ac:dyDescent="0.25">
      <c r="A122" s="2"/>
      <c r="B122" s="336"/>
      <c r="C122" s="322"/>
      <c r="D122" s="322"/>
      <c r="E122" s="322"/>
      <c r="F122" s="322"/>
      <c r="G122" s="322"/>
      <c r="H122" s="322"/>
      <c r="I122" s="322"/>
      <c r="J122" s="89"/>
      <c r="K122" s="89"/>
      <c r="L122" s="89"/>
      <c r="O122" s="392"/>
      <c r="P122" s="392"/>
    </row>
    <row r="123" spans="1:16" s="87" customFormat="1" ht="31.5" customHeight="1" x14ac:dyDescent="0.25">
      <c r="A123" s="258" t="s">
        <v>1946</v>
      </c>
      <c r="B123" s="338" t="s">
        <v>3436</v>
      </c>
      <c r="C123" s="260">
        <f>MIN(E125:I125)</f>
        <v>330</v>
      </c>
      <c r="D123" s="261" t="s">
        <v>107</v>
      </c>
      <c r="E123" s="321" t="s">
        <v>4840</v>
      </c>
      <c r="F123" s="321" t="s">
        <v>3924</v>
      </c>
      <c r="G123" s="321" t="s">
        <v>4841</v>
      </c>
      <c r="H123" s="321"/>
      <c r="I123" s="321"/>
      <c r="J123" s="90" t="s">
        <v>161</v>
      </c>
      <c r="K123" s="90"/>
      <c r="L123" s="90"/>
      <c r="O123" s="393"/>
      <c r="P123" s="393"/>
    </row>
    <row r="124" spans="1:16" s="410" customFormat="1" ht="11.25" x14ac:dyDescent="0.25">
      <c r="A124" s="571"/>
      <c r="B124" s="572"/>
      <c r="C124" s="573" t="s">
        <v>184</v>
      </c>
      <c r="D124" s="574"/>
      <c r="E124" s="585" t="s">
        <v>4842</v>
      </c>
      <c r="F124" s="585" t="s">
        <v>4843</v>
      </c>
      <c r="G124" s="585" t="s">
        <v>4844</v>
      </c>
      <c r="H124" s="575"/>
      <c r="I124" s="575"/>
      <c r="J124" s="409" t="s">
        <v>183</v>
      </c>
      <c r="K124" s="409" t="s">
        <v>181</v>
      </c>
      <c r="L124" s="409" t="s">
        <v>182</v>
      </c>
      <c r="O124" s="411"/>
      <c r="P124" s="411"/>
    </row>
    <row r="125" spans="1:16" s="410" customFormat="1" ht="15" x14ac:dyDescent="0.25">
      <c r="A125" s="576"/>
      <c r="B125" s="577"/>
      <c r="C125" s="573" t="s">
        <v>9</v>
      </c>
      <c r="D125" s="586"/>
      <c r="E125" s="578">
        <v>380</v>
      </c>
      <c r="F125" s="578">
        <v>360</v>
      </c>
      <c r="G125" s="578">
        <v>330</v>
      </c>
      <c r="H125" s="578"/>
      <c r="I125" s="579"/>
      <c r="J125" s="409">
        <f>MEDIAN(E125:I125)</f>
        <v>360</v>
      </c>
      <c r="K125" s="409">
        <f>J125*1.3</f>
        <v>468</v>
      </c>
      <c r="L125" s="409">
        <f>J125*0.7</f>
        <v>251.99999999999997</v>
      </c>
      <c r="O125" s="411"/>
      <c r="P125" s="411"/>
    </row>
    <row r="126" spans="1:16" s="410" customFormat="1" ht="15" x14ac:dyDescent="0.25">
      <c r="A126" s="576"/>
      <c r="B126" s="577"/>
      <c r="C126" s="573" t="s">
        <v>8</v>
      </c>
      <c r="D126" s="586"/>
      <c r="E126" s="575" t="s">
        <v>4845</v>
      </c>
      <c r="F126" s="575" t="s">
        <v>4846</v>
      </c>
      <c r="G126" s="575" t="s">
        <v>3925</v>
      </c>
      <c r="H126" s="575"/>
      <c r="I126" s="575"/>
      <c r="J126" s="409"/>
      <c r="K126" s="409"/>
      <c r="L126" s="409"/>
      <c r="O126" s="411"/>
      <c r="P126" s="411"/>
    </row>
    <row r="127" spans="1:16" s="410" customFormat="1" ht="15" x14ac:dyDescent="0.25">
      <c r="A127" s="576"/>
      <c r="B127" s="577"/>
      <c r="C127" s="573" t="s">
        <v>7</v>
      </c>
      <c r="D127" s="586"/>
      <c r="E127" s="580" t="s">
        <v>4847</v>
      </c>
      <c r="F127" s="580" t="s">
        <v>4848</v>
      </c>
      <c r="G127" s="580" t="s">
        <v>4849</v>
      </c>
      <c r="H127" s="580"/>
      <c r="I127" s="580"/>
      <c r="J127" s="409"/>
      <c r="K127" s="409"/>
      <c r="L127" s="409"/>
      <c r="O127" s="411"/>
      <c r="P127" s="411"/>
    </row>
    <row r="128" spans="1:16" s="410" customFormat="1" ht="15" x14ac:dyDescent="0.25">
      <c r="A128" s="576"/>
      <c r="B128" s="577"/>
      <c r="C128" s="573" t="s">
        <v>6</v>
      </c>
      <c r="D128" s="587"/>
      <c r="E128" s="581">
        <v>45448</v>
      </c>
      <c r="F128" s="581">
        <v>45447</v>
      </c>
      <c r="G128" s="581">
        <v>45448</v>
      </c>
      <c r="H128" s="581"/>
      <c r="I128" s="581"/>
      <c r="J128" s="409"/>
      <c r="K128" s="409"/>
      <c r="L128" s="409"/>
      <c r="O128" s="411"/>
      <c r="P128" s="411"/>
    </row>
    <row r="129" spans="1:16" s="410" customFormat="1" ht="15" x14ac:dyDescent="0.25">
      <c r="A129" s="582"/>
      <c r="B129" s="583"/>
      <c r="C129" s="573" t="s">
        <v>1498</v>
      </c>
      <c r="D129" s="587"/>
      <c r="E129" s="581" t="s">
        <v>4850</v>
      </c>
      <c r="F129" s="581" t="s">
        <v>4851</v>
      </c>
      <c r="G129" s="581" t="s">
        <v>4852</v>
      </c>
      <c r="H129" s="581"/>
      <c r="I129" s="581"/>
      <c r="J129" s="409"/>
      <c r="K129" s="409"/>
      <c r="L129" s="409"/>
      <c r="O129" s="411"/>
      <c r="P129" s="411"/>
    </row>
    <row r="130" spans="1:16" s="86" customFormat="1" ht="11.25" x14ac:dyDescent="0.25">
      <c r="A130" s="2"/>
      <c r="B130" s="336"/>
      <c r="C130" s="322"/>
      <c r="D130" s="322"/>
      <c r="E130" s="322"/>
      <c r="F130" s="322"/>
      <c r="G130" s="322"/>
      <c r="H130" s="322"/>
      <c r="I130" s="322"/>
      <c r="J130" s="89"/>
      <c r="K130" s="89"/>
      <c r="L130" s="89"/>
      <c r="O130" s="392"/>
      <c r="P130" s="392"/>
    </row>
    <row r="131" spans="1:16" s="87" customFormat="1" ht="11.25" x14ac:dyDescent="0.25">
      <c r="A131" s="258" t="s">
        <v>1947</v>
      </c>
      <c r="B131" s="335" t="s">
        <v>191</v>
      </c>
      <c r="C131" s="260">
        <f>MIN(E133:I133)</f>
        <v>8.75</v>
      </c>
      <c r="D131" s="261" t="s">
        <v>107</v>
      </c>
      <c r="E131" s="321" t="s">
        <v>3434</v>
      </c>
      <c r="F131" s="321" t="s">
        <v>4853</v>
      </c>
      <c r="G131" s="321" t="s">
        <v>1508</v>
      </c>
      <c r="H131" s="321"/>
      <c r="I131" s="321"/>
      <c r="J131" s="90" t="s">
        <v>161</v>
      </c>
      <c r="K131" s="90"/>
      <c r="L131" s="90"/>
      <c r="O131" s="393"/>
      <c r="P131" s="393"/>
    </row>
    <row r="132" spans="1:16" s="410" customFormat="1" ht="11.25" x14ac:dyDescent="0.25">
      <c r="A132" s="571"/>
      <c r="B132" s="572"/>
      <c r="C132" s="573" t="s">
        <v>184</v>
      </c>
      <c r="D132" s="574"/>
      <c r="E132" s="585" t="s">
        <v>3918</v>
      </c>
      <c r="F132" s="585" t="s">
        <v>4854</v>
      </c>
      <c r="G132" s="585" t="s">
        <v>3918</v>
      </c>
      <c r="H132" s="575"/>
      <c r="I132" s="575"/>
      <c r="J132" s="409" t="s">
        <v>183</v>
      </c>
      <c r="K132" s="409" t="s">
        <v>181</v>
      </c>
      <c r="L132" s="409" t="s">
        <v>182</v>
      </c>
      <c r="O132" s="411"/>
      <c r="P132" s="411"/>
    </row>
    <row r="133" spans="1:16" s="410" customFormat="1" ht="15" x14ac:dyDescent="0.25">
      <c r="A133" s="576"/>
      <c r="B133" s="577"/>
      <c r="C133" s="573" t="s">
        <v>9</v>
      </c>
      <c r="D133" s="586"/>
      <c r="E133" s="578">
        <v>12</v>
      </c>
      <c r="F133" s="578">
        <v>14.4</v>
      </c>
      <c r="G133" s="578">
        <v>8.75</v>
      </c>
      <c r="H133" s="579"/>
      <c r="I133" s="579"/>
      <c r="J133" s="409">
        <f>MEDIAN(E133:I133)</f>
        <v>12</v>
      </c>
      <c r="K133" s="409">
        <f>J133*1.3</f>
        <v>15.600000000000001</v>
      </c>
      <c r="L133" s="409">
        <f>J133*0.7</f>
        <v>8.3999999999999986</v>
      </c>
      <c r="O133" s="411"/>
      <c r="P133" s="411"/>
    </row>
    <row r="134" spans="1:16" s="410" customFormat="1" ht="15" x14ac:dyDescent="0.25">
      <c r="A134" s="576"/>
      <c r="B134" s="577"/>
      <c r="C134" s="573" t="s">
        <v>8</v>
      </c>
      <c r="D134" s="586"/>
      <c r="E134" s="575" t="s">
        <v>1509</v>
      </c>
      <c r="F134" s="575" t="s">
        <v>4855</v>
      </c>
      <c r="G134" s="575" t="s">
        <v>3435</v>
      </c>
      <c r="H134" s="575"/>
      <c r="I134" s="575"/>
      <c r="J134" s="409"/>
      <c r="K134" s="409"/>
      <c r="L134" s="409"/>
      <c r="O134" s="411"/>
      <c r="P134" s="411"/>
    </row>
    <row r="135" spans="1:16" s="410" customFormat="1" ht="15" x14ac:dyDescent="0.25">
      <c r="A135" s="576"/>
      <c r="B135" s="577"/>
      <c r="C135" s="573" t="s">
        <v>7</v>
      </c>
      <c r="D135" s="586"/>
      <c r="E135" s="580" t="s">
        <v>4856</v>
      </c>
      <c r="F135" s="580" t="s">
        <v>4857</v>
      </c>
      <c r="G135" s="580" t="s">
        <v>4858</v>
      </c>
      <c r="H135" s="580"/>
      <c r="I135" s="580"/>
      <c r="J135" s="409"/>
      <c r="K135" s="409"/>
      <c r="L135" s="409"/>
      <c r="O135" s="411"/>
      <c r="P135" s="411"/>
    </row>
    <row r="136" spans="1:16" s="410" customFormat="1" ht="15" x14ac:dyDescent="0.25">
      <c r="A136" s="576"/>
      <c r="B136" s="577"/>
      <c r="C136" s="573" t="s">
        <v>6</v>
      </c>
      <c r="D136" s="587"/>
      <c r="E136" s="581">
        <v>45448</v>
      </c>
      <c r="F136" s="581">
        <v>45448</v>
      </c>
      <c r="G136" s="581">
        <v>45448</v>
      </c>
      <c r="H136" s="581"/>
      <c r="I136" s="581"/>
      <c r="J136" s="409"/>
      <c r="K136" s="409"/>
      <c r="L136" s="409"/>
      <c r="O136" s="411"/>
      <c r="P136" s="411"/>
    </row>
    <row r="137" spans="1:16" s="410" customFormat="1" ht="15" x14ac:dyDescent="0.25">
      <c r="A137" s="582"/>
      <c r="B137" s="583"/>
      <c r="C137" s="573" t="s">
        <v>1498</v>
      </c>
      <c r="D137" s="587"/>
      <c r="E137" s="581" t="s">
        <v>4859</v>
      </c>
      <c r="F137" s="581" t="s">
        <v>4860</v>
      </c>
      <c r="G137" s="581" t="s">
        <v>4861</v>
      </c>
      <c r="H137" s="581"/>
      <c r="I137" s="581"/>
      <c r="J137" s="409"/>
      <c r="K137" s="409"/>
      <c r="L137" s="409"/>
      <c r="O137" s="411"/>
      <c r="P137" s="411"/>
    </row>
    <row r="138" spans="1:16" ht="15" x14ac:dyDescent="0.25">
      <c r="A138" s="394"/>
      <c r="B138" s="395"/>
      <c r="C138" s="394"/>
      <c r="D138" s="394"/>
      <c r="E138" s="394"/>
      <c r="F138" s="394"/>
      <c r="G138" s="394"/>
      <c r="H138" s="394"/>
      <c r="I138" s="394"/>
    </row>
    <row r="139" spans="1:16" s="53" customFormat="1" ht="12.75" x14ac:dyDescent="0.25">
      <c r="A139" s="625"/>
      <c r="B139" s="625"/>
      <c r="C139" s="625"/>
      <c r="D139" s="625"/>
      <c r="E139" s="625"/>
      <c r="F139" s="625"/>
      <c r="G139" s="625"/>
      <c r="H139" s="625"/>
      <c r="I139" s="625"/>
      <c r="J139" s="93"/>
      <c r="K139" s="93"/>
      <c r="L139" s="93"/>
    </row>
  </sheetData>
  <autoFilter ref="A9:I139" xr:uid="{00000000-0009-0000-0000-000004000000}"/>
  <mergeCells count="22">
    <mergeCell ref="A139:I139"/>
    <mergeCell ref="B6:E6"/>
    <mergeCell ref="B7:E7"/>
    <mergeCell ref="D12:D17"/>
    <mergeCell ref="D60:D65"/>
    <mergeCell ref="D116:D121"/>
    <mergeCell ref="D100:D105"/>
    <mergeCell ref="D92:D97"/>
    <mergeCell ref="D108:D113"/>
    <mergeCell ref="D52:D57"/>
    <mergeCell ref="D68:D73"/>
    <mergeCell ref="D76:D81"/>
    <mergeCell ref="D84:D89"/>
    <mergeCell ref="D20:D25"/>
    <mergeCell ref="D28:D33"/>
    <mergeCell ref="D36:D41"/>
    <mergeCell ref="D44:D49"/>
    <mergeCell ref="A1:I1"/>
    <mergeCell ref="A2:I2"/>
    <mergeCell ref="A3:I3"/>
    <mergeCell ref="A4:I4"/>
    <mergeCell ref="A5:I5"/>
  </mergeCells>
  <hyperlinks>
    <hyperlink ref="G52" r:id="rId1" xr:uid="{00000000-0004-0000-0400-000000000000}"/>
    <hyperlink ref="F12" r:id="rId2" xr:uid="{00000000-0004-0000-0400-000001000000}"/>
    <hyperlink ref="E60" r:id="rId3" display="contato@casadosparafusosfranca.com.br" xr:uid="{00000000-0004-0000-0400-000002000000}"/>
    <hyperlink ref="G60" r:id="rId4" display="www.casasbahia.com.br" xr:uid="{00000000-0004-0000-0400-000003000000}"/>
    <hyperlink ref="G12" r:id="rId5" xr:uid="{00000000-0004-0000-0400-000004000000}"/>
    <hyperlink ref="F20" r:id="rId6" xr:uid="{00000000-0004-0000-0400-000005000000}"/>
    <hyperlink ref="G20" r:id="rId7" xr:uid="{00000000-0004-0000-0400-000006000000}"/>
    <hyperlink ref="F28" r:id="rId8" xr:uid="{00000000-0004-0000-0400-000007000000}"/>
    <hyperlink ref="G28" r:id="rId9" xr:uid="{00000000-0004-0000-0400-000008000000}"/>
    <hyperlink ref="F36" r:id="rId10" xr:uid="{00000000-0004-0000-0400-000009000000}"/>
    <hyperlink ref="G36" r:id="rId11" xr:uid="{00000000-0004-0000-0400-00000A000000}"/>
    <hyperlink ref="F44" r:id="rId12" xr:uid="{00000000-0004-0000-0400-00000B000000}"/>
    <hyperlink ref="G44" r:id="rId13" xr:uid="{00000000-0004-0000-0400-00000C000000}"/>
    <hyperlink ref="F60" r:id="rId14" xr:uid="{00000000-0004-0000-0400-00000D000000}"/>
    <hyperlink ref="E68" r:id="rId15" display="contato@casadosparafusosfranca.com.br" xr:uid="{00000000-0004-0000-0400-00000E000000}"/>
    <hyperlink ref="G68" r:id="rId16" display="www.casasbahia.com.br" xr:uid="{00000000-0004-0000-0400-00000F000000}"/>
    <hyperlink ref="F68" r:id="rId17" xr:uid="{00000000-0004-0000-0400-000010000000}"/>
    <hyperlink ref="E76" r:id="rId18" xr:uid="{00000000-0004-0000-0400-000011000000}"/>
    <hyperlink ref="E84" r:id="rId19" xr:uid="{00000000-0004-0000-0400-000012000000}"/>
    <hyperlink ref="E92" r:id="rId20" xr:uid="{00000000-0004-0000-0400-000013000000}"/>
    <hyperlink ref="E100" r:id="rId21" xr:uid="{00000000-0004-0000-0400-000014000000}"/>
    <hyperlink ref="E108" r:id="rId22" xr:uid="{00000000-0004-0000-0400-000015000000}"/>
  </hyperlinks>
  <printOptions horizontalCentered="1"/>
  <pageMargins left="0.31496062992125984" right="0.27559055118110237" top="0.35433070866141736" bottom="0.35433070866141736" header="0.11811023622047245" footer="0.15748031496062992"/>
  <pageSetup paperSize="9" scale="60" fitToHeight="43" orientation="portrait" r:id="rId23"/>
  <headerFooter>
    <oddHeader>&amp;C&amp;F</oddHeader>
    <oddFooter>Página &amp;P de &amp;N</oddFooter>
  </headerFooter>
  <drawing r:id="rId24"/>
  <legacyDrawing r:id="rId2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IV52"/>
  <sheetViews>
    <sheetView view="pageBreakPreview" topLeftCell="A37" zoomScaleNormal="100" zoomScaleSheetLayoutView="100" workbookViewId="0">
      <selection activeCell="A50" sqref="A50:H50"/>
    </sheetView>
  </sheetViews>
  <sheetFormatPr defaultRowHeight="15" x14ac:dyDescent="0.25"/>
  <cols>
    <col min="1" max="1" width="10.42578125" style="142" customWidth="1"/>
    <col min="2" max="6" width="20" style="142" customWidth="1"/>
    <col min="7" max="7" width="16.42578125" style="142" customWidth="1"/>
    <col min="8" max="8" width="16.85546875" style="142" customWidth="1"/>
    <col min="9" max="255" width="9.140625" style="142"/>
    <col min="256" max="256" width="14.140625" style="142" customWidth="1"/>
    <col min="257" max="258" width="9.140625" style="142"/>
    <col min="259" max="259" width="9.5703125" style="142" customWidth="1"/>
    <col min="260" max="260" width="17" style="142" customWidth="1"/>
    <col min="261" max="261" width="15.85546875" style="142" bestFit="1" customWidth="1"/>
    <col min="262" max="262" width="14.28515625" style="142" bestFit="1" customWidth="1"/>
    <col min="263" max="263" width="14.28515625" style="142" customWidth="1"/>
    <col min="264" max="511" width="9.140625" style="142"/>
    <col min="512" max="512" width="14.140625" style="142" customWidth="1"/>
    <col min="513" max="514" width="9.140625" style="142"/>
    <col min="515" max="515" width="9.5703125" style="142" customWidth="1"/>
    <col min="516" max="516" width="17" style="142" customWidth="1"/>
    <col min="517" max="517" width="15.85546875" style="142" bestFit="1" customWidth="1"/>
    <col min="518" max="518" width="14.28515625" style="142" bestFit="1" customWidth="1"/>
    <col min="519" max="519" width="14.28515625" style="142" customWidth="1"/>
    <col min="520" max="767" width="9.140625" style="142"/>
    <col min="768" max="768" width="14.140625" style="142" customWidth="1"/>
    <col min="769" max="770" width="9.140625" style="142"/>
    <col min="771" max="771" width="9.5703125" style="142" customWidth="1"/>
    <col min="772" max="772" width="17" style="142" customWidth="1"/>
    <col min="773" max="773" width="15.85546875" style="142" bestFit="1" customWidth="1"/>
    <col min="774" max="774" width="14.28515625" style="142" bestFit="1" customWidth="1"/>
    <col min="775" max="775" width="14.28515625" style="142" customWidth="1"/>
    <col min="776" max="1023" width="9.140625" style="142"/>
    <col min="1024" max="1024" width="14.140625" style="142" customWidth="1"/>
    <col min="1025" max="1026" width="9.140625" style="142"/>
    <col min="1027" max="1027" width="9.5703125" style="142" customWidth="1"/>
    <col min="1028" max="1028" width="17" style="142" customWidth="1"/>
    <col min="1029" max="1029" width="15.85546875" style="142" bestFit="1" customWidth="1"/>
    <col min="1030" max="1030" width="14.28515625" style="142" bestFit="1" customWidth="1"/>
    <col min="1031" max="1031" width="14.28515625" style="142" customWidth="1"/>
    <col min="1032" max="1279" width="9.140625" style="142"/>
    <col min="1280" max="1280" width="14.140625" style="142" customWidth="1"/>
    <col min="1281" max="1282" width="9.140625" style="142"/>
    <col min="1283" max="1283" width="9.5703125" style="142" customWidth="1"/>
    <col min="1284" max="1284" width="17" style="142" customWidth="1"/>
    <col min="1285" max="1285" width="15.85546875" style="142" bestFit="1" customWidth="1"/>
    <col min="1286" max="1286" width="14.28515625" style="142" bestFit="1" customWidth="1"/>
    <col min="1287" max="1287" width="14.28515625" style="142" customWidth="1"/>
    <col min="1288" max="1535" width="9.140625" style="142"/>
    <col min="1536" max="1536" width="14.140625" style="142" customWidth="1"/>
    <col min="1537" max="1538" width="9.140625" style="142"/>
    <col min="1539" max="1539" width="9.5703125" style="142" customWidth="1"/>
    <col min="1540" max="1540" width="17" style="142" customWidth="1"/>
    <col min="1541" max="1541" width="15.85546875" style="142" bestFit="1" customWidth="1"/>
    <col min="1542" max="1542" width="14.28515625" style="142" bestFit="1" customWidth="1"/>
    <col min="1543" max="1543" width="14.28515625" style="142" customWidth="1"/>
    <col min="1544" max="1791" width="9.140625" style="142"/>
    <col min="1792" max="1792" width="14.140625" style="142" customWidth="1"/>
    <col min="1793" max="1794" width="9.140625" style="142"/>
    <col min="1795" max="1795" width="9.5703125" style="142" customWidth="1"/>
    <col min="1796" max="1796" width="17" style="142" customWidth="1"/>
    <col min="1797" max="1797" width="15.85546875" style="142" bestFit="1" customWidth="1"/>
    <col min="1798" max="1798" width="14.28515625" style="142" bestFit="1" customWidth="1"/>
    <col min="1799" max="1799" width="14.28515625" style="142" customWidth="1"/>
    <col min="1800" max="2047" width="9.140625" style="142"/>
    <col min="2048" max="2048" width="14.140625" style="142" customWidth="1"/>
    <col min="2049" max="2050" width="9.140625" style="142"/>
    <col min="2051" max="2051" width="9.5703125" style="142" customWidth="1"/>
    <col min="2052" max="2052" width="17" style="142" customWidth="1"/>
    <col min="2053" max="2053" width="15.85546875" style="142" bestFit="1" customWidth="1"/>
    <col min="2054" max="2054" width="14.28515625" style="142" bestFit="1" customWidth="1"/>
    <col min="2055" max="2055" width="14.28515625" style="142" customWidth="1"/>
    <col min="2056" max="2303" width="9.140625" style="142"/>
    <col min="2304" max="2304" width="14.140625" style="142" customWidth="1"/>
    <col min="2305" max="2306" width="9.140625" style="142"/>
    <col min="2307" max="2307" width="9.5703125" style="142" customWidth="1"/>
    <col min="2308" max="2308" width="17" style="142" customWidth="1"/>
    <col min="2309" max="2309" width="15.85546875" style="142" bestFit="1" customWidth="1"/>
    <col min="2310" max="2310" width="14.28515625" style="142" bestFit="1" customWidth="1"/>
    <col min="2311" max="2311" width="14.28515625" style="142" customWidth="1"/>
    <col min="2312" max="2559" width="9.140625" style="142"/>
    <col min="2560" max="2560" width="14.140625" style="142" customWidth="1"/>
    <col min="2561" max="2562" width="9.140625" style="142"/>
    <col min="2563" max="2563" width="9.5703125" style="142" customWidth="1"/>
    <col min="2564" max="2564" width="17" style="142" customWidth="1"/>
    <col min="2565" max="2565" width="15.85546875" style="142" bestFit="1" customWidth="1"/>
    <col min="2566" max="2566" width="14.28515625" style="142" bestFit="1" customWidth="1"/>
    <col min="2567" max="2567" width="14.28515625" style="142" customWidth="1"/>
    <col min="2568" max="2815" width="9.140625" style="142"/>
    <col min="2816" max="2816" width="14.140625" style="142" customWidth="1"/>
    <col min="2817" max="2818" width="9.140625" style="142"/>
    <col min="2819" max="2819" width="9.5703125" style="142" customWidth="1"/>
    <col min="2820" max="2820" width="17" style="142" customWidth="1"/>
    <col min="2821" max="2821" width="15.85546875" style="142" bestFit="1" customWidth="1"/>
    <col min="2822" max="2822" width="14.28515625" style="142" bestFit="1" customWidth="1"/>
    <col min="2823" max="2823" width="14.28515625" style="142" customWidth="1"/>
    <col min="2824" max="3071" width="9.140625" style="142"/>
    <col min="3072" max="3072" width="14.140625" style="142" customWidth="1"/>
    <col min="3073" max="3074" width="9.140625" style="142"/>
    <col min="3075" max="3075" width="9.5703125" style="142" customWidth="1"/>
    <col min="3076" max="3076" width="17" style="142" customWidth="1"/>
    <col min="3077" max="3077" width="15.85546875" style="142" bestFit="1" customWidth="1"/>
    <col min="3078" max="3078" width="14.28515625" style="142" bestFit="1" customWidth="1"/>
    <col min="3079" max="3079" width="14.28515625" style="142" customWidth="1"/>
    <col min="3080" max="3327" width="9.140625" style="142"/>
    <col min="3328" max="3328" width="14.140625" style="142" customWidth="1"/>
    <col min="3329" max="3330" width="9.140625" style="142"/>
    <col min="3331" max="3331" width="9.5703125" style="142" customWidth="1"/>
    <col min="3332" max="3332" width="17" style="142" customWidth="1"/>
    <col min="3333" max="3333" width="15.85546875" style="142" bestFit="1" customWidth="1"/>
    <col min="3334" max="3334" width="14.28515625" style="142" bestFit="1" customWidth="1"/>
    <col min="3335" max="3335" width="14.28515625" style="142" customWidth="1"/>
    <col min="3336" max="3583" width="9.140625" style="142"/>
    <col min="3584" max="3584" width="14.140625" style="142" customWidth="1"/>
    <col min="3585" max="3586" width="9.140625" style="142"/>
    <col min="3587" max="3587" width="9.5703125" style="142" customWidth="1"/>
    <col min="3588" max="3588" width="17" style="142" customWidth="1"/>
    <col min="3589" max="3589" width="15.85546875" style="142" bestFit="1" customWidth="1"/>
    <col min="3590" max="3590" width="14.28515625" style="142" bestFit="1" customWidth="1"/>
    <col min="3591" max="3591" width="14.28515625" style="142" customWidth="1"/>
    <col min="3592" max="3839" width="9.140625" style="142"/>
    <col min="3840" max="3840" width="14.140625" style="142" customWidth="1"/>
    <col min="3841" max="3842" width="9.140625" style="142"/>
    <col min="3843" max="3843" width="9.5703125" style="142" customWidth="1"/>
    <col min="3844" max="3844" width="17" style="142" customWidth="1"/>
    <col min="3845" max="3845" width="15.85546875" style="142" bestFit="1" customWidth="1"/>
    <col min="3846" max="3846" width="14.28515625" style="142" bestFit="1" customWidth="1"/>
    <col min="3847" max="3847" width="14.28515625" style="142" customWidth="1"/>
    <col min="3848" max="4095" width="9.140625" style="142"/>
    <col min="4096" max="4096" width="14.140625" style="142" customWidth="1"/>
    <col min="4097" max="4098" width="9.140625" style="142"/>
    <col min="4099" max="4099" width="9.5703125" style="142" customWidth="1"/>
    <col min="4100" max="4100" width="17" style="142" customWidth="1"/>
    <col min="4101" max="4101" width="15.85546875" style="142" bestFit="1" customWidth="1"/>
    <col min="4102" max="4102" width="14.28515625" style="142" bestFit="1" customWidth="1"/>
    <col min="4103" max="4103" width="14.28515625" style="142" customWidth="1"/>
    <col min="4104" max="4351" width="9.140625" style="142"/>
    <col min="4352" max="4352" width="14.140625" style="142" customWidth="1"/>
    <col min="4353" max="4354" width="9.140625" style="142"/>
    <col min="4355" max="4355" width="9.5703125" style="142" customWidth="1"/>
    <col min="4356" max="4356" width="17" style="142" customWidth="1"/>
    <col min="4357" max="4357" width="15.85546875" style="142" bestFit="1" customWidth="1"/>
    <col min="4358" max="4358" width="14.28515625" style="142" bestFit="1" customWidth="1"/>
    <col min="4359" max="4359" width="14.28515625" style="142" customWidth="1"/>
    <col min="4360" max="4607" width="9.140625" style="142"/>
    <col min="4608" max="4608" width="14.140625" style="142" customWidth="1"/>
    <col min="4609" max="4610" width="9.140625" style="142"/>
    <col min="4611" max="4611" width="9.5703125" style="142" customWidth="1"/>
    <col min="4612" max="4612" width="17" style="142" customWidth="1"/>
    <col min="4613" max="4613" width="15.85546875" style="142" bestFit="1" customWidth="1"/>
    <col min="4614" max="4614" width="14.28515625" style="142" bestFit="1" customWidth="1"/>
    <col min="4615" max="4615" width="14.28515625" style="142" customWidth="1"/>
    <col min="4616" max="4863" width="9.140625" style="142"/>
    <col min="4864" max="4864" width="14.140625" style="142" customWidth="1"/>
    <col min="4865" max="4866" width="9.140625" style="142"/>
    <col min="4867" max="4867" width="9.5703125" style="142" customWidth="1"/>
    <col min="4868" max="4868" width="17" style="142" customWidth="1"/>
    <col min="4869" max="4869" width="15.85546875" style="142" bestFit="1" customWidth="1"/>
    <col min="4870" max="4870" width="14.28515625" style="142" bestFit="1" customWidth="1"/>
    <col min="4871" max="4871" width="14.28515625" style="142" customWidth="1"/>
    <col min="4872" max="5119" width="9.140625" style="142"/>
    <col min="5120" max="5120" width="14.140625" style="142" customWidth="1"/>
    <col min="5121" max="5122" width="9.140625" style="142"/>
    <col min="5123" max="5123" width="9.5703125" style="142" customWidth="1"/>
    <col min="5124" max="5124" width="17" style="142" customWidth="1"/>
    <col min="5125" max="5125" width="15.85546875" style="142" bestFit="1" customWidth="1"/>
    <col min="5126" max="5126" width="14.28515625" style="142" bestFit="1" customWidth="1"/>
    <col min="5127" max="5127" width="14.28515625" style="142" customWidth="1"/>
    <col min="5128" max="5375" width="9.140625" style="142"/>
    <col min="5376" max="5376" width="14.140625" style="142" customWidth="1"/>
    <col min="5377" max="5378" width="9.140625" style="142"/>
    <col min="5379" max="5379" width="9.5703125" style="142" customWidth="1"/>
    <col min="5380" max="5380" width="17" style="142" customWidth="1"/>
    <col min="5381" max="5381" width="15.85546875" style="142" bestFit="1" customWidth="1"/>
    <col min="5382" max="5382" width="14.28515625" style="142" bestFit="1" customWidth="1"/>
    <col min="5383" max="5383" width="14.28515625" style="142" customWidth="1"/>
    <col min="5384" max="5631" width="9.140625" style="142"/>
    <col min="5632" max="5632" width="14.140625" style="142" customWidth="1"/>
    <col min="5633" max="5634" width="9.140625" style="142"/>
    <col min="5635" max="5635" width="9.5703125" style="142" customWidth="1"/>
    <col min="5636" max="5636" width="17" style="142" customWidth="1"/>
    <col min="5637" max="5637" width="15.85546875" style="142" bestFit="1" customWidth="1"/>
    <col min="5638" max="5638" width="14.28515625" style="142" bestFit="1" customWidth="1"/>
    <col min="5639" max="5639" width="14.28515625" style="142" customWidth="1"/>
    <col min="5640" max="5887" width="9.140625" style="142"/>
    <col min="5888" max="5888" width="14.140625" style="142" customWidth="1"/>
    <col min="5889" max="5890" width="9.140625" style="142"/>
    <col min="5891" max="5891" width="9.5703125" style="142" customWidth="1"/>
    <col min="5892" max="5892" width="17" style="142" customWidth="1"/>
    <col min="5893" max="5893" width="15.85546875" style="142" bestFit="1" customWidth="1"/>
    <col min="5894" max="5894" width="14.28515625" style="142" bestFit="1" customWidth="1"/>
    <col min="5895" max="5895" width="14.28515625" style="142" customWidth="1"/>
    <col min="5896" max="6143" width="9.140625" style="142"/>
    <col min="6144" max="6144" width="14.140625" style="142" customWidth="1"/>
    <col min="6145" max="6146" width="9.140625" style="142"/>
    <col min="6147" max="6147" width="9.5703125" style="142" customWidth="1"/>
    <col min="6148" max="6148" width="17" style="142" customWidth="1"/>
    <col min="6149" max="6149" width="15.85546875" style="142" bestFit="1" customWidth="1"/>
    <col min="6150" max="6150" width="14.28515625" style="142" bestFit="1" customWidth="1"/>
    <col min="6151" max="6151" width="14.28515625" style="142" customWidth="1"/>
    <col min="6152" max="6399" width="9.140625" style="142"/>
    <col min="6400" max="6400" width="14.140625" style="142" customWidth="1"/>
    <col min="6401" max="6402" width="9.140625" style="142"/>
    <col min="6403" max="6403" width="9.5703125" style="142" customWidth="1"/>
    <col min="6404" max="6404" width="17" style="142" customWidth="1"/>
    <col min="6405" max="6405" width="15.85546875" style="142" bestFit="1" customWidth="1"/>
    <col min="6406" max="6406" width="14.28515625" style="142" bestFit="1" customWidth="1"/>
    <col min="6407" max="6407" width="14.28515625" style="142" customWidth="1"/>
    <col min="6408" max="6655" width="9.140625" style="142"/>
    <col min="6656" max="6656" width="14.140625" style="142" customWidth="1"/>
    <col min="6657" max="6658" width="9.140625" style="142"/>
    <col min="6659" max="6659" width="9.5703125" style="142" customWidth="1"/>
    <col min="6660" max="6660" width="17" style="142" customWidth="1"/>
    <col min="6661" max="6661" width="15.85546875" style="142" bestFit="1" customWidth="1"/>
    <col min="6662" max="6662" width="14.28515625" style="142" bestFit="1" customWidth="1"/>
    <col min="6663" max="6663" width="14.28515625" style="142" customWidth="1"/>
    <col min="6664" max="6911" width="9.140625" style="142"/>
    <col min="6912" max="6912" width="14.140625" style="142" customWidth="1"/>
    <col min="6913" max="6914" width="9.140625" style="142"/>
    <col min="6915" max="6915" width="9.5703125" style="142" customWidth="1"/>
    <col min="6916" max="6916" width="17" style="142" customWidth="1"/>
    <col min="6917" max="6917" width="15.85546875" style="142" bestFit="1" customWidth="1"/>
    <col min="6918" max="6918" width="14.28515625" style="142" bestFit="1" customWidth="1"/>
    <col min="6919" max="6919" width="14.28515625" style="142" customWidth="1"/>
    <col min="6920" max="7167" width="9.140625" style="142"/>
    <col min="7168" max="7168" width="14.140625" style="142" customWidth="1"/>
    <col min="7169" max="7170" width="9.140625" style="142"/>
    <col min="7171" max="7171" width="9.5703125" style="142" customWidth="1"/>
    <col min="7172" max="7172" width="17" style="142" customWidth="1"/>
    <col min="7173" max="7173" width="15.85546875" style="142" bestFit="1" customWidth="1"/>
    <col min="7174" max="7174" width="14.28515625" style="142" bestFit="1" customWidth="1"/>
    <col min="7175" max="7175" width="14.28515625" style="142" customWidth="1"/>
    <col min="7176" max="7423" width="9.140625" style="142"/>
    <col min="7424" max="7424" width="14.140625" style="142" customWidth="1"/>
    <col min="7425" max="7426" width="9.140625" style="142"/>
    <col min="7427" max="7427" width="9.5703125" style="142" customWidth="1"/>
    <col min="7428" max="7428" width="17" style="142" customWidth="1"/>
    <col min="7429" max="7429" width="15.85546875" style="142" bestFit="1" customWidth="1"/>
    <col min="7430" max="7430" width="14.28515625" style="142" bestFit="1" customWidth="1"/>
    <col min="7431" max="7431" width="14.28515625" style="142" customWidth="1"/>
    <col min="7432" max="7679" width="9.140625" style="142"/>
    <col min="7680" max="7680" width="14.140625" style="142" customWidth="1"/>
    <col min="7681" max="7682" width="9.140625" style="142"/>
    <col min="7683" max="7683" width="9.5703125" style="142" customWidth="1"/>
    <col min="7684" max="7684" width="17" style="142" customWidth="1"/>
    <col min="7685" max="7685" width="15.85546875" style="142" bestFit="1" customWidth="1"/>
    <col min="7686" max="7686" width="14.28515625" style="142" bestFit="1" customWidth="1"/>
    <col min="7687" max="7687" width="14.28515625" style="142" customWidth="1"/>
    <col min="7688" max="7935" width="9.140625" style="142"/>
    <col min="7936" max="7936" width="14.140625" style="142" customWidth="1"/>
    <col min="7937" max="7938" width="9.140625" style="142"/>
    <col min="7939" max="7939" width="9.5703125" style="142" customWidth="1"/>
    <col min="7940" max="7940" width="17" style="142" customWidth="1"/>
    <col min="7941" max="7941" width="15.85546875" style="142" bestFit="1" customWidth="1"/>
    <col min="7942" max="7942" width="14.28515625" style="142" bestFit="1" customWidth="1"/>
    <col min="7943" max="7943" width="14.28515625" style="142" customWidth="1"/>
    <col min="7944" max="8191" width="9.140625" style="142"/>
    <col min="8192" max="8192" width="14.140625" style="142" customWidth="1"/>
    <col min="8193" max="8194" width="9.140625" style="142"/>
    <col min="8195" max="8195" width="9.5703125" style="142" customWidth="1"/>
    <col min="8196" max="8196" width="17" style="142" customWidth="1"/>
    <col min="8197" max="8197" width="15.85546875" style="142" bestFit="1" customWidth="1"/>
    <col min="8198" max="8198" width="14.28515625" style="142" bestFit="1" customWidth="1"/>
    <col min="8199" max="8199" width="14.28515625" style="142" customWidth="1"/>
    <col min="8200" max="8447" width="9.140625" style="142"/>
    <col min="8448" max="8448" width="14.140625" style="142" customWidth="1"/>
    <col min="8449" max="8450" width="9.140625" style="142"/>
    <col min="8451" max="8451" width="9.5703125" style="142" customWidth="1"/>
    <col min="8452" max="8452" width="17" style="142" customWidth="1"/>
    <col min="8453" max="8453" width="15.85546875" style="142" bestFit="1" customWidth="1"/>
    <col min="8454" max="8454" width="14.28515625" style="142" bestFit="1" customWidth="1"/>
    <col min="8455" max="8455" width="14.28515625" style="142" customWidth="1"/>
    <col min="8456" max="8703" width="9.140625" style="142"/>
    <col min="8704" max="8704" width="14.140625" style="142" customWidth="1"/>
    <col min="8705" max="8706" width="9.140625" style="142"/>
    <col min="8707" max="8707" width="9.5703125" style="142" customWidth="1"/>
    <col min="8708" max="8708" width="17" style="142" customWidth="1"/>
    <col min="8709" max="8709" width="15.85546875" style="142" bestFit="1" customWidth="1"/>
    <col min="8710" max="8710" width="14.28515625" style="142" bestFit="1" customWidth="1"/>
    <col min="8711" max="8711" width="14.28515625" style="142" customWidth="1"/>
    <col min="8712" max="8959" width="9.140625" style="142"/>
    <col min="8960" max="8960" width="14.140625" style="142" customWidth="1"/>
    <col min="8961" max="8962" width="9.140625" style="142"/>
    <col min="8963" max="8963" width="9.5703125" style="142" customWidth="1"/>
    <col min="8964" max="8964" width="17" style="142" customWidth="1"/>
    <col min="8965" max="8965" width="15.85546875" style="142" bestFit="1" customWidth="1"/>
    <col min="8966" max="8966" width="14.28515625" style="142" bestFit="1" customWidth="1"/>
    <col min="8967" max="8967" width="14.28515625" style="142" customWidth="1"/>
    <col min="8968" max="9215" width="9.140625" style="142"/>
    <col min="9216" max="9216" width="14.140625" style="142" customWidth="1"/>
    <col min="9217" max="9218" width="9.140625" style="142"/>
    <col min="9219" max="9219" width="9.5703125" style="142" customWidth="1"/>
    <col min="9220" max="9220" width="17" style="142" customWidth="1"/>
    <col min="9221" max="9221" width="15.85546875" style="142" bestFit="1" customWidth="1"/>
    <col min="9222" max="9222" width="14.28515625" style="142" bestFit="1" customWidth="1"/>
    <col min="9223" max="9223" width="14.28515625" style="142" customWidth="1"/>
    <col min="9224" max="9471" width="9.140625" style="142"/>
    <col min="9472" max="9472" width="14.140625" style="142" customWidth="1"/>
    <col min="9473" max="9474" width="9.140625" style="142"/>
    <col min="9475" max="9475" width="9.5703125" style="142" customWidth="1"/>
    <col min="9476" max="9476" width="17" style="142" customWidth="1"/>
    <col min="9477" max="9477" width="15.85546875" style="142" bestFit="1" customWidth="1"/>
    <col min="9478" max="9478" width="14.28515625" style="142" bestFit="1" customWidth="1"/>
    <col min="9479" max="9479" width="14.28515625" style="142" customWidth="1"/>
    <col min="9480" max="9727" width="9.140625" style="142"/>
    <col min="9728" max="9728" width="14.140625" style="142" customWidth="1"/>
    <col min="9729" max="9730" width="9.140625" style="142"/>
    <col min="9731" max="9731" width="9.5703125" style="142" customWidth="1"/>
    <col min="9732" max="9732" width="17" style="142" customWidth="1"/>
    <col min="9733" max="9733" width="15.85546875" style="142" bestFit="1" customWidth="1"/>
    <col min="9734" max="9734" width="14.28515625" style="142" bestFit="1" customWidth="1"/>
    <col min="9735" max="9735" width="14.28515625" style="142" customWidth="1"/>
    <col min="9736" max="9983" width="9.140625" style="142"/>
    <col min="9984" max="9984" width="14.140625" style="142" customWidth="1"/>
    <col min="9985" max="9986" width="9.140625" style="142"/>
    <col min="9987" max="9987" width="9.5703125" style="142" customWidth="1"/>
    <col min="9988" max="9988" width="17" style="142" customWidth="1"/>
    <col min="9989" max="9989" width="15.85546875" style="142" bestFit="1" customWidth="1"/>
    <col min="9990" max="9990" width="14.28515625" style="142" bestFit="1" customWidth="1"/>
    <col min="9991" max="9991" width="14.28515625" style="142" customWidth="1"/>
    <col min="9992" max="10239" width="9.140625" style="142"/>
    <col min="10240" max="10240" width="14.140625" style="142" customWidth="1"/>
    <col min="10241" max="10242" width="9.140625" style="142"/>
    <col min="10243" max="10243" width="9.5703125" style="142" customWidth="1"/>
    <col min="10244" max="10244" width="17" style="142" customWidth="1"/>
    <col min="10245" max="10245" width="15.85546875" style="142" bestFit="1" customWidth="1"/>
    <col min="10246" max="10246" width="14.28515625" style="142" bestFit="1" customWidth="1"/>
    <col min="10247" max="10247" width="14.28515625" style="142" customWidth="1"/>
    <col min="10248" max="10495" width="9.140625" style="142"/>
    <col min="10496" max="10496" width="14.140625" style="142" customWidth="1"/>
    <col min="10497" max="10498" width="9.140625" style="142"/>
    <col min="10499" max="10499" width="9.5703125" style="142" customWidth="1"/>
    <col min="10500" max="10500" width="17" style="142" customWidth="1"/>
    <col min="10501" max="10501" width="15.85546875" style="142" bestFit="1" customWidth="1"/>
    <col min="10502" max="10502" width="14.28515625" style="142" bestFit="1" customWidth="1"/>
    <col min="10503" max="10503" width="14.28515625" style="142" customWidth="1"/>
    <col min="10504" max="10751" width="9.140625" style="142"/>
    <col min="10752" max="10752" width="14.140625" style="142" customWidth="1"/>
    <col min="10753" max="10754" width="9.140625" style="142"/>
    <col min="10755" max="10755" width="9.5703125" style="142" customWidth="1"/>
    <col min="10756" max="10756" width="17" style="142" customWidth="1"/>
    <col min="10757" max="10757" width="15.85546875" style="142" bestFit="1" customWidth="1"/>
    <col min="10758" max="10758" width="14.28515625" style="142" bestFit="1" customWidth="1"/>
    <col min="10759" max="10759" width="14.28515625" style="142" customWidth="1"/>
    <col min="10760" max="11007" width="9.140625" style="142"/>
    <col min="11008" max="11008" width="14.140625" style="142" customWidth="1"/>
    <col min="11009" max="11010" width="9.140625" style="142"/>
    <col min="11011" max="11011" width="9.5703125" style="142" customWidth="1"/>
    <col min="11012" max="11012" width="17" style="142" customWidth="1"/>
    <col min="11013" max="11013" width="15.85546875" style="142" bestFit="1" customWidth="1"/>
    <col min="11014" max="11014" width="14.28515625" style="142" bestFit="1" customWidth="1"/>
    <col min="11015" max="11015" width="14.28515625" style="142" customWidth="1"/>
    <col min="11016" max="11263" width="9.140625" style="142"/>
    <col min="11264" max="11264" width="14.140625" style="142" customWidth="1"/>
    <col min="11265" max="11266" width="9.140625" style="142"/>
    <col min="11267" max="11267" width="9.5703125" style="142" customWidth="1"/>
    <col min="11268" max="11268" width="17" style="142" customWidth="1"/>
    <col min="11269" max="11269" width="15.85546875" style="142" bestFit="1" customWidth="1"/>
    <col min="11270" max="11270" width="14.28515625" style="142" bestFit="1" customWidth="1"/>
    <col min="11271" max="11271" width="14.28515625" style="142" customWidth="1"/>
    <col min="11272" max="11519" width="9.140625" style="142"/>
    <col min="11520" max="11520" width="14.140625" style="142" customWidth="1"/>
    <col min="11521" max="11522" width="9.140625" style="142"/>
    <col min="11523" max="11523" width="9.5703125" style="142" customWidth="1"/>
    <col min="11524" max="11524" width="17" style="142" customWidth="1"/>
    <col min="11525" max="11525" width="15.85546875" style="142" bestFit="1" customWidth="1"/>
    <col min="11526" max="11526" width="14.28515625" style="142" bestFit="1" customWidth="1"/>
    <col min="11527" max="11527" width="14.28515625" style="142" customWidth="1"/>
    <col min="11528" max="11775" width="9.140625" style="142"/>
    <col min="11776" max="11776" width="14.140625" style="142" customWidth="1"/>
    <col min="11777" max="11778" width="9.140625" style="142"/>
    <col min="11779" max="11779" width="9.5703125" style="142" customWidth="1"/>
    <col min="11780" max="11780" width="17" style="142" customWidth="1"/>
    <col min="11781" max="11781" width="15.85546875" style="142" bestFit="1" customWidth="1"/>
    <col min="11782" max="11782" width="14.28515625" style="142" bestFit="1" customWidth="1"/>
    <col min="11783" max="11783" width="14.28515625" style="142" customWidth="1"/>
    <col min="11784" max="12031" width="9.140625" style="142"/>
    <col min="12032" max="12032" width="14.140625" style="142" customWidth="1"/>
    <col min="12033" max="12034" width="9.140625" style="142"/>
    <col min="12035" max="12035" width="9.5703125" style="142" customWidth="1"/>
    <col min="12036" max="12036" width="17" style="142" customWidth="1"/>
    <col min="12037" max="12037" width="15.85546875" style="142" bestFit="1" customWidth="1"/>
    <col min="12038" max="12038" width="14.28515625" style="142" bestFit="1" customWidth="1"/>
    <col min="12039" max="12039" width="14.28515625" style="142" customWidth="1"/>
    <col min="12040" max="12287" width="9.140625" style="142"/>
    <col min="12288" max="12288" width="14.140625" style="142" customWidth="1"/>
    <col min="12289" max="12290" width="9.140625" style="142"/>
    <col min="12291" max="12291" width="9.5703125" style="142" customWidth="1"/>
    <col min="12292" max="12292" width="17" style="142" customWidth="1"/>
    <col min="12293" max="12293" width="15.85546875" style="142" bestFit="1" customWidth="1"/>
    <col min="12294" max="12294" width="14.28515625" style="142" bestFit="1" customWidth="1"/>
    <col min="12295" max="12295" width="14.28515625" style="142" customWidth="1"/>
    <col min="12296" max="12543" width="9.140625" style="142"/>
    <col min="12544" max="12544" width="14.140625" style="142" customWidth="1"/>
    <col min="12545" max="12546" width="9.140625" style="142"/>
    <col min="12547" max="12547" width="9.5703125" style="142" customWidth="1"/>
    <col min="12548" max="12548" width="17" style="142" customWidth="1"/>
    <col min="12549" max="12549" width="15.85546875" style="142" bestFit="1" customWidth="1"/>
    <col min="12550" max="12550" width="14.28515625" style="142" bestFit="1" customWidth="1"/>
    <col min="12551" max="12551" width="14.28515625" style="142" customWidth="1"/>
    <col min="12552" max="12799" width="9.140625" style="142"/>
    <col min="12800" max="12800" width="14.140625" style="142" customWidth="1"/>
    <col min="12801" max="12802" width="9.140625" style="142"/>
    <col min="12803" max="12803" width="9.5703125" style="142" customWidth="1"/>
    <col min="12804" max="12804" width="17" style="142" customWidth="1"/>
    <col min="12805" max="12805" width="15.85546875" style="142" bestFit="1" customWidth="1"/>
    <col min="12806" max="12806" width="14.28515625" style="142" bestFit="1" customWidth="1"/>
    <col min="12807" max="12807" width="14.28515625" style="142" customWidth="1"/>
    <col min="12808" max="13055" width="9.140625" style="142"/>
    <col min="13056" max="13056" width="14.140625" style="142" customWidth="1"/>
    <col min="13057" max="13058" width="9.140625" style="142"/>
    <col min="13059" max="13059" width="9.5703125" style="142" customWidth="1"/>
    <col min="13060" max="13060" width="17" style="142" customWidth="1"/>
    <col min="13061" max="13061" width="15.85546875" style="142" bestFit="1" customWidth="1"/>
    <col min="13062" max="13062" width="14.28515625" style="142" bestFit="1" customWidth="1"/>
    <col min="13063" max="13063" width="14.28515625" style="142" customWidth="1"/>
    <col min="13064" max="13311" width="9.140625" style="142"/>
    <col min="13312" max="13312" width="14.140625" style="142" customWidth="1"/>
    <col min="13313" max="13314" width="9.140625" style="142"/>
    <col min="13315" max="13315" width="9.5703125" style="142" customWidth="1"/>
    <col min="13316" max="13316" width="17" style="142" customWidth="1"/>
    <col min="13317" max="13317" width="15.85546875" style="142" bestFit="1" customWidth="1"/>
    <col min="13318" max="13318" width="14.28515625" style="142" bestFit="1" customWidth="1"/>
    <col min="13319" max="13319" width="14.28515625" style="142" customWidth="1"/>
    <col min="13320" max="13567" width="9.140625" style="142"/>
    <col min="13568" max="13568" width="14.140625" style="142" customWidth="1"/>
    <col min="13569" max="13570" width="9.140625" style="142"/>
    <col min="13571" max="13571" width="9.5703125" style="142" customWidth="1"/>
    <col min="13572" max="13572" width="17" style="142" customWidth="1"/>
    <col min="13573" max="13573" width="15.85546875" style="142" bestFit="1" customWidth="1"/>
    <col min="13574" max="13574" width="14.28515625" style="142" bestFit="1" customWidth="1"/>
    <col min="13575" max="13575" width="14.28515625" style="142" customWidth="1"/>
    <col min="13576" max="13823" width="9.140625" style="142"/>
    <col min="13824" max="13824" width="14.140625" style="142" customWidth="1"/>
    <col min="13825" max="13826" width="9.140625" style="142"/>
    <col min="13827" max="13827" width="9.5703125" style="142" customWidth="1"/>
    <col min="13828" max="13828" width="17" style="142" customWidth="1"/>
    <col min="13829" max="13829" width="15.85546875" style="142" bestFit="1" customWidth="1"/>
    <col min="13830" max="13830" width="14.28515625" style="142" bestFit="1" customWidth="1"/>
    <col min="13831" max="13831" width="14.28515625" style="142" customWidth="1"/>
    <col min="13832" max="14079" width="9.140625" style="142"/>
    <col min="14080" max="14080" width="14.140625" style="142" customWidth="1"/>
    <col min="14081" max="14082" width="9.140625" style="142"/>
    <col min="14083" max="14083" width="9.5703125" style="142" customWidth="1"/>
    <col min="14084" max="14084" width="17" style="142" customWidth="1"/>
    <col min="14085" max="14085" width="15.85546875" style="142" bestFit="1" customWidth="1"/>
    <col min="14086" max="14086" width="14.28515625" style="142" bestFit="1" customWidth="1"/>
    <col min="14087" max="14087" width="14.28515625" style="142" customWidth="1"/>
    <col min="14088" max="14335" width="9.140625" style="142"/>
    <col min="14336" max="14336" width="14.140625" style="142" customWidth="1"/>
    <col min="14337" max="14338" width="9.140625" style="142"/>
    <col min="14339" max="14339" width="9.5703125" style="142" customWidth="1"/>
    <col min="14340" max="14340" width="17" style="142" customWidth="1"/>
    <col min="14341" max="14341" width="15.85546875" style="142" bestFit="1" customWidth="1"/>
    <col min="14342" max="14342" width="14.28515625" style="142" bestFit="1" customWidth="1"/>
    <col min="14343" max="14343" width="14.28515625" style="142" customWidth="1"/>
    <col min="14344" max="14591" width="9.140625" style="142"/>
    <col min="14592" max="14592" width="14.140625" style="142" customWidth="1"/>
    <col min="14593" max="14594" width="9.140625" style="142"/>
    <col min="14595" max="14595" width="9.5703125" style="142" customWidth="1"/>
    <col min="14596" max="14596" width="17" style="142" customWidth="1"/>
    <col min="14597" max="14597" width="15.85546875" style="142" bestFit="1" customWidth="1"/>
    <col min="14598" max="14598" width="14.28515625" style="142" bestFit="1" customWidth="1"/>
    <col min="14599" max="14599" width="14.28515625" style="142" customWidth="1"/>
    <col min="14600" max="14847" width="9.140625" style="142"/>
    <col min="14848" max="14848" width="14.140625" style="142" customWidth="1"/>
    <col min="14849" max="14850" width="9.140625" style="142"/>
    <col min="14851" max="14851" width="9.5703125" style="142" customWidth="1"/>
    <col min="14852" max="14852" width="17" style="142" customWidth="1"/>
    <col min="14853" max="14853" width="15.85546875" style="142" bestFit="1" customWidth="1"/>
    <col min="14854" max="14854" width="14.28515625" style="142" bestFit="1" customWidth="1"/>
    <col min="14855" max="14855" width="14.28515625" style="142" customWidth="1"/>
    <col min="14856" max="15103" width="9.140625" style="142"/>
    <col min="15104" max="15104" width="14.140625" style="142" customWidth="1"/>
    <col min="15105" max="15106" width="9.140625" style="142"/>
    <col min="15107" max="15107" width="9.5703125" style="142" customWidth="1"/>
    <col min="15108" max="15108" width="17" style="142" customWidth="1"/>
    <col min="15109" max="15109" width="15.85546875" style="142" bestFit="1" customWidth="1"/>
    <col min="15110" max="15110" width="14.28515625" style="142" bestFit="1" customWidth="1"/>
    <col min="15111" max="15111" width="14.28515625" style="142" customWidth="1"/>
    <col min="15112" max="15359" width="9.140625" style="142"/>
    <col min="15360" max="15360" width="14.140625" style="142" customWidth="1"/>
    <col min="15361" max="15362" width="9.140625" style="142"/>
    <col min="15363" max="15363" width="9.5703125" style="142" customWidth="1"/>
    <col min="15364" max="15364" width="17" style="142" customWidth="1"/>
    <col min="15365" max="15365" width="15.85546875" style="142" bestFit="1" customWidth="1"/>
    <col min="15366" max="15366" width="14.28515625" style="142" bestFit="1" customWidth="1"/>
    <col min="15367" max="15367" width="14.28515625" style="142" customWidth="1"/>
    <col min="15368" max="15615" width="9.140625" style="142"/>
    <col min="15616" max="15616" width="14.140625" style="142" customWidth="1"/>
    <col min="15617" max="15618" width="9.140625" style="142"/>
    <col min="15619" max="15619" width="9.5703125" style="142" customWidth="1"/>
    <col min="15620" max="15620" width="17" style="142" customWidth="1"/>
    <col min="15621" max="15621" width="15.85546875" style="142" bestFit="1" customWidth="1"/>
    <col min="15622" max="15622" width="14.28515625" style="142" bestFit="1" customWidth="1"/>
    <col min="15623" max="15623" width="14.28515625" style="142" customWidth="1"/>
    <col min="15624" max="15871" width="9.140625" style="142"/>
    <col min="15872" max="15872" width="14.140625" style="142" customWidth="1"/>
    <col min="15873" max="15874" width="9.140625" style="142"/>
    <col min="15875" max="15875" width="9.5703125" style="142" customWidth="1"/>
    <col min="15876" max="15876" width="17" style="142" customWidth="1"/>
    <col min="15877" max="15877" width="15.85546875" style="142" bestFit="1" customWidth="1"/>
    <col min="15878" max="15878" width="14.28515625" style="142" bestFit="1" customWidth="1"/>
    <col min="15879" max="15879" width="14.28515625" style="142" customWidth="1"/>
    <col min="15880" max="16127" width="9.140625" style="142"/>
    <col min="16128" max="16128" width="14.140625" style="142" customWidth="1"/>
    <col min="16129" max="16130" width="9.140625" style="142"/>
    <col min="16131" max="16131" width="9.5703125" style="142" customWidth="1"/>
    <col min="16132" max="16132" width="17" style="142" customWidth="1"/>
    <col min="16133" max="16133" width="15.85546875" style="142" bestFit="1" customWidth="1"/>
    <col min="16134" max="16134" width="14.28515625" style="142" bestFit="1" customWidth="1"/>
    <col min="16135" max="16135" width="14.28515625" style="142" customWidth="1"/>
    <col min="16136" max="16384" width="9.140625" style="142"/>
  </cols>
  <sheetData>
    <row r="1" spans="1:256" ht="18.75" x14ac:dyDescent="0.3">
      <c r="A1" s="651" t="s">
        <v>1950</v>
      </c>
      <c r="B1" s="651"/>
      <c r="C1" s="651"/>
      <c r="D1" s="651"/>
      <c r="E1" s="651"/>
      <c r="F1" s="651"/>
      <c r="G1" s="651"/>
      <c r="H1" s="651"/>
    </row>
    <row r="2" spans="1:256" ht="15.75" thickBot="1" x14ac:dyDescent="0.3">
      <c r="A2" s="652"/>
      <c r="B2" s="652"/>
      <c r="C2" s="652"/>
      <c r="D2" s="652"/>
      <c r="E2" s="652"/>
      <c r="F2" s="652"/>
    </row>
    <row r="3" spans="1:256" ht="15.75" thickBot="1" x14ac:dyDescent="0.3">
      <c r="A3" s="143"/>
      <c r="B3" s="163" t="s">
        <v>1951</v>
      </c>
      <c r="C3" s="165"/>
      <c r="D3" s="167"/>
      <c r="E3" s="169"/>
      <c r="F3" s="144"/>
      <c r="G3" s="170"/>
      <c r="H3" s="144"/>
    </row>
    <row r="4" spans="1:256" ht="9" customHeight="1" x14ac:dyDescent="0.25">
      <c r="A4" s="162"/>
      <c r="B4" s="164" t="s">
        <v>1952</v>
      </c>
      <c r="C4" s="166" t="s">
        <v>1953</v>
      </c>
      <c r="D4" s="168"/>
      <c r="E4" s="145"/>
      <c r="F4" s="147" t="s">
        <v>1954</v>
      </c>
      <c r="G4" s="171"/>
      <c r="H4" s="147" t="s">
        <v>1955</v>
      </c>
    </row>
    <row r="5" spans="1:256" x14ac:dyDescent="0.25">
      <c r="A5" s="185"/>
      <c r="B5" s="186" t="s">
        <v>1956</v>
      </c>
      <c r="C5" s="187" t="s">
        <v>1957</v>
      </c>
      <c r="D5" s="188" t="s">
        <v>1958</v>
      </c>
      <c r="E5" s="189" t="s">
        <v>1959</v>
      </c>
      <c r="F5" s="190" t="s">
        <v>1960</v>
      </c>
      <c r="G5" s="189" t="s">
        <v>1959</v>
      </c>
      <c r="H5" s="190" t="s">
        <v>1961</v>
      </c>
    </row>
    <row r="6" spans="1:256" s="191" customFormat="1" x14ac:dyDescent="0.25">
      <c r="A6" s="148" t="s">
        <v>1962</v>
      </c>
      <c r="B6" s="150">
        <v>926.03800000000001</v>
      </c>
      <c r="C6" s="146">
        <v>563.11199999999997</v>
      </c>
      <c r="D6" s="146"/>
      <c r="E6" s="146"/>
      <c r="F6" s="146">
        <v>720.79600000000005</v>
      </c>
      <c r="G6" s="146"/>
      <c r="H6" s="149">
        <v>779.76599999999996</v>
      </c>
      <c r="I6" s="142"/>
      <c r="J6" s="14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2"/>
      <c r="AZ6" s="142"/>
      <c r="BA6" s="142"/>
      <c r="BB6" s="142"/>
      <c r="BC6" s="142"/>
      <c r="BD6" s="142"/>
      <c r="BE6" s="142"/>
      <c r="BF6" s="142"/>
      <c r="BG6" s="142"/>
      <c r="BH6" s="142"/>
      <c r="BI6" s="142"/>
      <c r="BJ6" s="142"/>
      <c r="BK6" s="142"/>
      <c r="BL6" s="142"/>
      <c r="BM6" s="142"/>
      <c r="BN6" s="142"/>
      <c r="BO6" s="142"/>
      <c r="BP6" s="142"/>
      <c r="BQ6" s="142"/>
      <c r="BR6" s="142"/>
      <c r="BS6" s="142"/>
      <c r="BT6" s="142"/>
      <c r="BU6" s="142"/>
      <c r="BV6" s="142"/>
      <c r="BW6" s="142"/>
      <c r="BX6" s="142"/>
      <c r="BY6" s="142"/>
      <c r="BZ6" s="142"/>
      <c r="CA6" s="142"/>
      <c r="CB6" s="142"/>
      <c r="CC6" s="142"/>
      <c r="CD6" s="142"/>
      <c r="CE6" s="142"/>
      <c r="CF6" s="142"/>
      <c r="CG6" s="142"/>
      <c r="CH6" s="142"/>
      <c r="CI6" s="142"/>
      <c r="CJ6" s="142"/>
      <c r="CK6" s="142"/>
      <c r="CL6" s="142"/>
      <c r="CM6" s="142"/>
      <c r="CN6" s="142"/>
      <c r="CO6" s="142"/>
      <c r="CP6" s="142"/>
      <c r="CQ6" s="142"/>
      <c r="CR6" s="142"/>
      <c r="CS6" s="142"/>
      <c r="CT6" s="142"/>
      <c r="CU6" s="142"/>
      <c r="CV6" s="142"/>
      <c r="CW6" s="142"/>
      <c r="CX6" s="142"/>
      <c r="CY6" s="142"/>
      <c r="CZ6" s="142"/>
      <c r="DA6" s="142"/>
      <c r="DB6" s="142"/>
      <c r="DC6" s="142"/>
      <c r="DD6" s="142"/>
      <c r="DE6" s="142"/>
      <c r="DF6" s="142"/>
      <c r="DG6" s="142"/>
      <c r="DH6" s="142"/>
      <c r="DI6" s="142"/>
      <c r="DJ6" s="142"/>
      <c r="DK6" s="142"/>
      <c r="DL6" s="142"/>
      <c r="DM6" s="142"/>
      <c r="DN6" s="142"/>
      <c r="DO6" s="142"/>
      <c r="DP6" s="142"/>
      <c r="DQ6" s="142"/>
      <c r="DR6" s="142"/>
      <c r="DS6" s="142"/>
      <c r="DT6" s="142"/>
      <c r="DU6" s="142"/>
      <c r="DV6" s="142"/>
      <c r="DW6" s="142"/>
      <c r="DX6" s="142"/>
      <c r="DY6" s="142"/>
      <c r="DZ6" s="142"/>
      <c r="EA6" s="142"/>
      <c r="EB6" s="142"/>
      <c r="EC6" s="142"/>
      <c r="ED6" s="142"/>
      <c r="EE6" s="142"/>
      <c r="EF6" s="142"/>
      <c r="EG6" s="142"/>
      <c r="EH6" s="142"/>
      <c r="EI6" s="142"/>
      <c r="EJ6" s="142"/>
      <c r="EK6" s="142"/>
      <c r="EL6" s="142"/>
      <c r="EM6" s="142"/>
      <c r="EN6" s="142"/>
      <c r="EO6" s="142"/>
      <c r="EP6" s="142"/>
      <c r="EQ6" s="142"/>
      <c r="ER6" s="142"/>
      <c r="ES6" s="142"/>
      <c r="ET6" s="142"/>
      <c r="EU6" s="142"/>
      <c r="EV6" s="142"/>
      <c r="EW6" s="142"/>
      <c r="EX6" s="142"/>
      <c r="EY6" s="142"/>
      <c r="EZ6" s="142"/>
      <c r="FA6" s="142"/>
      <c r="FB6" s="142"/>
      <c r="FC6" s="142"/>
      <c r="FD6" s="142"/>
      <c r="FE6" s="142"/>
      <c r="FF6" s="142"/>
      <c r="FG6" s="142"/>
      <c r="FH6" s="142"/>
      <c r="FI6" s="142"/>
      <c r="FJ6" s="142"/>
      <c r="FK6" s="142"/>
      <c r="FL6" s="142"/>
      <c r="FM6" s="142"/>
      <c r="FN6" s="142"/>
      <c r="FO6" s="142"/>
      <c r="FP6" s="142"/>
      <c r="FQ6" s="142"/>
      <c r="FR6" s="142"/>
      <c r="FS6" s="142"/>
      <c r="FT6" s="142"/>
      <c r="FU6" s="142"/>
      <c r="FV6" s="142"/>
      <c r="FW6" s="142"/>
      <c r="FX6" s="142"/>
      <c r="FY6" s="142"/>
      <c r="FZ6" s="142"/>
      <c r="GA6" s="142"/>
      <c r="GB6" s="142"/>
      <c r="GC6" s="142"/>
      <c r="GD6" s="142"/>
      <c r="GE6" s="142"/>
      <c r="GF6" s="142"/>
      <c r="GG6" s="142"/>
      <c r="GH6" s="142"/>
      <c r="GI6" s="142"/>
      <c r="GJ6" s="142"/>
      <c r="GK6" s="142"/>
      <c r="GL6" s="142"/>
      <c r="GM6" s="142"/>
      <c r="GN6" s="142"/>
      <c r="GO6" s="142"/>
      <c r="GP6" s="142"/>
      <c r="GQ6" s="142"/>
      <c r="GR6" s="142"/>
      <c r="GS6" s="142"/>
      <c r="GT6" s="142"/>
      <c r="GU6" s="142"/>
      <c r="GV6" s="142"/>
      <c r="GW6" s="142"/>
      <c r="GX6" s="142"/>
      <c r="GY6" s="142"/>
      <c r="GZ6" s="142"/>
      <c r="HA6" s="142"/>
      <c r="HB6" s="142"/>
      <c r="HC6" s="142"/>
      <c r="HD6" s="142"/>
      <c r="HE6" s="142"/>
      <c r="HF6" s="142"/>
      <c r="HG6" s="142"/>
      <c r="HH6" s="142"/>
      <c r="HI6" s="142"/>
      <c r="HJ6" s="142"/>
      <c r="HK6" s="142"/>
      <c r="HL6" s="142"/>
      <c r="HM6" s="142"/>
      <c r="HN6" s="142"/>
      <c r="HO6" s="142"/>
      <c r="HP6" s="142"/>
      <c r="HQ6" s="142"/>
      <c r="HR6" s="142"/>
      <c r="HS6" s="142"/>
      <c r="HT6" s="142"/>
      <c r="HU6" s="142"/>
      <c r="HV6" s="142"/>
      <c r="HW6" s="142"/>
      <c r="HX6" s="142"/>
      <c r="HY6" s="142"/>
      <c r="HZ6" s="142"/>
      <c r="IA6" s="142"/>
      <c r="IB6" s="142"/>
      <c r="IC6" s="142"/>
      <c r="ID6" s="142"/>
      <c r="IE6" s="142"/>
      <c r="IF6" s="142"/>
      <c r="IG6" s="142"/>
      <c r="IH6" s="142"/>
      <c r="II6" s="142"/>
      <c r="IJ6" s="142"/>
      <c r="IK6" s="142"/>
      <c r="IL6" s="142"/>
      <c r="IM6" s="142"/>
      <c r="IN6" s="142"/>
      <c r="IO6" s="142"/>
      <c r="IP6" s="142"/>
      <c r="IQ6" s="142"/>
      <c r="IR6" s="142"/>
      <c r="IS6" s="142"/>
      <c r="IT6" s="142"/>
      <c r="IU6" s="142"/>
      <c r="IV6" s="142"/>
    </row>
    <row r="7" spans="1:256" s="191" customFormat="1" x14ac:dyDescent="0.25">
      <c r="A7" s="148" t="s">
        <v>1963</v>
      </c>
      <c r="B7" s="150">
        <v>926.03800000000001</v>
      </c>
      <c r="C7" s="146">
        <v>566.81299999999999</v>
      </c>
      <c r="D7" s="146">
        <f t="shared" ref="D7:D14" si="0">C7/C6</f>
        <v>1.0065724047791558</v>
      </c>
      <c r="E7" s="146">
        <f t="shared" ref="E7:E14" si="1">F7/F6</f>
        <v>1.0029994617062248</v>
      </c>
      <c r="F7" s="146">
        <v>722.95799999999997</v>
      </c>
      <c r="G7" s="146">
        <f t="shared" ref="G7:G14" si="2">H7/H6</f>
        <v>1.0032958605530378</v>
      </c>
      <c r="H7" s="149">
        <v>782.33600000000001</v>
      </c>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c r="BA7" s="142"/>
      <c r="BB7" s="142"/>
      <c r="BC7" s="142"/>
      <c r="BD7" s="142"/>
      <c r="BE7" s="142"/>
      <c r="BF7" s="142"/>
      <c r="BG7" s="142"/>
      <c r="BH7" s="142"/>
      <c r="BI7" s="142"/>
      <c r="BJ7" s="142"/>
      <c r="BK7" s="142"/>
      <c r="BL7" s="142"/>
      <c r="BM7" s="142"/>
      <c r="BN7" s="142"/>
      <c r="BO7" s="142"/>
      <c r="BP7" s="142"/>
      <c r="BQ7" s="142"/>
      <c r="BR7" s="142"/>
      <c r="BS7" s="142"/>
      <c r="BT7" s="142"/>
      <c r="BU7" s="142"/>
      <c r="BV7" s="142"/>
      <c r="BW7" s="142"/>
      <c r="BX7" s="142"/>
      <c r="BY7" s="142"/>
      <c r="BZ7" s="142"/>
      <c r="CA7" s="142"/>
      <c r="CB7" s="142"/>
      <c r="CC7" s="142"/>
      <c r="CD7" s="142"/>
      <c r="CE7" s="142"/>
      <c r="CF7" s="142"/>
      <c r="CG7" s="142"/>
      <c r="CH7" s="142"/>
      <c r="CI7" s="142"/>
      <c r="CJ7" s="142"/>
      <c r="CK7" s="142"/>
      <c r="CL7" s="142"/>
      <c r="CM7" s="142"/>
      <c r="CN7" s="142"/>
      <c r="CO7" s="142"/>
      <c r="CP7" s="142"/>
      <c r="CQ7" s="142"/>
      <c r="CR7" s="142"/>
      <c r="CS7" s="142"/>
      <c r="CT7" s="142"/>
      <c r="CU7" s="142"/>
      <c r="CV7" s="142"/>
      <c r="CW7" s="142"/>
      <c r="CX7" s="142"/>
      <c r="CY7" s="142"/>
      <c r="CZ7" s="142"/>
      <c r="DA7" s="142"/>
      <c r="DB7" s="142"/>
      <c r="DC7" s="142"/>
      <c r="DD7" s="142"/>
      <c r="DE7" s="142"/>
      <c r="DF7" s="142"/>
      <c r="DG7" s="142"/>
      <c r="DH7" s="142"/>
      <c r="DI7" s="142"/>
      <c r="DJ7" s="142"/>
      <c r="DK7" s="142"/>
      <c r="DL7" s="142"/>
      <c r="DM7" s="142"/>
      <c r="DN7" s="142"/>
      <c r="DO7" s="142"/>
      <c r="DP7" s="142"/>
      <c r="DQ7" s="142"/>
      <c r="DR7" s="142"/>
      <c r="DS7" s="142"/>
      <c r="DT7" s="142"/>
      <c r="DU7" s="142"/>
      <c r="DV7" s="142"/>
      <c r="DW7" s="142"/>
      <c r="DX7" s="142"/>
      <c r="DY7" s="142"/>
      <c r="DZ7" s="142"/>
      <c r="EA7" s="142"/>
      <c r="EB7" s="142"/>
      <c r="EC7" s="142"/>
      <c r="ED7" s="142"/>
      <c r="EE7" s="142"/>
      <c r="EF7" s="142"/>
      <c r="EG7" s="142"/>
      <c r="EH7" s="142"/>
      <c r="EI7" s="142"/>
      <c r="EJ7" s="142"/>
      <c r="EK7" s="142"/>
      <c r="EL7" s="142"/>
      <c r="EM7" s="142"/>
      <c r="EN7" s="142"/>
      <c r="EO7" s="142"/>
      <c r="EP7" s="142"/>
      <c r="EQ7" s="142"/>
      <c r="ER7" s="142"/>
      <c r="ES7" s="142"/>
      <c r="ET7" s="142"/>
      <c r="EU7" s="142"/>
      <c r="EV7" s="142"/>
      <c r="EW7" s="142"/>
      <c r="EX7" s="142"/>
      <c r="EY7" s="142"/>
      <c r="EZ7" s="142"/>
      <c r="FA7" s="142"/>
      <c r="FB7" s="142"/>
      <c r="FC7" s="142"/>
      <c r="FD7" s="142"/>
      <c r="FE7" s="142"/>
      <c r="FF7" s="142"/>
      <c r="FG7" s="142"/>
      <c r="FH7" s="142"/>
      <c r="FI7" s="142"/>
      <c r="FJ7" s="142"/>
      <c r="FK7" s="142"/>
      <c r="FL7" s="142"/>
      <c r="FM7" s="142"/>
      <c r="FN7" s="142"/>
      <c r="FO7" s="142"/>
      <c r="FP7" s="142"/>
      <c r="FQ7" s="142"/>
      <c r="FR7" s="142"/>
      <c r="FS7" s="142"/>
      <c r="FT7" s="142"/>
      <c r="FU7" s="142"/>
      <c r="FV7" s="142"/>
      <c r="FW7" s="142"/>
      <c r="FX7" s="142"/>
      <c r="FY7" s="142"/>
      <c r="FZ7" s="142"/>
      <c r="GA7" s="142"/>
      <c r="GB7" s="142"/>
      <c r="GC7" s="142"/>
      <c r="GD7" s="142"/>
      <c r="GE7" s="142"/>
      <c r="GF7" s="142"/>
      <c r="GG7" s="142"/>
      <c r="GH7" s="142"/>
      <c r="GI7" s="142"/>
      <c r="GJ7" s="142"/>
      <c r="GK7" s="142"/>
      <c r="GL7" s="142"/>
      <c r="GM7" s="142"/>
      <c r="GN7" s="142"/>
      <c r="GO7" s="142"/>
      <c r="GP7" s="142"/>
      <c r="GQ7" s="142"/>
      <c r="GR7" s="142"/>
      <c r="GS7" s="142"/>
      <c r="GT7" s="142"/>
      <c r="GU7" s="142"/>
      <c r="GV7" s="142"/>
      <c r="GW7" s="142"/>
      <c r="GX7" s="142"/>
      <c r="GY7" s="142"/>
      <c r="GZ7" s="142"/>
      <c r="HA7" s="142"/>
      <c r="HB7" s="142"/>
      <c r="HC7" s="142"/>
      <c r="HD7" s="142"/>
      <c r="HE7" s="142"/>
      <c r="HF7" s="142"/>
      <c r="HG7" s="142"/>
      <c r="HH7" s="142"/>
      <c r="HI7" s="142"/>
      <c r="HJ7" s="142"/>
      <c r="HK7" s="142"/>
      <c r="HL7" s="142"/>
      <c r="HM7" s="142"/>
      <c r="HN7" s="142"/>
      <c r="HO7" s="142"/>
      <c r="HP7" s="142"/>
      <c r="HQ7" s="142"/>
      <c r="HR7" s="142"/>
      <c r="HS7" s="142"/>
      <c r="HT7" s="142"/>
      <c r="HU7" s="142"/>
      <c r="HV7" s="142"/>
      <c r="HW7" s="142"/>
      <c r="HX7" s="142"/>
      <c r="HY7" s="142"/>
      <c r="HZ7" s="142"/>
      <c r="IA7" s="142"/>
      <c r="IB7" s="142"/>
      <c r="IC7" s="142"/>
      <c r="ID7" s="142"/>
      <c r="IE7" s="142"/>
      <c r="IF7" s="142"/>
      <c r="IG7" s="142"/>
      <c r="IH7" s="142"/>
      <c r="II7" s="142"/>
      <c r="IJ7" s="142"/>
      <c r="IK7" s="142"/>
      <c r="IL7" s="142"/>
      <c r="IM7" s="142"/>
      <c r="IN7" s="142"/>
      <c r="IO7" s="142"/>
      <c r="IP7" s="142"/>
      <c r="IQ7" s="142"/>
      <c r="IR7" s="142"/>
      <c r="IS7" s="142"/>
      <c r="IT7" s="142"/>
      <c r="IU7" s="142"/>
      <c r="IV7" s="142"/>
    </row>
    <row r="8" spans="1:256" s="191" customFormat="1" x14ac:dyDescent="0.25">
      <c r="A8" s="148" t="s">
        <v>1964</v>
      </c>
      <c r="B8" s="150">
        <v>926.03800000000001</v>
      </c>
      <c r="C8" s="146">
        <v>568.76700000000005</v>
      </c>
      <c r="D8" s="146">
        <f t="shared" si="0"/>
        <v>1.0034473450679502</v>
      </c>
      <c r="E8" s="146">
        <f t="shared" si="1"/>
        <v>1.0015782382932343</v>
      </c>
      <c r="F8" s="146">
        <v>724.09900000000005</v>
      </c>
      <c r="G8" s="146">
        <f t="shared" si="2"/>
        <v>1.0025590027814135</v>
      </c>
      <c r="H8" s="149">
        <v>784.33799999999997</v>
      </c>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BB8" s="142"/>
      <c r="BC8" s="142"/>
      <c r="BD8" s="142"/>
      <c r="BE8" s="142"/>
      <c r="BF8" s="142"/>
      <c r="BG8" s="142"/>
      <c r="BH8" s="142"/>
      <c r="BI8" s="142"/>
      <c r="BJ8" s="142"/>
      <c r="BK8" s="142"/>
      <c r="BL8" s="142"/>
      <c r="BM8" s="142"/>
      <c r="BN8" s="142"/>
      <c r="BO8" s="142"/>
      <c r="BP8" s="142"/>
      <c r="BQ8" s="142"/>
      <c r="BR8" s="142"/>
      <c r="BS8" s="142"/>
      <c r="BT8" s="142"/>
      <c r="BU8" s="142"/>
      <c r="BV8" s="142"/>
      <c r="BW8" s="142"/>
      <c r="BX8" s="142"/>
      <c r="BY8" s="142"/>
      <c r="BZ8" s="142"/>
      <c r="CA8" s="142"/>
      <c r="CB8" s="142"/>
      <c r="CC8" s="142"/>
      <c r="CD8" s="142"/>
      <c r="CE8" s="142"/>
      <c r="CF8" s="142"/>
      <c r="CG8" s="142"/>
      <c r="CH8" s="142"/>
      <c r="CI8" s="142"/>
      <c r="CJ8" s="142"/>
      <c r="CK8" s="142"/>
      <c r="CL8" s="142"/>
      <c r="CM8" s="142"/>
      <c r="CN8" s="142"/>
      <c r="CO8" s="142"/>
      <c r="CP8" s="142"/>
      <c r="CQ8" s="142"/>
      <c r="CR8" s="142"/>
      <c r="CS8" s="142"/>
      <c r="CT8" s="142"/>
      <c r="CU8" s="142"/>
      <c r="CV8" s="142"/>
      <c r="CW8" s="142"/>
      <c r="CX8" s="142"/>
      <c r="CY8" s="142"/>
      <c r="CZ8" s="142"/>
      <c r="DA8" s="142"/>
      <c r="DB8" s="142"/>
      <c r="DC8" s="142"/>
      <c r="DD8" s="142"/>
      <c r="DE8" s="142"/>
      <c r="DF8" s="142"/>
      <c r="DG8" s="142"/>
      <c r="DH8" s="142"/>
      <c r="DI8" s="142"/>
      <c r="DJ8" s="142"/>
      <c r="DK8" s="142"/>
      <c r="DL8" s="142"/>
      <c r="DM8" s="142"/>
      <c r="DN8" s="142"/>
      <c r="DO8" s="142"/>
      <c r="DP8" s="142"/>
      <c r="DQ8" s="142"/>
      <c r="DR8" s="142"/>
      <c r="DS8" s="142"/>
      <c r="DT8" s="142"/>
      <c r="DU8" s="142"/>
      <c r="DV8" s="142"/>
      <c r="DW8" s="142"/>
      <c r="DX8" s="142"/>
      <c r="DY8" s="142"/>
      <c r="DZ8" s="142"/>
      <c r="EA8" s="142"/>
      <c r="EB8" s="142"/>
      <c r="EC8" s="142"/>
      <c r="ED8" s="142"/>
      <c r="EE8" s="142"/>
      <c r="EF8" s="142"/>
      <c r="EG8" s="142"/>
      <c r="EH8" s="142"/>
      <c r="EI8" s="142"/>
      <c r="EJ8" s="142"/>
      <c r="EK8" s="142"/>
      <c r="EL8" s="142"/>
      <c r="EM8" s="142"/>
      <c r="EN8" s="142"/>
      <c r="EO8" s="142"/>
      <c r="EP8" s="142"/>
      <c r="EQ8" s="142"/>
      <c r="ER8" s="142"/>
      <c r="ES8" s="142"/>
      <c r="ET8" s="142"/>
      <c r="EU8" s="142"/>
      <c r="EV8" s="142"/>
      <c r="EW8" s="142"/>
      <c r="EX8" s="142"/>
      <c r="EY8" s="142"/>
      <c r="EZ8" s="142"/>
      <c r="FA8" s="142"/>
      <c r="FB8" s="142"/>
      <c r="FC8" s="142"/>
      <c r="FD8" s="142"/>
      <c r="FE8" s="142"/>
      <c r="FF8" s="142"/>
      <c r="FG8" s="142"/>
      <c r="FH8" s="142"/>
      <c r="FI8" s="142"/>
      <c r="FJ8" s="142"/>
      <c r="FK8" s="142"/>
      <c r="FL8" s="142"/>
      <c r="FM8" s="142"/>
      <c r="FN8" s="142"/>
      <c r="FO8" s="142"/>
      <c r="FP8" s="142"/>
      <c r="FQ8" s="142"/>
      <c r="FR8" s="142"/>
      <c r="FS8" s="142"/>
      <c r="FT8" s="142"/>
      <c r="FU8" s="142"/>
      <c r="FV8" s="142"/>
      <c r="FW8" s="142"/>
      <c r="FX8" s="142"/>
      <c r="FY8" s="142"/>
      <c r="FZ8" s="142"/>
      <c r="GA8" s="142"/>
      <c r="GB8" s="142"/>
      <c r="GC8" s="142"/>
      <c r="GD8" s="142"/>
      <c r="GE8" s="142"/>
      <c r="GF8" s="142"/>
      <c r="GG8" s="142"/>
      <c r="GH8" s="142"/>
      <c r="GI8" s="142"/>
      <c r="GJ8" s="142"/>
      <c r="GK8" s="142"/>
      <c r="GL8" s="142"/>
      <c r="GM8" s="142"/>
      <c r="GN8" s="142"/>
      <c r="GO8" s="142"/>
      <c r="GP8" s="142"/>
      <c r="GQ8" s="142"/>
      <c r="GR8" s="142"/>
      <c r="GS8" s="142"/>
      <c r="GT8" s="142"/>
      <c r="GU8" s="142"/>
      <c r="GV8" s="142"/>
      <c r="GW8" s="142"/>
      <c r="GX8" s="142"/>
      <c r="GY8" s="142"/>
      <c r="GZ8" s="142"/>
      <c r="HA8" s="142"/>
      <c r="HB8" s="142"/>
      <c r="HC8" s="142"/>
      <c r="HD8" s="142"/>
      <c r="HE8" s="142"/>
      <c r="HF8" s="142"/>
      <c r="HG8" s="142"/>
      <c r="HH8" s="142"/>
      <c r="HI8" s="142"/>
      <c r="HJ8" s="142"/>
      <c r="HK8" s="142"/>
      <c r="HL8" s="142"/>
      <c r="HM8" s="142"/>
      <c r="HN8" s="142"/>
      <c r="HO8" s="142"/>
      <c r="HP8" s="142"/>
      <c r="HQ8" s="142"/>
      <c r="HR8" s="142"/>
      <c r="HS8" s="142"/>
      <c r="HT8" s="142"/>
      <c r="HU8" s="142"/>
      <c r="HV8" s="142"/>
      <c r="HW8" s="142"/>
      <c r="HX8" s="142"/>
      <c r="HY8" s="142"/>
      <c r="HZ8" s="142"/>
      <c r="IA8" s="142"/>
      <c r="IB8" s="142"/>
      <c r="IC8" s="142"/>
      <c r="ID8" s="142"/>
      <c r="IE8" s="142"/>
      <c r="IF8" s="142"/>
      <c r="IG8" s="142"/>
      <c r="IH8" s="142"/>
      <c r="II8" s="142"/>
      <c r="IJ8" s="142"/>
      <c r="IK8" s="142"/>
      <c r="IL8" s="142"/>
      <c r="IM8" s="142"/>
      <c r="IN8" s="142"/>
      <c r="IO8" s="142"/>
      <c r="IP8" s="142"/>
      <c r="IQ8" s="142"/>
      <c r="IR8" s="142"/>
      <c r="IS8" s="142"/>
      <c r="IT8" s="142"/>
      <c r="IU8" s="142"/>
      <c r="IV8" s="142"/>
    </row>
    <row r="9" spans="1:256" s="191" customFormat="1" x14ac:dyDescent="0.25">
      <c r="A9" s="148" t="s">
        <v>1965</v>
      </c>
      <c r="B9" s="150">
        <v>926.03800000000001</v>
      </c>
      <c r="C9" s="146">
        <v>570.08600000000001</v>
      </c>
      <c r="D9" s="146">
        <f t="shared" si="0"/>
        <v>1.0023190515624147</v>
      </c>
      <c r="E9" s="146">
        <f t="shared" si="1"/>
        <v>1.0010647715298597</v>
      </c>
      <c r="F9" s="146">
        <v>724.87</v>
      </c>
      <c r="G9" s="146">
        <f t="shared" si="2"/>
        <v>1.0022082316552303</v>
      </c>
      <c r="H9" s="149">
        <v>786.07</v>
      </c>
      <c r="I9" s="142"/>
      <c r="J9" s="142"/>
      <c r="K9" s="142"/>
      <c r="L9" s="142"/>
      <c r="M9" s="142"/>
      <c r="N9" s="142"/>
      <c r="O9" s="142"/>
      <c r="P9" s="142"/>
      <c r="Q9" s="142"/>
      <c r="R9" s="142"/>
      <c r="S9" s="142"/>
      <c r="T9" s="142"/>
      <c r="U9" s="142"/>
      <c r="V9" s="142"/>
      <c r="W9" s="142"/>
      <c r="X9" s="142"/>
      <c r="Y9" s="142"/>
      <c r="Z9" s="142"/>
      <c r="AA9" s="142"/>
      <c r="AB9" s="142"/>
      <c r="AC9" s="142"/>
      <c r="AD9" s="142"/>
      <c r="AE9" s="142"/>
      <c r="AF9" s="142"/>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c r="BF9" s="142"/>
      <c r="BG9" s="142"/>
      <c r="BH9" s="142"/>
      <c r="BI9" s="142"/>
      <c r="BJ9" s="142"/>
      <c r="BK9" s="142"/>
      <c r="BL9" s="142"/>
      <c r="BM9" s="142"/>
      <c r="BN9" s="142"/>
      <c r="BO9" s="142"/>
      <c r="BP9" s="142"/>
      <c r="BQ9" s="142"/>
      <c r="BR9" s="142"/>
      <c r="BS9" s="142"/>
      <c r="BT9" s="142"/>
      <c r="BU9" s="142"/>
      <c r="BV9" s="142"/>
      <c r="BW9" s="142"/>
      <c r="BX9" s="142"/>
      <c r="BY9" s="142"/>
      <c r="BZ9" s="142"/>
      <c r="CA9" s="142"/>
      <c r="CB9" s="142"/>
      <c r="CC9" s="142"/>
      <c r="CD9" s="142"/>
      <c r="CE9" s="142"/>
      <c r="CF9" s="142"/>
      <c r="CG9" s="142"/>
      <c r="CH9" s="142"/>
      <c r="CI9" s="142"/>
      <c r="CJ9" s="142"/>
      <c r="CK9" s="142"/>
      <c r="CL9" s="142"/>
      <c r="CM9" s="142"/>
      <c r="CN9" s="142"/>
      <c r="CO9" s="142"/>
      <c r="CP9" s="142"/>
      <c r="CQ9" s="142"/>
      <c r="CR9" s="142"/>
      <c r="CS9" s="142"/>
      <c r="CT9" s="142"/>
      <c r="CU9" s="142"/>
      <c r="CV9" s="142"/>
      <c r="CW9" s="142"/>
      <c r="CX9" s="142"/>
      <c r="CY9" s="142"/>
      <c r="CZ9" s="142"/>
      <c r="DA9" s="142"/>
      <c r="DB9" s="142"/>
      <c r="DC9" s="142"/>
      <c r="DD9" s="142"/>
      <c r="DE9" s="142"/>
      <c r="DF9" s="142"/>
      <c r="DG9" s="142"/>
      <c r="DH9" s="142"/>
      <c r="DI9" s="142"/>
      <c r="DJ9" s="142"/>
      <c r="DK9" s="142"/>
      <c r="DL9" s="142"/>
      <c r="DM9" s="142"/>
      <c r="DN9" s="142"/>
      <c r="DO9" s="142"/>
      <c r="DP9" s="142"/>
      <c r="DQ9" s="142"/>
      <c r="DR9" s="142"/>
      <c r="DS9" s="142"/>
      <c r="DT9" s="142"/>
      <c r="DU9" s="142"/>
      <c r="DV9" s="142"/>
      <c r="DW9" s="142"/>
      <c r="DX9" s="142"/>
      <c r="DY9" s="142"/>
      <c r="DZ9" s="142"/>
      <c r="EA9" s="142"/>
      <c r="EB9" s="142"/>
      <c r="EC9" s="142"/>
      <c r="ED9" s="142"/>
      <c r="EE9" s="142"/>
      <c r="EF9" s="142"/>
      <c r="EG9" s="142"/>
      <c r="EH9" s="142"/>
      <c r="EI9" s="142"/>
      <c r="EJ9" s="142"/>
      <c r="EK9" s="142"/>
      <c r="EL9" s="142"/>
      <c r="EM9" s="142"/>
      <c r="EN9" s="142"/>
      <c r="EO9" s="142"/>
      <c r="EP9" s="142"/>
      <c r="EQ9" s="142"/>
      <c r="ER9" s="142"/>
      <c r="ES9" s="142"/>
      <c r="ET9" s="142"/>
      <c r="EU9" s="142"/>
      <c r="EV9" s="142"/>
      <c r="EW9" s="142"/>
      <c r="EX9" s="142"/>
      <c r="EY9" s="142"/>
      <c r="EZ9" s="142"/>
      <c r="FA9" s="142"/>
      <c r="FB9" s="142"/>
      <c r="FC9" s="142"/>
      <c r="FD9" s="142"/>
      <c r="FE9" s="142"/>
      <c r="FF9" s="142"/>
      <c r="FG9" s="142"/>
      <c r="FH9" s="142"/>
      <c r="FI9" s="142"/>
      <c r="FJ9" s="142"/>
      <c r="FK9" s="142"/>
      <c r="FL9" s="142"/>
      <c r="FM9" s="142"/>
      <c r="FN9" s="142"/>
      <c r="FO9" s="142"/>
      <c r="FP9" s="142"/>
      <c r="FQ9" s="142"/>
      <c r="FR9" s="142"/>
      <c r="FS9" s="142"/>
      <c r="FT9" s="142"/>
      <c r="FU9" s="142"/>
      <c r="FV9" s="142"/>
      <c r="FW9" s="142"/>
      <c r="FX9" s="142"/>
      <c r="FY9" s="142"/>
      <c r="FZ9" s="142"/>
      <c r="GA9" s="142"/>
      <c r="GB9" s="142"/>
      <c r="GC9" s="142"/>
      <c r="GD9" s="142"/>
      <c r="GE9" s="142"/>
      <c r="GF9" s="142"/>
      <c r="GG9" s="142"/>
      <c r="GH9" s="142"/>
      <c r="GI9" s="142"/>
      <c r="GJ9" s="142"/>
      <c r="GK9" s="142"/>
      <c r="GL9" s="142"/>
      <c r="GM9" s="142"/>
      <c r="GN9" s="142"/>
      <c r="GO9" s="142"/>
      <c r="GP9" s="142"/>
      <c r="GQ9" s="142"/>
      <c r="GR9" s="142"/>
      <c r="GS9" s="142"/>
      <c r="GT9" s="142"/>
      <c r="GU9" s="142"/>
      <c r="GV9" s="142"/>
      <c r="GW9" s="142"/>
      <c r="GX9" s="142"/>
      <c r="GY9" s="142"/>
      <c r="GZ9" s="142"/>
      <c r="HA9" s="142"/>
      <c r="HB9" s="142"/>
      <c r="HC9" s="142"/>
      <c r="HD9" s="142"/>
      <c r="HE9" s="142"/>
      <c r="HF9" s="142"/>
      <c r="HG9" s="142"/>
      <c r="HH9" s="142"/>
      <c r="HI9" s="142"/>
      <c r="HJ9" s="142"/>
      <c r="HK9" s="142"/>
      <c r="HL9" s="142"/>
      <c r="HM9" s="142"/>
      <c r="HN9" s="142"/>
      <c r="HO9" s="142"/>
      <c r="HP9" s="142"/>
      <c r="HQ9" s="142"/>
      <c r="HR9" s="142"/>
      <c r="HS9" s="142"/>
      <c r="HT9" s="142"/>
      <c r="HU9" s="142"/>
      <c r="HV9" s="142"/>
      <c r="HW9" s="142"/>
      <c r="HX9" s="142"/>
      <c r="HY9" s="142"/>
      <c r="HZ9" s="142"/>
      <c r="IA9" s="142"/>
      <c r="IB9" s="142"/>
      <c r="IC9" s="142"/>
      <c r="ID9" s="142"/>
      <c r="IE9" s="142"/>
      <c r="IF9" s="142"/>
      <c r="IG9" s="142"/>
      <c r="IH9" s="142"/>
      <c r="II9" s="142"/>
      <c r="IJ9" s="142"/>
      <c r="IK9" s="142"/>
      <c r="IL9" s="142"/>
      <c r="IM9" s="142"/>
      <c r="IN9" s="142"/>
      <c r="IO9" s="142"/>
      <c r="IP9" s="142"/>
      <c r="IQ9" s="142"/>
      <c r="IR9" s="142"/>
      <c r="IS9" s="142"/>
      <c r="IT9" s="142"/>
      <c r="IU9" s="142"/>
      <c r="IV9" s="142"/>
    </row>
    <row r="10" spans="1:256" s="191" customFormat="1" x14ac:dyDescent="0.25">
      <c r="A10" s="148" t="s">
        <v>1966</v>
      </c>
      <c r="B10" s="150">
        <v>926.03800000000001</v>
      </c>
      <c r="C10" s="146">
        <v>571.46900000000005</v>
      </c>
      <c r="D10" s="146">
        <f t="shared" si="0"/>
        <v>1.0024259497689822</v>
      </c>
      <c r="E10" s="146">
        <f t="shared" si="1"/>
        <v>1.0011146826327479</v>
      </c>
      <c r="F10" s="146">
        <v>725.678</v>
      </c>
      <c r="G10" s="146">
        <f t="shared" si="2"/>
        <v>1.0020303535308561</v>
      </c>
      <c r="H10" s="149">
        <v>787.66600000000005</v>
      </c>
      <c r="I10" s="142"/>
      <c r="J10" s="142"/>
      <c r="K10" s="142"/>
      <c r="L10" s="142"/>
      <c r="M10" s="142"/>
      <c r="N10" s="142"/>
      <c r="O10" s="142"/>
      <c r="P10" s="142"/>
      <c r="Q10" s="142"/>
      <c r="R10" s="142"/>
      <c r="S10" s="142"/>
      <c r="T10" s="142"/>
      <c r="U10" s="142"/>
      <c r="V10" s="142"/>
      <c r="W10" s="142"/>
      <c r="X10" s="142"/>
      <c r="Y10" s="142"/>
      <c r="Z10" s="142"/>
      <c r="AA10" s="142"/>
      <c r="AB10" s="142"/>
      <c r="AC10" s="142"/>
      <c r="AD10" s="142"/>
      <c r="AE10" s="142"/>
      <c r="AF10" s="142"/>
      <c r="AG10" s="142"/>
      <c r="AH10" s="142"/>
      <c r="AI10" s="142"/>
      <c r="AJ10" s="142"/>
      <c r="AK10" s="142"/>
      <c r="AL10" s="142"/>
      <c r="AM10" s="142"/>
      <c r="AN10" s="142"/>
      <c r="AO10" s="142"/>
      <c r="AP10" s="142"/>
      <c r="AQ10" s="142"/>
      <c r="AR10" s="142"/>
      <c r="AS10" s="142"/>
      <c r="AT10" s="142"/>
      <c r="AU10" s="142"/>
      <c r="AV10" s="142"/>
      <c r="AW10" s="142"/>
      <c r="AX10" s="142"/>
      <c r="AY10" s="142"/>
      <c r="AZ10" s="142"/>
      <c r="BA10" s="142"/>
      <c r="BB10" s="142"/>
      <c r="BC10" s="142"/>
      <c r="BD10" s="142"/>
      <c r="BE10" s="142"/>
      <c r="BF10" s="142"/>
      <c r="BG10" s="142"/>
      <c r="BH10" s="142"/>
      <c r="BI10" s="142"/>
      <c r="BJ10" s="142"/>
      <c r="BK10" s="142"/>
      <c r="BL10" s="142"/>
      <c r="BM10" s="142"/>
      <c r="BN10" s="142"/>
      <c r="BO10" s="142"/>
      <c r="BP10" s="142"/>
      <c r="BQ10" s="142"/>
      <c r="BR10" s="142"/>
      <c r="BS10" s="142"/>
      <c r="BT10" s="142"/>
      <c r="BU10" s="142"/>
      <c r="BV10" s="142"/>
      <c r="BW10" s="142"/>
      <c r="BX10" s="142"/>
      <c r="BY10" s="142"/>
      <c r="BZ10" s="142"/>
      <c r="CA10" s="142"/>
      <c r="CB10" s="142"/>
      <c r="CC10" s="142"/>
      <c r="CD10" s="142"/>
      <c r="CE10" s="142"/>
      <c r="CF10" s="142"/>
      <c r="CG10" s="142"/>
      <c r="CH10" s="142"/>
      <c r="CI10" s="142"/>
      <c r="CJ10" s="142"/>
      <c r="CK10" s="142"/>
      <c r="CL10" s="142"/>
      <c r="CM10" s="142"/>
      <c r="CN10" s="142"/>
      <c r="CO10" s="142"/>
      <c r="CP10" s="142"/>
      <c r="CQ10" s="142"/>
      <c r="CR10" s="142"/>
      <c r="CS10" s="142"/>
      <c r="CT10" s="142"/>
      <c r="CU10" s="142"/>
      <c r="CV10" s="142"/>
      <c r="CW10" s="142"/>
      <c r="CX10" s="142"/>
      <c r="CY10" s="142"/>
      <c r="CZ10" s="142"/>
      <c r="DA10" s="142"/>
      <c r="DB10" s="142"/>
      <c r="DC10" s="142"/>
      <c r="DD10" s="142"/>
      <c r="DE10" s="142"/>
      <c r="DF10" s="142"/>
      <c r="DG10" s="142"/>
      <c r="DH10" s="142"/>
      <c r="DI10" s="142"/>
      <c r="DJ10" s="142"/>
      <c r="DK10" s="142"/>
      <c r="DL10" s="142"/>
      <c r="DM10" s="142"/>
      <c r="DN10" s="142"/>
      <c r="DO10" s="142"/>
      <c r="DP10" s="142"/>
      <c r="DQ10" s="142"/>
      <c r="DR10" s="142"/>
      <c r="DS10" s="142"/>
      <c r="DT10" s="142"/>
      <c r="DU10" s="142"/>
      <c r="DV10" s="142"/>
      <c r="DW10" s="142"/>
      <c r="DX10" s="142"/>
      <c r="DY10" s="142"/>
      <c r="DZ10" s="142"/>
      <c r="EA10" s="142"/>
      <c r="EB10" s="142"/>
      <c r="EC10" s="142"/>
      <c r="ED10" s="142"/>
      <c r="EE10" s="142"/>
      <c r="EF10" s="142"/>
      <c r="EG10" s="142"/>
      <c r="EH10" s="142"/>
      <c r="EI10" s="142"/>
      <c r="EJ10" s="142"/>
      <c r="EK10" s="142"/>
      <c r="EL10" s="142"/>
      <c r="EM10" s="142"/>
      <c r="EN10" s="142"/>
      <c r="EO10" s="142"/>
      <c r="EP10" s="142"/>
      <c r="EQ10" s="142"/>
      <c r="ER10" s="142"/>
      <c r="ES10" s="142"/>
      <c r="ET10" s="142"/>
      <c r="EU10" s="142"/>
      <c r="EV10" s="142"/>
      <c r="EW10" s="142"/>
      <c r="EX10" s="142"/>
      <c r="EY10" s="142"/>
      <c r="EZ10" s="142"/>
      <c r="FA10" s="142"/>
      <c r="FB10" s="142"/>
      <c r="FC10" s="142"/>
      <c r="FD10" s="142"/>
      <c r="FE10" s="142"/>
      <c r="FF10" s="142"/>
      <c r="FG10" s="142"/>
      <c r="FH10" s="142"/>
      <c r="FI10" s="142"/>
      <c r="FJ10" s="142"/>
      <c r="FK10" s="142"/>
      <c r="FL10" s="142"/>
      <c r="FM10" s="142"/>
      <c r="FN10" s="142"/>
      <c r="FO10" s="142"/>
      <c r="FP10" s="142"/>
      <c r="FQ10" s="142"/>
      <c r="FR10" s="142"/>
      <c r="FS10" s="142"/>
      <c r="FT10" s="142"/>
      <c r="FU10" s="142"/>
      <c r="FV10" s="142"/>
      <c r="FW10" s="142"/>
      <c r="FX10" s="142"/>
      <c r="FY10" s="142"/>
      <c r="FZ10" s="142"/>
      <c r="GA10" s="142"/>
      <c r="GB10" s="142"/>
      <c r="GC10" s="142"/>
      <c r="GD10" s="142"/>
      <c r="GE10" s="142"/>
      <c r="GF10" s="142"/>
      <c r="GG10" s="142"/>
      <c r="GH10" s="142"/>
      <c r="GI10" s="142"/>
      <c r="GJ10" s="142"/>
      <c r="GK10" s="142"/>
      <c r="GL10" s="142"/>
      <c r="GM10" s="142"/>
      <c r="GN10" s="142"/>
      <c r="GO10" s="142"/>
      <c r="GP10" s="142"/>
      <c r="GQ10" s="142"/>
      <c r="GR10" s="142"/>
      <c r="GS10" s="142"/>
      <c r="GT10" s="142"/>
      <c r="GU10" s="142"/>
      <c r="GV10" s="142"/>
      <c r="GW10" s="142"/>
      <c r="GX10" s="142"/>
      <c r="GY10" s="142"/>
      <c r="GZ10" s="142"/>
      <c r="HA10" s="142"/>
      <c r="HB10" s="142"/>
      <c r="HC10" s="142"/>
      <c r="HD10" s="142"/>
      <c r="HE10" s="142"/>
      <c r="HF10" s="142"/>
      <c r="HG10" s="142"/>
      <c r="HH10" s="142"/>
      <c r="HI10" s="142"/>
      <c r="HJ10" s="142"/>
      <c r="HK10" s="142"/>
      <c r="HL10" s="142"/>
      <c r="HM10" s="142"/>
      <c r="HN10" s="142"/>
      <c r="HO10" s="142"/>
      <c r="HP10" s="142"/>
      <c r="HQ10" s="142"/>
      <c r="HR10" s="142"/>
      <c r="HS10" s="142"/>
      <c r="HT10" s="142"/>
      <c r="HU10" s="142"/>
      <c r="HV10" s="142"/>
      <c r="HW10" s="142"/>
      <c r="HX10" s="142"/>
      <c r="HY10" s="142"/>
      <c r="HZ10" s="142"/>
      <c r="IA10" s="142"/>
      <c r="IB10" s="142"/>
      <c r="IC10" s="142"/>
      <c r="ID10" s="142"/>
      <c r="IE10" s="142"/>
      <c r="IF10" s="142"/>
      <c r="IG10" s="142"/>
      <c r="IH10" s="142"/>
      <c r="II10" s="142"/>
      <c r="IJ10" s="142"/>
      <c r="IK10" s="142"/>
      <c r="IL10" s="142"/>
      <c r="IM10" s="142"/>
      <c r="IN10" s="142"/>
      <c r="IO10" s="142"/>
      <c r="IP10" s="142"/>
      <c r="IQ10" s="142"/>
      <c r="IR10" s="142"/>
      <c r="IS10" s="142"/>
      <c r="IT10" s="142"/>
      <c r="IU10" s="142"/>
      <c r="IV10" s="142"/>
    </row>
    <row r="11" spans="1:256" s="191" customFormat="1" x14ac:dyDescent="0.25">
      <c r="A11" s="148" t="s">
        <v>1967</v>
      </c>
      <c r="B11" s="150">
        <v>926.03800000000001</v>
      </c>
      <c r="C11" s="146">
        <v>575.28899999999999</v>
      </c>
      <c r="D11" s="146">
        <f t="shared" si="0"/>
        <v>1.0066845270697098</v>
      </c>
      <c r="E11" s="146">
        <f t="shared" si="1"/>
        <v>1.003075744338398</v>
      </c>
      <c r="F11" s="146">
        <v>727.91</v>
      </c>
      <c r="G11" s="146">
        <f t="shared" si="2"/>
        <v>1.0033834137819837</v>
      </c>
      <c r="H11" s="149">
        <v>790.33100000000002</v>
      </c>
      <c r="I11" s="142"/>
      <c r="J11" s="142"/>
      <c r="K11" s="142"/>
      <c r="L11" s="142"/>
      <c r="M11" s="142"/>
      <c r="N11" s="142"/>
      <c r="O11" s="142"/>
      <c r="P11" s="142"/>
      <c r="Q11" s="142"/>
      <c r="R11" s="142"/>
      <c r="S11" s="142"/>
      <c r="T11" s="142"/>
      <c r="U11" s="142"/>
      <c r="V11" s="142"/>
      <c r="W11" s="142"/>
      <c r="X11" s="142"/>
      <c r="Y11" s="142"/>
      <c r="Z11" s="142"/>
      <c r="AA11" s="142"/>
      <c r="AB11" s="142"/>
      <c r="AC11" s="142"/>
      <c r="AD11" s="142"/>
      <c r="AE11" s="142"/>
      <c r="AF11" s="142"/>
      <c r="AG11" s="142"/>
      <c r="AH11" s="142"/>
      <c r="AI11" s="142"/>
      <c r="AJ11" s="142"/>
      <c r="AK11" s="142"/>
      <c r="AL11" s="142"/>
      <c r="AM11" s="142"/>
      <c r="AN11" s="142"/>
      <c r="AO11" s="142"/>
      <c r="AP11" s="142"/>
      <c r="AQ11" s="142"/>
      <c r="AR11" s="142"/>
      <c r="AS11" s="142"/>
      <c r="AT11" s="142"/>
      <c r="AU11" s="142"/>
      <c r="AV11" s="142"/>
      <c r="AW11" s="142"/>
      <c r="AX11" s="142"/>
      <c r="AY11" s="142"/>
      <c r="AZ11" s="142"/>
      <c r="BA11" s="142"/>
      <c r="BB11" s="142"/>
      <c r="BC11" s="142"/>
      <c r="BD11" s="142"/>
      <c r="BE11" s="142"/>
      <c r="BF11" s="142"/>
      <c r="BG11" s="142"/>
      <c r="BH11" s="142"/>
      <c r="BI11" s="142"/>
      <c r="BJ11" s="142"/>
      <c r="BK11" s="142"/>
      <c r="BL11" s="142"/>
      <c r="BM11" s="142"/>
      <c r="BN11" s="142"/>
      <c r="BO11" s="142"/>
      <c r="BP11" s="142"/>
      <c r="BQ11" s="142"/>
      <c r="BR11" s="142"/>
      <c r="BS11" s="142"/>
      <c r="BT11" s="142"/>
      <c r="BU11" s="142"/>
      <c r="BV11" s="142"/>
      <c r="BW11" s="142"/>
      <c r="BX11" s="142"/>
      <c r="BY11" s="142"/>
      <c r="BZ11" s="142"/>
      <c r="CA11" s="142"/>
      <c r="CB11" s="142"/>
      <c r="CC11" s="142"/>
      <c r="CD11" s="142"/>
      <c r="CE11" s="142"/>
      <c r="CF11" s="142"/>
      <c r="CG11" s="142"/>
      <c r="CH11" s="142"/>
      <c r="CI11" s="142"/>
      <c r="CJ11" s="142"/>
      <c r="CK11" s="142"/>
      <c r="CL11" s="142"/>
      <c r="CM11" s="142"/>
      <c r="CN11" s="142"/>
      <c r="CO11" s="142"/>
      <c r="CP11" s="142"/>
      <c r="CQ11" s="142"/>
      <c r="CR11" s="142"/>
      <c r="CS11" s="142"/>
      <c r="CT11" s="142"/>
      <c r="CU11" s="142"/>
      <c r="CV11" s="142"/>
      <c r="CW11" s="142"/>
      <c r="CX11" s="142"/>
      <c r="CY11" s="142"/>
      <c r="CZ11" s="142"/>
      <c r="DA11" s="142"/>
      <c r="DB11" s="142"/>
      <c r="DC11" s="142"/>
      <c r="DD11" s="142"/>
      <c r="DE11" s="142"/>
      <c r="DF11" s="142"/>
      <c r="DG11" s="142"/>
      <c r="DH11" s="142"/>
      <c r="DI11" s="142"/>
      <c r="DJ11" s="142"/>
      <c r="DK11" s="142"/>
      <c r="DL11" s="142"/>
      <c r="DM11" s="142"/>
      <c r="DN11" s="142"/>
      <c r="DO11" s="142"/>
      <c r="DP11" s="142"/>
      <c r="DQ11" s="142"/>
      <c r="DR11" s="142"/>
      <c r="DS11" s="142"/>
      <c r="DT11" s="142"/>
      <c r="DU11" s="142"/>
      <c r="DV11" s="142"/>
      <c r="DW11" s="142"/>
      <c r="DX11" s="142"/>
      <c r="DY11" s="142"/>
      <c r="DZ11" s="142"/>
      <c r="EA11" s="142"/>
      <c r="EB11" s="142"/>
      <c r="EC11" s="142"/>
      <c r="ED11" s="142"/>
      <c r="EE11" s="142"/>
      <c r="EF11" s="142"/>
      <c r="EG11" s="142"/>
      <c r="EH11" s="142"/>
      <c r="EI11" s="142"/>
      <c r="EJ11" s="142"/>
      <c r="EK11" s="142"/>
      <c r="EL11" s="142"/>
      <c r="EM11" s="142"/>
      <c r="EN11" s="142"/>
      <c r="EO11" s="142"/>
      <c r="EP11" s="142"/>
      <c r="EQ11" s="142"/>
      <c r="ER11" s="142"/>
      <c r="ES11" s="142"/>
      <c r="ET11" s="142"/>
      <c r="EU11" s="142"/>
      <c r="EV11" s="142"/>
      <c r="EW11" s="142"/>
      <c r="EX11" s="142"/>
      <c r="EY11" s="142"/>
      <c r="EZ11" s="142"/>
      <c r="FA11" s="142"/>
      <c r="FB11" s="142"/>
      <c r="FC11" s="142"/>
      <c r="FD11" s="142"/>
      <c r="FE11" s="142"/>
      <c r="FF11" s="142"/>
      <c r="FG11" s="142"/>
      <c r="FH11" s="142"/>
      <c r="FI11" s="142"/>
      <c r="FJ11" s="142"/>
      <c r="FK11" s="142"/>
      <c r="FL11" s="142"/>
      <c r="FM11" s="142"/>
      <c r="FN11" s="142"/>
      <c r="FO11" s="142"/>
      <c r="FP11" s="142"/>
      <c r="FQ11" s="142"/>
      <c r="FR11" s="142"/>
      <c r="FS11" s="142"/>
      <c r="FT11" s="142"/>
      <c r="FU11" s="142"/>
      <c r="FV11" s="142"/>
      <c r="FW11" s="142"/>
      <c r="FX11" s="142"/>
      <c r="FY11" s="142"/>
      <c r="FZ11" s="142"/>
      <c r="GA11" s="142"/>
      <c r="GB11" s="142"/>
      <c r="GC11" s="142"/>
      <c r="GD11" s="142"/>
      <c r="GE11" s="142"/>
      <c r="GF11" s="142"/>
      <c r="GG11" s="142"/>
      <c r="GH11" s="142"/>
      <c r="GI11" s="142"/>
      <c r="GJ11" s="142"/>
      <c r="GK11" s="142"/>
      <c r="GL11" s="142"/>
      <c r="GM11" s="142"/>
      <c r="GN11" s="142"/>
      <c r="GO11" s="142"/>
      <c r="GP11" s="142"/>
      <c r="GQ11" s="142"/>
      <c r="GR11" s="142"/>
      <c r="GS11" s="142"/>
      <c r="GT11" s="142"/>
      <c r="GU11" s="142"/>
      <c r="GV11" s="142"/>
      <c r="GW11" s="142"/>
      <c r="GX11" s="142"/>
      <c r="GY11" s="142"/>
      <c r="GZ11" s="142"/>
      <c r="HA11" s="142"/>
      <c r="HB11" s="142"/>
      <c r="HC11" s="142"/>
      <c r="HD11" s="142"/>
      <c r="HE11" s="142"/>
      <c r="HF11" s="142"/>
      <c r="HG11" s="142"/>
      <c r="HH11" s="142"/>
      <c r="HI11" s="142"/>
      <c r="HJ11" s="142"/>
      <c r="HK11" s="142"/>
      <c r="HL11" s="142"/>
      <c r="HM11" s="142"/>
      <c r="HN11" s="142"/>
      <c r="HO11" s="142"/>
      <c r="HP11" s="142"/>
      <c r="HQ11" s="142"/>
      <c r="HR11" s="142"/>
      <c r="HS11" s="142"/>
      <c r="HT11" s="142"/>
      <c r="HU11" s="142"/>
      <c r="HV11" s="142"/>
      <c r="HW11" s="142"/>
      <c r="HX11" s="142"/>
      <c r="HY11" s="142"/>
      <c r="HZ11" s="142"/>
      <c r="IA11" s="142"/>
      <c r="IB11" s="142"/>
      <c r="IC11" s="142"/>
      <c r="ID11" s="142"/>
      <c r="IE11" s="142"/>
      <c r="IF11" s="142"/>
      <c r="IG11" s="142"/>
      <c r="IH11" s="142"/>
      <c r="II11" s="142"/>
      <c r="IJ11" s="142"/>
      <c r="IK11" s="142"/>
      <c r="IL11" s="142"/>
      <c r="IM11" s="142"/>
      <c r="IN11" s="142"/>
      <c r="IO11" s="142"/>
      <c r="IP11" s="142"/>
      <c r="IQ11" s="142"/>
      <c r="IR11" s="142"/>
      <c r="IS11" s="142"/>
      <c r="IT11" s="142"/>
      <c r="IU11" s="142"/>
      <c r="IV11" s="142"/>
    </row>
    <row r="12" spans="1:256" s="191" customFormat="1" x14ac:dyDescent="0.25">
      <c r="A12" s="148" t="s">
        <v>1979</v>
      </c>
      <c r="B12" s="150">
        <v>926.03800000000001</v>
      </c>
      <c r="C12" s="146">
        <v>579.78399999999999</v>
      </c>
      <c r="D12" s="146">
        <f t="shared" si="0"/>
        <v>1.0078134641893031</v>
      </c>
      <c r="E12" s="146">
        <f t="shared" si="1"/>
        <v>1.00360758885027</v>
      </c>
      <c r="F12" s="146">
        <v>730.53599999999994</v>
      </c>
      <c r="G12" s="146">
        <f t="shared" si="2"/>
        <v>1.0117140792908288</v>
      </c>
      <c r="H12" s="149">
        <v>799.58900000000006</v>
      </c>
      <c r="I12" s="142"/>
      <c r="J12" s="142"/>
      <c r="K12" s="142"/>
      <c r="L12" s="142"/>
      <c r="M12" s="142"/>
      <c r="N12" s="142"/>
      <c r="O12" s="142"/>
      <c r="P12" s="142"/>
      <c r="Q12" s="142"/>
      <c r="R12" s="142"/>
      <c r="S12" s="142"/>
      <c r="T12" s="142"/>
      <c r="U12" s="142"/>
      <c r="V12" s="142"/>
      <c r="W12" s="142"/>
      <c r="X12" s="142"/>
      <c r="Y12" s="142"/>
      <c r="Z12" s="142"/>
      <c r="AA12" s="142"/>
      <c r="AB12" s="142"/>
      <c r="AC12" s="142"/>
      <c r="AD12" s="142"/>
      <c r="AE12" s="142"/>
      <c r="AF12" s="142"/>
      <c r="AG12" s="142"/>
      <c r="AH12" s="142"/>
      <c r="AI12" s="142"/>
      <c r="AJ12" s="142"/>
      <c r="AK12" s="142"/>
      <c r="AL12" s="142"/>
      <c r="AM12" s="142"/>
      <c r="AN12" s="142"/>
      <c r="AO12" s="142"/>
      <c r="AP12" s="142"/>
      <c r="AQ12" s="142"/>
      <c r="AR12" s="142"/>
      <c r="AS12" s="142"/>
      <c r="AT12" s="142"/>
      <c r="AU12" s="142"/>
      <c r="AV12" s="142"/>
      <c r="AW12" s="142"/>
      <c r="AX12" s="142"/>
      <c r="AY12" s="142"/>
      <c r="AZ12" s="142"/>
      <c r="BA12" s="142"/>
      <c r="BB12" s="142"/>
      <c r="BC12" s="142"/>
      <c r="BD12" s="142"/>
      <c r="BE12" s="142"/>
      <c r="BF12" s="142"/>
      <c r="BG12" s="142"/>
      <c r="BH12" s="142"/>
      <c r="BI12" s="142"/>
      <c r="BJ12" s="142"/>
      <c r="BK12" s="142"/>
      <c r="BL12" s="142"/>
      <c r="BM12" s="142"/>
      <c r="BN12" s="142"/>
      <c r="BO12" s="142"/>
      <c r="BP12" s="142"/>
      <c r="BQ12" s="142"/>
      <c r="BR12" s="142"/>
      <c r="BS12" s="142"/>
      <c r="BT12" s="142"/>
      <c r="BU12" s="142"/>
      <c r="BV12" s="142"/>
      <c r="BW12" s="142"/>
      <c r="BX12" s="142"/>
      <c r="BY12" s="142"/>
      <c r="BZ12" s="142"/>
      <c r="CA12" s="142"/>
      <c r="CB12" s="142"/>
      <c r="CC12" s="142"/>
      <c r="CD12" s="142"/>
      <c r="CE12" s="142"/>
      <c r="CF12" s="142"/>
      <c r="CG12" s="142"/>
      <c r="CH12" s="142"/>
      <c r="CI12" s="142"/>
      <c r="CJ12" s="142"/>
      <c r="CK12" s="142"/>
      <c r="CL12" s="142"/>
      <c r="CM12" s="142"/>
      <c r="CN12" s="142"/>
      <c r="CO12" s="142"/>
      <c r="CP12" s="142"/>
      <c r="CQ12" s="142"/>
      <c r="CR12" s="142"/>
      <c r="CS12" s="142"/>
      <c r="CT12" s="142"/>
      <c r="CU12" s="142"/>
      <c r="CV12" s="142"/>
      <c r="CW12" s="142"/>
      <c r="CX12" s="142"/>
      <c r="CY12" s="142"/>
      <c r="CZ12" s="142"/>
      <c r="DA12" s="142"/>
      <c r="DB12" s="142"/>
      <c r="DC12" s="142"/>
      <c r="DD12" s="142"/>
      <c r="DE12" s="142"/>
      <c r="DF12" s="142"/>
      <c r="DG12" s="142"/>
      <c r="DH12" s="142"/>
      <c r="DI12" s="142"/>
      <c r="DJ12" s="142"/>
      <c r="DK12" s="142"/>
      <c r="DL12" s="142"/>
      <c r="DM12" s="142"/>
      <c r="DN12" s="142"/>
      <c r="DO12" s="142"/>
      <c r="DP12" s="142"/>
      <c r="DQ12" s="142"/>
      <c r="DR12" s="142"/>
      <c r="DS12" s="142"/>
      <c r="DT12" s="142"/>
      <c r="DU12" s="142"/>
      <c r="DV12" s="142"/>
      <c r="DW12" s="142"/>
      <c r="DX12" s="142"/>
      <c r="DY12" s="142"/>
      <c r="DZ12" s="142"/>
      <c r="EA12" s="142"/>
      <c r="EB12" s="142"/>
      <c r="EC12" s="142"/>
      <c r="ED12" s="142"/>
      <c r="EE12" s="142"/>
      <c r="EF12" s="142"/>
      <c r="EG12" s="142"/>
      <c r="EH12" s="142"/>
      <c r="EI12" s="142"/>
      <c r="EJ12" s="142"/>
      <c r="EK12" s="142"/>
      <c r="EL12" s="142"/>
      <c r="EM12" s="142"/>
      <c r="EN12" s="142"/>
      <c r="EO12" s="142"/>
      <c r="EP12" s="142"/>
      <c r="EQ12" s="142"/>
      <c r="ER12" s="142"/>
      <c r="ES12" s="142"/>
      <c r="ET12" s="142"/>
      <c r="EU12" s="142"/>
      <c r="EV12" s="142"/>
      <c r="EW12" s="142"/>
      <c r="EX12" s="142"/>
      <c r="EY12" s="142"/>
      <c r="EZ12" s="142"/>
      <c r="FA12" s="142"/>
      <c r="FB12" s="142"/>
      <c r="FC12" s="142"/>
      <c r="FD12" s="142"/>
      <c r="FE12" s="142"/>
      <c r="FF12" s="142"/>
      <c r="FG12" s="142"/>
      <c r="FH12" s="142"/>
      <c r="FI12" s="142"/>
      <c r="FJ12" s="142"/>
      <c r="FK12" s="142"/>
      <c r="FL12" s="142"/>
      <c r="FM12" s="142"/>
      <c r="FN12" s="142"/>
      <c r="FO12" s="142"/>
      <c r="FP12" s="142"/>
      <c r="FQ12" s="142"/>
      <c r="FR12" s="142"/>
      <c r="FS12" s="142"/>
      <c r="FT12" s="142"/>
      <c r="FU12" s="142"/>
      <c r="FV12" s="142"/>
      <c r="FW12" s="142"/>
      <c r="FX12" s="142"/>
      <c r="FY12" s="142"/>
      <c r="FZ12" s="142"/>
      <c r="GA12" s="142"/>
      <c r="GB12" s="142"/>
      <c r="GC12" s="142"/>
      <c r="GD12" s="142"/>
      <c r="GE12" s="142"/>
      <c r="GF12" s="142"/>
      <c r="GG12" s="142"/>
      <c r="GH12" s="142"/>
      <c r="GI12" s="142"/>
      <c r="GJ12" s="142"/>
      <c r="GK12" s="142"/>
      <c r="GL12" s="142"/>
      <c r="GM12" s="142"/>
      <c r="GN12" s="142"/>
      <c r="GO12" s="142"/>
      <c r="GP12" s="142"/>
      <c r="GQ12" s="142"/>
      <c r="GR12" s="142"/>
      <c r="GS12" s="142"/>
      <c r="GT12" s="142"/>
      <c r="GU12" s="142"/>
      <c r="GV12" s="142"/>
      <c r="GW12" s="142"/>
      <c r="GX12" s="142"/>
      <c r="GY12" s="142"/>
      <c r="GZ12" s="142"/>
      <c r="HA12" s="142"/>
      <c r="HB12" s="142"/>
      <c r="HC12" s="142"/>
      <c r="HD12" s="142"/>
      <c r="HE12" s="142"/>
      <c r="HF12" s="142"/>
      <c r="HG12" s="142"/>
      <c r="HH12" s="142"/>
      <c r="HI12" s="142"/>
      <c r="HJ12" s="142"/>
      <c r="HK12" s="142"/>
      <c r="HL12" s="142"/>
      <c r="HM12" s="142"/>
      <c r="HN12" s="142"/>
      <c r="HO12" s="142"/>
      <c r="HP12" s="142"/>
      <c r="HQ12" s="142"/>
      <c r="HR12" s="142"/>
      <c r="HS12" s="142"/>
      <c r="HT12" s="142"/>
      <c r="HU12" s="142"/>
      <c r="HV12" s="142"/>
      <c r="HW12" s="142"/>
      <c r="HX12" s="142"/>
      <c r="HY12" s="142"/>
      <c r="HZ12" s="142"/>
      <c r="IA12" s="142"/>
      <c r="IB12" s="142"/>
      <c r="IC12" s="142"/>
      <c r="ID12" s="142"/>
      <c r="IE12" s="142"/>
      <c r="IF12" s="142"/>
      <c r="IG12" s="142"/>
      <c r="IH12" s="142"/>
      <c r="II12" s="142"/>
      <c r="IJ12" s="142"/>
      <c r="IK12" s="142"/>
      <c r="IL12" s="142"/>
      <c r="IM12" s="142"/>
      <c r="IN12" s="142"/>
      <c r="IO12" s="142"/>
      <c r="IP12" s="142"/>
      <c r="IQ12" s="142"/>
      <c r="IR12" s="142"/>
      <c r="IS12" s="142"/>
      <c r="IT12" s="142"/>
      <c r="IU12" s="142"/>
      <c r="IV12" s="142"/>
    </row>
    <row r="13" spans="1:256" s="192" customFormat="1" x14ac:dyDescent="0.25">
      <c r="A13" s="148" t="s">
        <v>2149</v>
      </c>
      <c r="B13" s="150">
        <v>926.03800000000001</v>
      </c>
      <c r="C13" s="146">
        <v>588.21100000000001</v>
      </c>
      <c r="D13" s="146">
        <f t="shared" si="0"/>
        <v>1.0145347232762547</v>
      </c>
      <c r="E13" s="146">
        <f t="shared" si="1"/>
        <v>1.0067402564692227</v>
      </c>
      <c r="F13" s="146">
        <v>735.46</v>
      </c>
      <c r="G13" s="146">
        <f t="shared" si="2"/>
        <v>1.0072124553989612</v>
      </c>
      <c r="H13" s="149">
        <v>805.35599999999999</v>
      </c>
      <c r="I13" s="142"/>
      <c r="J13" s="142"/>
      <c r="K13" s="142"/>
      <c r="L13" s="142"/>
      <c r="M13" s="142"/>
      <c r="N13" s="142"/>
      <c r="O13" s="142"/>
      <c r="P13" s="142"/>
      <c r="Q13" s="142"/>
      <c r="R13" s="142"/>
      <c r="S13" s="142"/>
      <c r="T13" s="142"/>
      <c r="U13" s="142"/>
      <c r="V13" s="142"/>
      <c r="W13" s="142"/>
      <c r="X13" s="142"/>
      <c r="Y13" s="142"/>
      <c r="Z13" s="142"/>
      <c r="AA13" s="142"/>
      <c r="AB13" s="142"/>
      <c r="AC13" s="142"/>
      <c r="AD13" s="142"/>
      <c r="AE13" s="142"/>
      <c r="AF13" s="142"/>
      <c r="AG13" s="142"/>
      <c r="AH13" s="142"/>
      <c r="AI13" s="142"/>
      <c r="AJ13" s="142"/>
      <c r="AK13" s="142"/>
      <c r="AL13" s="142"/>
      <c r="AM13" s="142"/>
      <c r="AN13" s="142"/>
      <c r="AO13" s="142"/>
      <c r="AP13" s="142"/>
      <c r="AQ13" s="142"/>
      <c r="AR13" s="142"/>
      <c r="AS13" s="142"/>
      <c r="AT13" s="142"/>
      <c r="AU13" s="142"/>
      <c r="AV13" s="142"/>
      <c r="AW13" s="142"/>
      <c r="AX13" s="142"/>
      <c r="AY13" s="142"/>
      <c r="AZ13" s="142"/>
      <c r="BA13" s="142"/>
      <c r="BB13" s="142"/>
      <c r="BC13" s="142"/>
      <c r="BD13" s="142"/>
      <c r="BE13" s="142"/>
      <c r="BF13" s="142"/>
      <c r="BG13" s="142"/>
      <c r="BH13" s="142"/>
      <c r="BI13" s="142"/>
      <c r="BJ13" s="142"/>
      <c r="BK13" s="142"/>
      <c r="BL13" s="142"/>
      <c r="BM13" s="142"/>
      <c r="BN13" s="142"/>
      <c r="BO13" s="142"/>
      <c r="BP13" s="142"/>
      <c r="BQ13" s="142"/>
      <c r="BR13" s="142"/>
      <c r="BS13" s="142"/>
      <c r="BT13" s="142"/>
      <c r="BU13" s="142"/>
      <c r="BV13" s="142"/>
      <c r="BW13" s="142"/>
      <c r="BX13" s="142"/>
      <c r="BY13" s="142"/>
      <c r="BZ13" s="142"/>
      <c r="CA13" s="142"/>
      <c r="CB13" s="142"/>
      <c r="CC13" s="142"/>
      <c r="CD13" s="142"/>
      <c r="CE13" s="142"/>
      <c r="CF13" s="142"/>
      <c r="CG13" s="142"/>
      <c r="CH13" s="142"/>
      <c r="CI13" s="142"/>
      <c r="CJ13" s="142"/>
      <c r="CK13" s="142"/>
      <c r="CL13" s="142"/>
      <c r="CM13" s="142"/>
      <c r="CN13" s="142"/>
      <c r="CO13" s="142"/>
      <c r="CP13" s="142"/>
      <c r="CQ13" s="142"/>
      <c r="CR13" s="142"/>
      <c r="CS13" s="142"/>
      <c r="CT13" s="142"/>
      <c r="CU13" s="142"/>
      <c r="CV13" s="142"/>
      <c r="CW13" s="142"/>
      <c r="CX13" s="142"/>
      <c r="CY13" s="142"/>
      <c r="CZ13" s="142"/>
      <c r="DA13" s="142"/>
      <c r="DB13" s="142"/>
      <c r="DC13" s="142"/>
      <c r="DD13" s="142"/>
      <c r="DE13" s="142"/>
      <c r="DF13" s="142"/>
      <c r="DG13" s="142"/>
      <c r="DH13" s="142"/>
      <c r="DI13" s="142"/>
      <c r="DJ13" s="142"/>
      <c r="DK13" s="142"/>
      <c r="DL13" s="142"/>
      <c r="DM13" s="142"/>
      <c r="DN13" s="142"/>
      <c r="DO13" s="142"/>
      <c r="DP13" s="142"/>
      <c r="DQ13" s="142"/>
      <c r="DR13" s="142"/>
      <c r="DS13" s="142"/>
      <c r="DT13" s="142"/>
      <c r="DU13" s="142"/>
      <c r="DV13" s="142"/>
      <c r="DW13" s="142"/>
      <c r="DX13" s="142"/>
      <c r="DY13" s="142"/>
      <c r="DZ13" s="142"/>
      <c r="EA13" s="142"/>
      <c r="EB13" s="142"/>
      <c r="EC13" s="142"/>
      <c r="ED13" s="142"/>
      <c r="EE13" s="142"/>
      <c r="EF13" s="142"/>
      <c r="EG13" s="142"/>
      <c r="EH13" s="142"/>
      <c r="EI13" s="142"/>
      <c r="EJ13" s="142"/>
      <c r="EK13" s="142"/>
      <c r="EL13" s="142"/>
      <c r="EM13" s="142"/>
      <c r="EN13" s="142"/>
      <c r="EO13" s="142"/>
      <c r="EP13" s="142"/>
      <c r="EQ13" s="142"/>
      <c r="ER13" s="142"/>
      <c r="ES13" s="142"/>
      <c r="ET13" s="142"/>
      <c r="EU13" s="142"/>
      <c r="EV13" s="142"/>
      <c r="EW13" s="142"/>
      <c r="EX13" s="142"/>
      <c r="EY13" s="142"/>
      <c r="EZ13" s="142"/>
      <c r="FA13" s="142"/>
      <c r="FB13" s="142"/>
      <c r="FC13" s="142"/>
      <c r="FD13" s="142"/>
      <c r="FE13" s="142"/>
      <c r="FF13" s="142"/>
      <c r="FG13" s="142"/>
      <c r="FH13" s="142"/>
      <c r="FI13" s="142"/>
      <c r="FJ13" s="142"/>
      <c r="FK13" s="142"/>
      <c r="FL13" s="142"/>
      <c r="FM13" s="142"/>
      <c r="FN13" s="142"/>
      <c r="FO13" s="142"/>
      <c r="FP13" s="142"/>
      <c r="FQ13" s="142"/>
      <c r="FR13" s="142"/>
      <c r="FS13" s="142"/>
      <c r="FT13" s="142"/>
      <c r="FU13" s="142"/>
      <c r="FV13" s="142"/>
      <c r="FW13" s="142"/>
      <c r="FX13" s="142"/>
      <c r="FY13" s="142"/>
      <c r="FZ13" s="142"/>
      <c r="GA13" s="142"/>
      <c r="GB13" s="142"/>
      <c r="GC13" s="142"/>
      <c r="GD13" s="142"/>
      <c r="GE13" s="142"/>
      <c r="GF13" s="142"/>
      <c r="GG13" s="142"/>
      <c r="GH13" s="142"/>
      <c r="GI13" s="142"/>
      <c r="GJ13" s="142"/>
      <c r="GK13" s="142"/>
      <c r="GL13" s="142"/>
      <c r="GM13" s="142"/>
      <c r="GN13" s="142"/>
      <c r="GO13" s="142"/>
      <c r="GP13" s="142"/>
      <c r="GQ13" s="142"/>
      <c r="GR13" s="142"/>
      <c r="GS13" s="142"/>
      <c r="GT13" s="142"/>
      <c r="GU13" s="142"/>
      <c r="GV13" s="142"/>
      <c r="GW13" s="142"/>
      <c r="GX13" s="142"/>
      <c r="GY13" s="142"/>
      <c r="GZ13" s="142"/>
      <c r="HA13" s="142"/>
      <c r="HB13" s="142"/>
      <c r="HC13" s="142"/>
      <c r="HD13" s="142"/>
      <c r="HE13" s="142"/>
      <c r="HF13" s="142"/>
      <c r="HG13" s="142"/>
      <c r="HH13" s="142"/>
      <c r="HI13" s="142"/>
      <c r="HJ13" s="142"/>
      <c r="HK13" s="142"/>
      <c r="HL13" s="142"/>
      <c r="HM13" s="142"/>
      <c r="HN13" s="142"/>
      <c r="HO13" s="142"/>
      <c r="HP13" s="142"/>
      <c r="HQ13" s="142"/>
      <c r="HR13" s="142"/>
      <c r="HS13" s="142"/>
      <c r="HT13" s="142"/>
      <c r="HU13" s="142"/>
      <c r="HV13" s="142"/>
      <c r="HW13" s="142"/>
      <c r="HX13" s="142"/>
      <c r="HY13" s="142"/>
      <c r="HZ13" s="142"/>
      <c r="IA13" s="142"/>
      <c r="IB13" s="142"/>
      <c r="IC13" s="142"/>
      <c r="ID13" s="142"/>
      <c r="IE13" s="142"/>
      <c r="IF13" s="142"/>
      <c r="IG13" s="142"/>
      <c r="IH13" s="142"/>
      <c r="II13" s="142"/>
      <c r="IJ13" s="142"/>
      <c r="IK13" s="142"/>
      <c r="IL13" s="142"/>
      <c r="IM13" s="142"/>
      <c r="IN13" s="142"/>
      <c r="IO13" s="142"/>
      <c r="IP13" s="142"/>
      <c r="IQ13" s="142"/>
      <c r="IR13" s="142"/>
      <c r="IS13" s="142"/>
      <c r="IT13" s="142"/>
      <c r="IU13" s="142"/>
      <c r="IV13" s="142"/>
    </row>
    <row r="14" spans="1:256" s="194" customFormat="1" ht="15.75" thickBot="1" x14ac:dyDescent="0.3">
      <c r="A14" s="195" t="s">
        <v>2150</v>
      </c>
      <c r="B14" s="196">
        <v>926.03800000000001</v>
      </c>
      <c r="C14" s="197">
        <v>599.20699999999999</v>
      </c>
      <c r="D14" s="197">
        <f t="shared" si="0"/>
        <v>1.0186939720610462</v>
      </c>
      <c r="E14" s="197">
        <f t="shared" si="1"/>
        <v>1.0087346694585702</v>
      </c>
      <c r="F14" s="197">
        <v>741.88400000000001</v>
      </c>
      <c r="G14" s="197">
        <f t="shared" si="2"/>
        <v>1.0116035641380954</v>
      </c>
      <c r="H14" s="198">
        <v>814.70100000000002</v>
      </c>
      <c r="I14" s="142"/>
      <c r="J14" s="142"/>
      <c r="K14" s="142"/>
      <c r="L14" s="142"/>
      <c r="M14" s="142"/>
      <c r="N14" s="142"/>
      <c r="O14" s="142"/>
      <c r="P14" s="142"/>
      <c r="Q14" s="142"/>
      <c r="R14" s="142"/>
      <c r="S14" s="142"/>
      <c r="T14" s="142"/>
      <c r="U14" s="142"/>
      <c r="V14" s="142"/>
      <c r="W14" s="142"/>
      <c r="X14" s="142"/>
      <c r="Y14" s="142"/>
      <c r="Z14" s="142"/>
      <c r="AA14" s="142"/>
      <c r="AB14" s="142"/>
      <c r="AC14" s="142"/>
      <c r="AD14" s="142"/>
      <c r="AE14" s="142"/>
      <c r="AF14" s="142"/>
      <c r="AG14" s="142"/>
      <c r="AH14" s="142"/>
      <c r="AI14" s="142"/>
      <c r="AJ14" s="142"/>
      <c r="AK14" s="142"/>
      <c r="AL14" s="142"/>
      <c r="AM14" s="142"/>
      <c r="AN14" s="142"/>
      <c r="AO14" s="142"/>
      <c r="AP14" s="142"/>
      <c r="AQ14" s="142"/>
      <c r="AR14" s="142"/>
      <c r="AS14" s="142"/>
      <c r="AT14" s="142"/>
      <c r="AU14" s="142"/>
      <c r="AV14" s="142"/>
      <c r="AW14" s="142"/>
      <c r="AX14" s="142"/>
      <c r="AY14" s="142"/>
      <c r="AZ14" s="142"/>
      <c r="BA14" s="142"/>
      <c r="BB14" s="142"/>
      <c r="BC14" s="142"/>
      <c r="BD14" s="142"/>
      <c r="BE14" s="142"/>
      <c r="BF14" s="142"/>
      <c r="BG14" s="142"/>
      <c r="BH14" s="142"/>
      <c r="BI14" s="142"/>
      <c r="BJ14" s="142"/>
      <c r="BK14" s="142"/>
      <c r="BL14" s="142"/>
      <c r="BM14" s="142"/>
      <c r="BN14" s="142"/>
      <c r="BO14" s="142"/>
      <c r="BP14" s="142"/>
      <c r="BQ14" s="142"/>
      <c r="BR14" s="142"/>
      <c r="BS14" s="142"/>
      <c r="BT14" s="142"/>
      <c r="BU14" s="142"/>
      <c r="BV14" s="142"/>
      <c r="BW14" s="142"/>
      <c r="BX14" s="142"/>
      <c r="BY14" s="142"/>
      <c r="BZ14" s="142"/>
      <c r="CA14" s="142"/>
      <c r="CB14" s="142"/>
      <c r="CC14" s="142"/>
      <c r="CD14" s="142"/>
      <c r="CE14" s="142"/>
      <c r="CF14" s="142"/>
      <c r="CG14" s="142"/>
      <c r="CH14" s="142"/>
      <c r="CI14" s="142"/>
      <c r="CJ14" s="142"/>
      <c r="CK14" s="142"/>
      <c r="CL14" s="142"/>
      <c r="CM14" s="142"/>
      <c r="CN14" s="142"/>
      <c r="CO14" s="142"/>
      <c r="CP14" s="142"/>
      <c r="CQ14" s="142"/>
      <c r="CR14" s="142"/>
      <c r="CS14" s="142"/>
      <c r="CT14" s="142"/>
      <c r="CU14" s="142"/>
      <c r="CV14" s="142"/>
      <c r="CW14" s="142"/>
      <c r="CX14" s="142"/>
      <c r="CY14" s="142"/>
      <c r="CZ14" s="142"/>
      <c r="DA14" s="142"/>
      <c r="DB14" s="142"/>
      <c r="DC14" s="142"/>
      <c r="DD14" s="142"/>
      <c r="DE14" s="142"/>
      <c r="DF14" s="142"/>
      <c r="DG14" s="142"/>
      <c r="DH14" s="142"/>
      <c r="DI14" s="142"/>
      <c r="DJ14" s="142"/>
      <c r="DK14" s="142"/>
      <c r="DL14" s="142"/>
      <c r="DM14" s="142"/>
      <c r="DN14" s="142"/>
      <c r="DO14" s="142"/>
      <c r="DP14" s="142"/>
      <c r="DQ14" s="142"/>
      <c r="DR14" s="142"/>
      <c r="DS14" s="142"/>
      <c r="DT14" s="142"/>
      <c r="DU14" s="142"/>
      <c r="DV14" s="142"/>
      <c r="DW14" s="142"/>
      <c r="DX14" s="142"/>
      <c r="DY14" s="142"/>
      <c r="DZ14" s="142"/>
      <c r="EA14" s="142"/>
      <c r="EB14" s="142"/>
      <c r="EC14" s="142"/>
      <c r="ED14" s="142"/>
      <c r="EE14" s="142"/>
      <c r="EF14" s="142"/>
      <c r="EG14" s="142"/>
      <c r="EH14" s="142"/>
      <c r="EI14" s="142"/>
      <c r="EJ14" s="142"/>
      <c r="EK14" s="142"/>
      <c r="EL14" s="142"/>
      <c r="EM14" s="142"/>
      <c r="EN14" s="142"/>
      <c r="EO14" s="142"/>
      <c r="EP14" s="142"/>
      <c r="EQ14" s="142"/>
      <c r="ER14" s="142"/>
      <c r="ES14" s="142"/>
      <c r="ET14" s="142"/>
      <c r="EU14" s="142"/>
      <c r="EV14" s="142"/>
      <c r="EW14" s="142"/>
      <c r="EX14" s="142"/>
      <c r="EY14" s="142"/>
      <c r="EZ14" s="142"/>
      <c r="FA14" s="142"/>
      <c r="FB14" s="142"/>
      <c r="FC14" s="142"/>
      <c r="FD14" s="142"/>
      <c r="FE14" s="142"/>
      <c r="FF14" s="142"/>
      <c r="FG14" s="142"/>
      <c r="FH14" s="142"/>
      <c r="FI14" s="142"/>
      <c r="FJ14" s="142"/>
      <c r="FK14" s="142"/>
      <c r="FL14" s="142"/>
      <c r="FM14" s="142"/>
      <c r="FN14" s="142"/>
      <c r="FO14" s="142"/>
      <c r="FP14" s="142"/>
      <c r="FQ14" s="142"/>
      <c r="FR14" s="142"/>
      <c r="FS14" s="142"/>
      <c r="FT14" s="142"/>
      <c r="FU14" s="142"/>
      <c r="FV14" s="142"/>
      <c r="FW14" s="142"/>
      <c r="FX14" s="142"/>
      <c r="FY14" s="142"/>
      <c r="FZ14" s="142"/>
      <c r="GA14" s="142"/>
      <c r="GB14" s="142"/>
      <c r="GC14" s="142"/>
      <c r="GD14" s="142"/>
      <c r="GE14" s="142"/>
      <c r="GF14" s="142"/>
      <c r="GG14" s="142"/>
      <c r="GH14" s="142"/>
      <c r="GI14" s="142"/>
      <c r="GJ14" s="142"/>
      <c r="GK14" s="142"/>
      <c r="GL14" s="142"/>
      <c r="GM14" s="142"/>
      <c r="GN14" s="142"/>
      <c r="GO14" s="142"/>
      <c r="GP14" s="142"/>
      <c r="GQ14" s="142"/>
      <c r="GR14" s="142"/>
      <c r="GS14" s="142"/>
      <c r="GT14" s="142"/>
      <c r="GU14" s="142"/>
      <c r="GV14" s="142"/>
      <c r="GW14" s="142"/>
      <c r="GX14" s="142"/>
      <c r="GY14" s="142"/>
      <c r="GZ14" s="142"/>
      <c r="HA14" s="142"/>
      <c r="HB14" s="142"/>
      <c r="HC14" s="142"/>
      <c r="HD14" s="142"/>
      <c r="HE14" s="142"/>
      <c r="HF14" s="142"/>
      <c r="HG14" s="142"/>
      <c r="HH14" s="142"/>
      <c r="HI14" s="142"/>
      <c r="HJ14" s="142"/>
      <c r="HK14" s="142"/>
      <c r="HL14" s="142"/>
      <c r="HM14" s="142"/>
      <c r="HN14" s="142"/>
      <c r="HO14" s="142"/>
      <c r="HP14" s="142"/>
      <c r="HQ14" s="142"/>
      <c r="HR14" s="142"/>
      <c r="HS14" s="142"/>
      <c r="HT14" s="142"/>
      <c r="HU14" s="142"/>
      <c r="HV14" s="142"/>
      <c r="HW14" s="142"/>
      <c r="HX14" s="142"/>
      <c r="HY14" s="142"/>
      <c r="HZ14" s="142"/>
      <c r="IA14" s="142"/>
      <c r="IB14" s="142"/>
      <c r="IC14" s="142"/>
      <c r="ID14" s="142"/>
      <c r="IE14" s="142"/>
      <c r="IF14" s="142"/>
      <c r="IG14" s="142"/>
      <c r="IH14" s="142"/>
      <c r="II14" s="142"/>
      <c r="IJ14" s="142"/>
      <c r="IK14" s="142"/>
      <c r="IL14" s="142"/>
      <c r="IM14" s="142"/>
      <c r="IN14" s="142"/>
      <c r="IO14" s="142"/>
      <c r="IP14" s="142"/>
      <c r="IQ14" s="142"/>
      <c r="IR14" s="142"/>
      <c r="IS14" s="142"/>
      <c r="IT14" s="142"/>
      <c r="IU14" s="142"/>
      <c r="IV14" s="142"/>
    </row>
    <row r="15" spans="1:256" ht="15.75" thickBot="1" x14ac:dyDescent="0.3">
      <c r="A15" s="151"/>
      <c r="B15" s="151"/>
      <c r="C15" s="151"/>
      <c r="D15" s="151"/>
      <c r="E15" s="151"/>
      <c r="F15" s="151"/>
      <c r="G15" s="151"/>
    </row>
    <row r="16" spans="1:256" ht="15.75" thickBot="1" x14ac:dyDescent="0.3">
      <c r="A16" s="649" t="s">
        <v>1968</v>
      </c>
      <c r="B16" s="650"/>
      <c r="C16" s="649" t="s">
        <v>11</v>
      </c>
      <c r="D16" s="650"/>
      <c r="E16" s="649" t="s">
        <v>1120</v>
      </c>
      <c r="F16" s="650"/>
      <c r="G16" s="649" t="s">
        <v>1969</v>
      </c>
      <c r="H16" s="650"/>
    </row>
    <row r="17" spans="1:10" ht="28.5" x14ac:dyDescent="0.25">
      <c r="A17" s="152" t="s">
        <v>1970</v>
      </c>
      <c r="B17" s="153" t="s">
        <v>1971</v>
      </c>
      <c r="C17" s="152" t="s">
        <v>1970</v>
      </c>
      <c r="D17" s="153" t="s">
        <v>1971</v>
      </c>
      <c r="E17" s="152" t="s">
        <v>1970</v>
      </c>
      <c r="F17" s="153" t="s">
        <v>1971</v>
      </c>
      <c r="G17" s="152" t="s">
        <v>1970</v>
      </c>
      <c r="H17" s="153" t="s">
        <v>1971</v>
      </c>
    </row>
    <row r="18" spans="1:10" x14ac:dyDescent="0.25">
      <c r="A18" s="154"/>
      <c r="B18" s="155"/>
      <c r="C18" s="154">
        <f>PRODUCT(D11)</f>
        <v>1.0066845270697098</v>
      </c>
      <c r="D18" s="155"/>
      <c r="E18" s="156">
        <f>PRODUCT(E11)</f>
        <v>1.003075744338398</v>
      </c>
      <c r="F18" s="155"/>
      <c r="G18" s="156">
        <f>PRODUCT(G11)</f>
        <v>1.0033834137819837</v>
      </c>
      <c r="H18" s="155"/>
    </row>
    <row r="19" spans="1:10" x14ac:dyDescent="0.25">
      <c r="A19" s="154"/>
      <c r="B19" s="155"/>
      <c r="C19" s="154"/>
      <c r="D19" s="155"/>
      <c r="E19" s="154"/>
      <c r="F19" s="155"/>
      <c r="G19" s="154"/>
      <c r="H19" s="155"/>
    </row>
    <row r="20" spans="1:10" ht="28.5" x14ac:dyDescent="0.25">
      <c r="A20" s="157" t="s">
        <v>1972</v>
      </c>
      <c r="B20" s="153" t="s">
        <v>1973</v>
      </c>
      <c r="C20" s="157" t="s">
        <v>1972</v>
      </c>
      <c r="D20" s="153" t="s">
        <v>1973</v>
      </c>
      <c r="E20" s="157" t="s">
        <v>1972</v>
      </c>
      <c r="F20" s="153" t="s">
        <v>1973</v>
      </c>
      <c r="G20" s="157" t="s">
        <v>1972</v>
      </c>
      <c r="H20" s="153" t="s">
        <v>1973</v>
      </c>
      <c r="I20" s="158"/>
    </row>
    <row r="21" spans="1:10" x14ac:dyDescent="0.25">
      <c r="A21" s="159">
        <f>B11/B10</f>
        <v>1</v>
      </c>
      <c r="B21" s="193" t="s">
        <v>2152</v>
      </c>
      <c r="C21" s="159">
        <f>C11/C10</f>
        <v>1.0066845270697098</v>
      </c>
      <c r="D21" s="193" t="s">
        <v>2152</v>
      </c>
      <c r="E21" s="159">
        <f>F11/F10</f>
        <v>1.003075744338398</v>
      </c>
      <c r="F21" s="193" t="s">
        <v>2152</v>
      </c>
      <c r="G21" s="159">
        <f>H11/H10</f>
        <v>1.0033834137819837</v>
      </c>
      <c r="H21" s="193" t="s">
        <v>2152</v>
      </c>
      <c r="J21" s="158"/>
    </row>
    <row r="22" spans="1:10" ht="15.75" thickBot="1" x14ac:dyDescent="0.3">
      <c r="A22" s="653" t="s">
        <v>1974</v>
      </c>
      <c r="B22" s="654"/>
      <c r="C22" s="653" t="s">
        <v>1975</v>
      </c>
      <c r="D22" s="654"/>
      <c r="E22" s="653" t="s">
        <v>1976</v>
      </c>
      <c r="F22" s="654"/>
      <c r="G22" s="653" t="s">
        <v>1977</v>
      </c>
      <c r="H22" s="654"/>
      <c r="J22" s="158"/>
    </row>
    <row r="23" spans="1:10" ht="15.75" thickBot="1" x14ac:dyDescent="0.3">
      <c r="A23" s="151"/>
      <c r="B23" s="151"/>
      <c r="C23" s="151"/>
      <c r="D23" s="151"/>
      <c r="E23" s="151"/>
      <c r="F23" s="151"/>
      <c r="G23" s="151"/>
    </row>
    <row r="24" spans="1:10" ht="15.75" thickBot="1" x14ac:dyDescent="0.3">
      <c r="A24" s="649" t="s">
        <v>1968</v>
      </c>
      <c r="B24" s="650"/>
      <c r="C24" s="649" t="s">
        <v>11</v>
      </c>
      <c r="D24" s="650"/>
      <c r="E24" s="649" t="s">
        <v>1120</v>
      </c>
      <c r="F24" s="650"/>
      <c r="G24" s="649" t="s">
        <v>1969</v>
      </c>
      <c r="H24" s="650"/>
    </row>
    <row r="25" spans="1:10" ht="28.5" x14ac:dyDescent="0.25">
      <c r="A25" s="152" t="s">
        <v>1970</v>
      </c>
      <c r="B25" s="153" t="s">
        <v>1971</v>
      </c>
      <c r="C25" s="152" t="s">
        <v>1970</v>
      </c>
      <c r="D25" s="153" t="s">
        <v>1971</v>
      </c>
      <c r="E25" s="152" t="s">
        <v>1970</v>
      </c>
      <c r="F25" s="153" t="s">
        <v>1971</v>
      </c>
      <c r="G25" s="152" t="s">
        <v>1970</v>
      </c>
      <c r="H25" s="153" t="s">
        <v>1971</v>
      </c>
    </row>
    <row r="26" spans="1:10" x14ac:dyDescent="0.25">
      <c r="A26" s="154"/>
      <c r="B26" s="155"/>
      <c r="C26" s="154">
        <f>PRODUCT(D11:D12)</f>
        <v>1.0145502205718944</v>
      </c>
      <c r="D26" s="155"/>
      <c r="E26" s="156">
        <f>PRODUCT(E11:E12)</f>
        <v>1.0066944292096496</v>
      </c>
      <c r="F26" s="155"/>
      <c r="G26" s="156">
        <f>PRODUCT(G11:G12)</f>
        <v>1.0151371266501283</v>
      </c>
      <c r="H26" s="155"/>
    </row>
    <row r="27" spans="1:10" x14ac:dyDescent="0.25">
      <c r="A27" s="154"/>
      <c r="B27" s="155"/>
      <c r="C27" s="154"/>
      <c r="D27" s="155"/>
      <c r="E27" s="154"/>
      <c r="F27" s="155"/>
      <c r="G27" s="154"/>
      <c r="H27" s="155"/>
    </row>
    <row r="28" spans="1:10" ht="28.5" x14ac:dyDescent="0.25">
      <c r="A28" s="157" t="s">
        <v>1972</v>
      </c>
      <c r="B28" s="153" t="s">
        <v>1973</v>
      </c>
      <c r="C28" s="157" t="s">
        <v>1972</v>
      </c>
      <c r="D28" s="153" t="s">
        <v>1973</v>
      </c>
      <c r="E28" s="157" t="s">
        <v>1972</v>
      </c>
      <c r="F28" s="153" t="s">
        <v>1973</v>
      </c>
      <c r="G28" s="157" t="s">
        <v>1972</v>
      </c>
      <c r="H28" s="153" t="s">
        <v>1973</v>
      </c>
      <c r="I28" s="158"/>
    </row>
    <row r="29" spans="1:10" x14ac:dyDescent="0.25">
      <c r="A29" s="159">
        <f>B12/B10</f>
        <v>1</v>
      </c>
      <c r="B29" s="193" t="s">
        <v>2153</v>
      </c>
      <c r="C29" s="159">
        <f>C12/C10</f>
        <v>1.0145502205718944</v>
      </c>
      <c r="D29" s="193" t="s">
        <v>2153</v>
      </c>
      <c r="E29" s="159">
        <f>F12/F10</f>
        <v>1.0066944292096494</v>
      </c>
      <c r="F29" s="193" t="s">
        <v>2153</v>
      </c>
      <c r="G29" s="159">
        <f>H12/H10</f>
        <v>1.0151371266501283</v>
      </c>
      <c r="H29" s="193" t="s">
        <v>2153</v>
      </c>
      <c r="J29" s="158"/>
    </row>
    <row r="30" spans="1:10" ht="15.75" thickBot="1" x14ac:dyDescent="0.3">
      <c r="A30" s="653" t="s">
        <v>1974</v>
      </c>
      <c r="B30" s="654"/>
      <c r="C30" s="653" t="s">
        <v>1975</v>
      </c>
      <c r="D30" s="654"/>
      <c r="E30" s="653" t="s">
        <v>1976</v>
      </c>
      <c r="F30" s="654"/>
      <c r="G30" s="653" t="s">
        <v>1977</v>
      </c>
      <c r="H30" s="654"/>
      <c r="J30" s="158"/>
    </row>
    <row r="31" spans="1:10" ht="15.75" thickBot="1" x14ac:dyDescent="0.3">
      <c r="A31" s="151"/>
      <c r="B31" s="151"/>
      <c r="C31" s="151"/>
      <c r="D31" s="151"/>
      <c r="E31" s="151"/>
      <c r="F31" s="151"/>
      <c r="G31" s="151"/>
    </row>
    <row r="32" spans="1:10" ht="15.75" thickBot="1" x14ac:dyDescent="0.3">
      <c r="A32" s="649" t="s">
        <v>1968</v>
      </c>
      <c r="B32" s="650"/>
      <c r="C32" s="649" t="s">
        <v>11</v>
      </c>
      <c r="D32" s="650"/>
      <c r="E32" s="649" t="s">
        <v>1120</v>
      </c>
      <c r="F32" s="650"/>
      <c r="G32" s="649" t="s">
        <v>1969</v>
      </c>
      <c r="H32" s="650"/>
    </row>
    <row r="33" spans="1:10" ht="28.5" x14ac:dyDescent="0.25">
      <c r="A33" s="152" t="s">
        <v>1970</v>
      </c>
      <c r="B33" s="153" t="s">
        <v>1971</v>
      </c>
      <c r="C33" s="152" t="s">
        <v>1970</v>
      </c>
      <c r="D33" s="153" t="s">
        <v>1971</v>
      </c>
      <c r="E33" s="152" t="s">
        <v>1970</v>
      </c>
      <c r="F33" s="153" t="s">
        <v>1971</v>
      </c>
      <c r="G33" s="152" t="s">
        <v>1970</v>
      </c>
      <c r="H33" s="153" t="s">
        <v>1971</v>
      </c>
    </row>
    <row r="34" spans="1:10" x14ac:dyDescent="0.25">
      <c r="A34" s="154"/>
      <c r="B34" s="155"/>
      <c r="C34" s="154">
        <f>PRODUCT(D11:D13)</f>
        <v>1.02929642727777</v>
      </c>
      <c r="D34" s="155"/>
      <c r="E34" s="156">
        <f>PRODUCT(E11:E13)</f>
        <v>1.0134798078486604</v>
      </c>
      <c r="F34" s="155"/>
      <c r="G34" s="156">
        <f>PRODUCT(G11:G13)</f>
        <v>1.022458757899922</v>
      </c>
      <c r="H34" s="155"/>
    </row>
    <row r="35" spans="1:10" x14ac:dyDescent="0.25">
      <c r="A35" s="154"/>
      <c r="B35" s="155"/>
      <c r="C35" s="154"/>
      <c r="D35" s="155"/>
      <c r="E35" s="154"/>
      <c r="F35" s="155"/>
      <c r="G35" s="154"/>
      <c r="H35" s="155"/>
    </row>
    <row r="36" spans="1:10" ht="28.5" x14ac:dyDescent="0.25">
      <c r="A36" s="157" t="s">
        <v>1972</v>
      </c>
      <c r="B36" s="153" t="s">
        <v>1973</v>
      </c>
      <c r="C36" s="157" t="s">
        <v>1972</v>
      </c>
      <c r="D36" s="153" t="s">
        <v>1973</v>
      </c>
      <c r="E36" s="157" t="s">
        <v>1972</v>
      </c>
      <c r="F36" s="153" t="s">
        <v>1973</v>
      </c>
      <c r="G36" s="157" t="s">
        <v>1972</v>
      </c>
      <c r="H36" s="153" t="s">
        <v>1973</v>
      </c>
      <c r="I36" s="158"/>
    </row>
    <row r="37" spans="1:10" x14ac:dyDescent="0.25">
      <c r="A37" s="159">
        <f>B13/B10</f>
        <v>1</v>
      </c>
      <c r="B37" s="193" t="s">
        <v>2154</v>
      </c>
      <c r="C37" s="159">
        <f>C13/C10</f>
        <v>1.02929642727777</v>
      </c>
      <c r="D37" s="193" t="s">
        <v>2154</v>
      </c>
      <c r="E37" s="159">
        <f>F13/F10</f>
        <v>1.0134798078486602</v>
      </c>
      <c r="F37" s="193" t="s">
        <v>2154</v>
      </c>
      <c r="G37" s="159">
        <f>H13/H10</f>
        <v>1.022458757899922</v>
      </c>
      <c r="H37" s="193" t="s">
        <v>2154</v>
      </c>
      <c r="J37" s="158"/>
    </row>
    <row r="38" spans="1:10" ht="15.75" thickBot="1" x14ac:dyDescent="0.3">
      <c r="A38" s="653" t="s">
        <v>1974</v>
      </c>
      <c r="B38" s="654"/>
      <c r="C38" s="653" t="s">
        <v>1975</v>
      </c>
      <c r="D38" s="654"/>
      <c r="E38" s="653" t="s">
        <v>1976</v>
      </c>
      <c r="F38" s="654"/>
      <c r="G38" s="653" t="s">
        <v>1977</v>
      </c>
      <c r="H38" s="654"/>
      <c r="J38" s="158"/>
    </row>
    <row r="39" spans="1:10" ht="15.75" thickBot="1" x14ac:dyDescent="0.3">
      <c r="A39" s="151"/>
      <c r="B39" s="151"/>
      <c r="C39" s="151"/>
      <c r="D39" s="151"/>
      <c r="E39" s="151"/>
      <c r="F39" s="151"/>
      <c r="G39" s="151"/>
    </row>
    <row r="40" spans="1:10" ht="15.75" thickBot="1" x14ac:dyDescent="0.3">
      <c r="A40" s="649" t="s">
        <v>1968</v>
      </c>
      <c r="B40" s="650"/>
      <c r="C40" s="649" t="s">
        <v>11</v>
      </c>
      <c r="D40" s="650"/>
      <c r="E40" s="649" t="s">
        <v>1120</v>
      </c>
      <c r="F40" s="650"/>
      <c r="G40" s="649" t="s">
        <v>1969</v>
      </c>
      <c r="H40" s="650"/>
    </row>
    <row r="41" spans="1:10" ht="28.5" x14ac:dyDescent="0.25">
      <c r="A41" s="152" t="s">
        <v>1970</v>
      </c>
      <c r="B41" s="153" t="s">
        <v>1971</v>
      </c>
      <c r="C41" s="152" t="s">
        <v>1970</v>
      </c>
      <c r="D41" s="153" t="s">
        <v>1971</v>
      </c>
      <c r="E41" s="152" t="s">
        <v>1970</v>
      </c>
      <c r="F41" s="153" t="s">
        <v>1971</v>
      </c>
      <c r="G41" s="152" t="s">
        <v>1970</v>
      </c>
      <c r="H41" s="153" t="s">
        <v>1971</v>
      </c>
    </row>
    <row r="42" spans="1:10" x14ac:dyDescent="0.25">
      <c r="A42" s="154"/>
      <c r="B42" s="155"/>
      <c r="C42" s="154">
        <f>PRODUCT(D11:D14)</f>
        <v>1.0485380659318353</v>
      </c>
      <c r="D42" s="155"/>
      <c r="E42" s="156">
        <f>PRODUCT(E11:E14)</f>
        <v>1.0223322189731536</v>
      </c>
      <c r="F42" s="155"/>
      <c r="G42" s="156">
        <f>PRODUCT(G11:G14)</f>
        <v>1.0343229236757712</v>
      </c>
      <c r="H42" s="155"/>
    </row>
    <row r="43" spans="1:10" x14ac:dyDescent="0.25">
      <c r="A43" s="154"/>
      <c r="B43" s="155"/>
      <c r="C43" s="154"/>
      <c r="D43" s="155"/>
      <c r="E43" s="154"/>
      <c r="F43" s="155"/>
      <c r="G43" s="154"/>
      <c r="H43" s="155"/>
    </row>
    <row r="44" spans="1:10" ht="28.5" x14ac:dyDescent="0.25">
      <c r="A44" s="157" t="s">
        <v>1972</v>
      </c>
      <c r="B44" s="153" t="s">
        <v>1973</v>
      </c>
      <c r="C44" s="157" t="s">
        <v>1972</v>
      </c>
      <c r="D44" s="153" t="s">
        <v>1973</v>
      </c>
      <c r="E44" s="157" t="s">
        <v>1972</v>
      </c>
      <c r="F44" s="153" t="s">
        <v>1973</v>
      </c>
      <c r="G44" s="157" t="s">
        <v>1972</v>
      </c>
      <c r="H44" s="153" t="s">
        <v>1973</v>
      </c>
      <c r="I44" s="158"/>
    </row>
    <row r="45" spans="1:10" x14ac:dyDescent="0.25">
      <c r="A45" s="159">
        <f>B14/B10</f>
        <v>1</v>
      </c>
      <c r="B45" s="193" t="s">
        <v>2151</v>
      </c>
      <c r="C45" s="159">
        <f>C14/C10</f>
        <v>1.0485380659318353</v>
      </c>
      <c r="D45" s="193" t="s">
        <v>2151</v>
      </c>
      <c r="E45" s="159">
        <f>F14/F10</f>
        <v>1.0223322189731534</v>
      </c>
      <c r="F45" s="193" t="s">
        <v>2151</v>
      </c>
      <c r="G45" s="159">
        <f>H14/H10</f>
        <v>1.0343229236757712</v>
      </c>
      <c r="H45" s="193" t="s">
        <v>2151</v>
      </c>
      <c r="J45" s="158"/>
    </row>
    <row r="46" spans="1:10" ht="15.75" thickBot="1" x14ac:dyDescent="0.3">
      <c r="A46" s="653" t="s">
        <v>1974</v>
      </c>
      <c r="B46" s="654"/>
      <c r="C46" s="653" t="s">
        <v>1975</v>
      </c>
      <c r="D46" s="654"/>
      <c r="E46" s="653" t="s">
        <v>1976</v>
      </c>
      <c r="F46" s="654"/>
      <c r="G46" s="653" t="s">
        <v>1977</v>
      </c>
      <c r="H46" s="654"/>
      <c r="J46" s="158"/>
    </row>
    <row r="47" spans="1:10" x14ac:dyDescent="0.25">
      <c r="A47" s="161"/>
      <c r="B47" s="161"/>
      <c r="C47" s="161"/>
      <c r="D47" s="161"/>
      <c r="E47" s="161"/>
      <c r="F47" s="161"/>
      <c r="G47" s="161"/>
      <c r="H47" s="161"/>
      <c r="J47" s="158"/>
    </row>
    <row r="48" spans="1:10" x14ac:dyDescent="0.25">
      <c r="A48" s="161"/>
      <c r="B48" s="161"/>
      <c r="C48" s="161"/>
      <c r="D48" s="161"/>
      <c r="E48" s="161"/>
      <c r="F48" s="161"/>
      <c r="G48" s="161"/>
      <c r="H48" s="161"/>
      <c r="J48" s="158"/>
    </row>
    <row r="49" spans="1:10" x14ac:dyDescent="0.25">
      <c r="A49" s="161"/>
      <c r="B49" s="161"/>
      <c r="C49" s="161"/>
      <c r="D49" s="161"/>
      <c r="E49" s="161"/>
      <c r="F49" s="161"/>
      <c r="G49" s="161"/>
      <c r="H49" s="161"/>
      <c r="J49" s="158"/>
    </row>
    <row r="50" spans="1:10" s="53" customFormat="1" ht="58.5" customHeight="1" x14ac:dyDescent="0.25">
      <c r="A50" s="655" t="e">
        <f>'014-22-CAPA'!#REF!</f>
        <v>#REF!</v>
      </c>
      <c r="B50" s="655"/>
      <c r="C50" s="655"/>
      <c r="D50" s="655"/>
      <c r="E50" s="655"/>
      <c r="F50" s="655"/>
      <c r="G50" s="655"/>
      <c r="H50" s="655"/>
    </row>
    <row r="51" spans="1:10" x14ac:dyDescent="0.25">
      <c r="A51" s="161"/>
      <c r="B51" s="161"/>
      <c r="C51" s="161"/>
      <c r="D51" s="161"/>
      <c r="E51" s="161"/>
      <c r="F51" s="161"/>
      <c r="G51" s="161"/>
      <c r="H51" s="161"/>
      <c r="J51" s="158"/>
    </row>
    <row r="52" spans="1:10" x14ac:dyDescent="0.25">
      <c r="D52" s="160"/>
      <c r="H52" s="158"/>
    </row>
  </sheetData>
  <mergeCells count="35">
    <mergeCell ref="A38:B38"/>
    <mergeCell ref="C38:D38"/>
    <mergeCell ref="E38:F38"/>
    <mergeCell ref="G38:H38"/>
    <mergeCell ref="A50:H50"/>
    <mergeCell ref="A40:B40"/>
    <mergeCell ref="C40:D40"/>
    <mergeCell ref="E40:F40"/>
    <mergeCell ref="G40:H40"/>
    <mergeCell ref="A46:B46"/>
    <mergeCell ref="C46:D46"/>
    <mergeCell ref="E46:F46"/>
    <mergeCell ref="G46:H46"/>
    <mergeCell ref="A30:B30"/>
    <mergeCell ref="C30:D30"/>
    <mergeCell ref="E30:F30"/>
    <mergeCell ref="G30:H30"/>
    <mergeCell ref="A32:B32"/>
    <mergeCell ref="C32:D32"/>
    <mergeCell ref="E32:F32"/>
    <mergeCell ref="G32:H32"/>
    <mergeCell ref="A22:B22"/>
    <mergeCell ref="C22:D22"/>
    <mergeCell ref="E22:F22"/>
    <mergeCell ref="G22:H22"/>
    <mergeCell ref="A24:B24"/>
    <mergeCell ref="C24:D24"/>
    <mergeCell ref="E24:F24"/>
    <mergeCell ref="G24:H24"/>
    <mergeCell ref="A16:B16"/>
    <mergeCell ref="C16:D16"/>
    <mergeCell ref="E16:F16"/>
    <mergeCell ref="G16:H16"/>
    <mergeCell ref="A1:H1"/>
    <mergeCell ref="A2:F2"/>
  </mergeCells>
  <pageMargins left="0.51181102362204722" right="0.51181102362204722" top="0.78740157480314965" bottom="0.78740157480314965" header="0.31496062992125984" footer="0.31496062992125984"/>
  <pageSetup paperSize="9" scale="63" orientation="portrait" r:id="rId1"/>
  <headerFooter>
    <oddHeader>&amp;F</oddHeader>
    <oddFooter>Página &amp;P de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sheetPr>
  <dimension ref="A1:IH511"/>
  <sheetViews>
    <sheetView showGridLines="0" tabSelected="1" view="pageBreakPreview" topLeftCell="A20" zoomScaleNormal="100" zoomScaleSheetLayoutView="100" workbookViewId="0">
      <selection activeCell="J9" sqref="J9"/>
    </sheetView>
  </sheetViews>
  <sheetFormatPr defaultRowHeight="11.25" x14ac:dyDescent="0.25"/>
  <cols>
    <col min="1" max="1" width="16.7109375" style="219" customWidth="1"/>
    <col min="2" max="2" width="62.140625" style="219" customWidth="1"/>
    <col min="3" max="3" width="20.28515625" style="219" customWidth="1"/>
    <col min="4" max="4" width="15.42578125" style="239" customWidth="1"/>
    <col min="5" max="7" width="12.7109375" style="239" customWidth="1"/>
    <col min="8" max="8" width="14.28515625" style="72" customWidth="1"/>
    <col min="9" max="9" width="15.140625" style="72" customWidth="1"/>
    <col min="10" max="10" width="16.28515625" style="72" customWidth="1"/>
    <col min="11" max="244" width="9.140625" style="72"/>
    <col min="245" max="245" width="8.85546875" style="72" customWidth="1"/>
    <col min="246" max="246" width="34.140625" style="72" customWidth="1"/>
    <col min="247" max="247" width="17.7109375" style="72" bestFit="1" customWidth="1"/>
    <col min="248" max="248" width="12.28515625" style="72" customWidth="1"/>
    <col min="249" max="250" width="13" style="72" customWidth="1"/>
    <col min="251" max="251" width="12.28515625" style="72" customWidth="1"/>
    <col min="252" max="252" width="13.28515625" style="72" customWidth="1"/>
    <col min="253" max="253" width="12.28515625" style="72" customWidth="1"/>
    <col min="254" max="254" width="13.28515625" style="72" customWidth="1"/>
    <col min="255" max="255" width="12.28515625" style="72" customWidth="1"/>
    <col min="256" max="256" width="13.28515625" style="72" customWidth="1"/>
    <col min="257" max="257" width="12.28515625" style="72" customWidth="1"/>
    <col min="258" max="258" width="13.28515625" style="72" customWidth="1"/>
    <col min="259" max="259" width="12.28515625" style="72" customWidth="1"/>
    <col min="260" max="260" width="13.28515625" style="72" customWidth="1"/>
    <col min="261" max="261" width="12.28515625" style="72" customWidth="1"/>
    <col min="262" max="262" width="13.28515625" style="72" customWidth="1"/>
    <col min="263" max="263" width="12.28515625" style="72" customWidth="1"/>
    <col min="264" max="264" width="14.28515625" style="72" customWidth="1"/>
    <col min="265" max="265" width="15.140625" style="72" customWidth="1"/>
    <col min="266" max="500" width="9.140625" style="72"/>
    <col min="501" max="501" width="8.85546875" style="72" customWidth="1"/>
    <col min="502" max="502" width="34.140625" style="72" customWidth="1"/>
    <col min="503" max="503" width="17.7109375" style="72" bestFit="1" customWidth="1"/>
    <col min="504" max="504" width="12.28515625" style="72" customWidth="1"/>
    <col min="505" max="506" width="13" style="72" customWidth="1"/>
    <col min="507" max="507" width="12.28515625" style="72" customWidth="1"/>
    <col min="508" max="508" width="13.28515625" style="72" customWidth="1"/>
    <col min="509" max="509" width="12.28515625" style="72" customWidth="1"/>
    <col min="510" max="510" width="13.28515625" style="72" customWidth="1"/>
    <col min="511" max="511" width="12.28515625" style="72" customWidth="1"/>
    <col min="512" max="512" width="13.28515625" style="72" customWidth="1"/>
    <col min="513" max="513" width="12.28515625" style="72" customWidth="1"/>
    <col min="514" max="514" width="13.28515625" style="72" customWidth="1"/>
    <col min="515" max="515" width="12.28515625" style="72" customWidth="1"/>
    <col min="516" max="516" width="13.28515625" style="72" customWidth="1"/>
    <col min="517" max="517" width="12.28515625" style="72" customWidth="1"/>
    <col min="518" max="518" width="13.28515625" style="72" customWidth="1"/>
    <col min="519" max="519" width="12.28515625" style="72" customWidth="1"/>
    <col min="520" max="520" width="14.28515625" style="72" customWidth="1"/>
    <col min="521" max="521" width="15.140625" style="72" customWidth="1"/>
    <col min="522" max="756" width="9.140625" style="72"/>
    <col min="757" max="757" width="8.85546875" style="72" customWidth="1"/>
    <col min="758" max="758" width="34.140625" style="72" customWidth="1"/>
    <col min="759" max="759" width="17.7109375" style="72" bestFit="1" customWidth="1"/>
    <col min="760" max="760" width="12.28515625" style="72" customWidth="1"/>
    <col min="761" max="762" width="13" style="72" customWidth="1"/>
    <col min="763" max="763" width="12.28515625" style="72" customWidth="1"/>
    <col min="764" max="764" width="13.28515625" style="72" customWidth="1"/>
    <col min="765" max="765" width="12.28515625" style="72" customWidth="1"/>
    <col min="766" max="766" width="13.28515625" style="72" customWidth="1"/>
    <col min="767" max="767" width="12.28515625" style="72" customWidth="1"/>
    <col min="768" max="768" width="13.28515625" style="72" customWidth="1"/>
    <col min="769" max="769" width="12.28515625" style="72" customWidth="1"/>
    <col min="770" max="770" width="13.28515625" style="72" customWidth="1"/>
    <col min="771" max="771" width="12.28515625" style="72" customWidth="1"/>
    <col min="772" max="772" width="13.28515625" style="72" customWidth="1"/>
    <col min="773" max="773" width="12.28515625" style="72" customWidth="1"/>
    <col min="774" max="774" width="13.28515625" style="72" customWidth="1"/>
    <col min="775" max="775" width="12.28515625" style="72" customWidth="1"/>
    <col min="776" max="776" width="14.28515625" style="72" customWidth="1"/>
    <col min="777" max="777" width="15.140625" style="72" customWidth="1"/>
    <col min="778" max="1012" width="9.140625" style="72"/>
    <col min="1013" max="1013" width="8.85546875" style="72" customWidth="1"/>
    <col min="1014" max="1014" width="34.140625" style="72" customWidth="1"/>
    <col min="1015" max="1015" width="17.7109375" style="72" bestFit="1" customWidth="1"/>
    <col min="1016" max="1016" width="12.28515625" style="72" customWidth="1"/>
    <col min="1017" max="1018" width="13" style="72" customWidth="1"/>
    <col min="1019" max="1019" width="12.28515625" style="72" customWidth="1"/>
    <col min="1020" max="1020" width="13.28515625" style="72" customWidth="1"/>
    <col min="1021" max="1021" width="12.28515625" style="72" customWidth="1"/>
    <col min="1022" max="1022" width="13.28515625" style="72" customWidth="1"/>
    <col min="1023" max="1023" width="12.28515625" style="72" customWidth="1"/>
    <col min="1024" max="1024" width="13.28515625" style="72" customWidth="1"/>
    <col min="1025" max="1025" width="12.28515625" style="72" customWidth="1"/>
    <col min="1026" max="1026" width="13.28515625" style="72" customWidth="1"/>
    <col min="1027" max="1027" width="12.28515625" style="72" customWidth="1"/>
    <col min="1028" max="1028" width="13.28515625" style="72" customWidth="1"/>
    <col min="1029" max="1029" width="12.28515625" style="72" customWidth="1"/>
    <col min="1030" max="1030" width="13.28515625" style="72" customWidth="1"/>
    <col min="1031" max="1031" width="12.28515625" style="72" customWidth="1"/>
    <col min="1032" max="1032" width="14.28515625" style="72" customWidth="1"/>
    <col min="1033" max="1033" width="15.140625" style="72" customWidth="1"/>
    <col min="1034" max="1268" width="9.140625" style="72"/>
    <col min="1269" max="1269" width="8.85546875" style="72" customWidth="1"/>
    <col min="1270" max="1270" width="34.140625" style="72" customWidth="1"/>
    <col min="1271" max="1271" width="17.7109375" style="72" bestFit="1" customWidth="1"/>
    <col min="1272" max="1272" width="12.28515625" style="72" customWidth="1"/>
    <col min="1273" max="1274" width="13" style="72" customWidth="1"/>
    <col min="1275" max="1275" width="12.28515625" style="72" customWidth="1"/>
    <col min="1276" max="1276" width="13.28515625" style="72" customWidth="1"/>
    <col min="1277" max="1277" width="12.28515625" style="72" customWidth="1"/>
    <col min="1278" max="1278" width="13.28515625" style="72" customWidth="1"/>
    <col min="1279" max="1279" width="12.28515625" style="72" customWidth="1"/>
    <col min="1280" max="1280" width="13.28515625" style="72" customWidth="1"/>
    <col min="1281" max="1281" width="12.28515625" style="72" customWidth="1"/>
    <col min="1282" max="1282" width="13.28515625" style="72" customWidth="1"/>
    <col min="1283" max="1283" width="12.28515625" style="72" customWidth="1"/>
    <col min="1284" max="1284" width="13.28515625" style="72" customWidth="1"/>
    <col min="1285" max="1285" width="12.28515625" style="72" customWidth="1"/>
    <col min="1286" max="1286" width="13.28515625" style="72" customWidth="1"/>
    <col min="1287" max="1287" width="12.28515625" style="72" customWidth="1"/>
    <col min="1288" max="1288" width="14.28515625" style="72" customWidth="1"/>
    <col min="1289" max="1289" width="15.140625" style="72" customWidth="1"/>
    <col min="1290" max="1524" width="9.140625" style="72"/>
    <col min="1525" max="1525" width="8.85546875" style="72" customWidth="1"/>
    <col min="1526" max="1526" width="34.140625" style="72" customWidth="1"/>
    <col min="1527" max="1527" width="17.7109375" style="72" bestFit="1" customWidth="1"/>
    <col min="1528" max="1528" width="12.28515625" style="72" customWidth="1"/>
    <col min="1529" max="1530" width="13" style="72" customWidth="1"/>
    <col min="1531" max="1531" width="12.28515625" style="72" customWidth="1"/>
    <col min="1532" max="1532" width="13.28515625" style="72" customWidth="1"/>
    <col min="1533" max="1533" width="12.28515625" style="72" customWidth="1"/>
    <col min="1534" max="1534" width="13.28515625" style="72" customWidth="1"/>
    <col min="1535" max="1535" width="12.28515625" style="72" customWidth="1"/>
    <col min="1536" max="1536" width="13.28515625" style="72" customWidth="1"/>
    <col min="1537" max="1537" width="12.28515625" style="72" customWidth="1"/>
    <col min="1538" max="1538" width="13.28515625" style="72" customWidth="1"/>
    <col min="1539" max="1539" width="12.28515625" style="72" customWidth="1"/>
    <col min="1540" max="1540" width="13.28515625" style="72" customWidth="1"/>
    <col min="1541" max="1541" width="12.28515625" style="72" customWidth="1"/>
    <col min="1542" max="1542" width="13.28515625" style="72" customWidth="1"/>
    <col min="1543" max="1543" width="12.28515625" style="72" customWidth="1"/>
    <col min="1544" max="1544" width="14.28515625" style="72" customWidth="1"/>
    <col min="1545" max="1545" width="15.140625" style="72" customWidth="1"/>
    <col min="1546" max="1780" width="9.140625" style="72"/>
    <col min="1781" max="1781" width="8.85546875" style="72" customWidth="1"/>
    <col min="1782" max="1782" width="34.140625" style="72" customWidth="1"/>
    <col min="1783" max="1783" width="17.7109375" style="72" bestFit="1" customWidth="1"/>
    <col min="1784" max="1784" width="12.28515625" style="72" customWidth="1"/>
    <col min="1785" max="1786" width="13" style="72" customWidth="1"/>
    <col min="1787" max="1787" width="12.28515625" style="72" customWidth="1"/>
    <col min="1788" max="1788" width="13.28515625" style="72" customWidth="1"/>
    <col min="1789" max="1789" width="12.28515625" style="72" customWidth="1"/>
    <col min="1790" max="1790" width="13.28515625" style="72" customWidth="1"/>
    <col min="1791" max="1791" width="12.28515625" style="72" customWidth="1"/>
    <col min="1792" max="1792" width="13.28515625" style="72" customWidth="1"/>
    <col min="1793" max="1793" width="12.28515625" style="72" customWidth="1"/>
    <col min="1794" max="1794" width="13.28515625" style="72" customWidth="1"/>
    <col min="1795" max="1795" width="12.28515625" style="72" customWidth="1"/>
    <col min="1796" max="1796" width="13.28515625" style="72" customWidth="1"/>
    <col min="1797" max="1797" width="12.28515625" style="72" customWidth="1"/>
    <col min="1798" max="1798" width="13.28515625" style="72" customWidth="1"/>
    <col min="1799" max="1799" width="12.28515625" style="72" customWidth="1"/>
    <col min="1800" max="1800" width="14.28515625" style="72" customWidth="1"/>
    <col min="1801" max="1801" width="15.140625" style="72" customWidth="1"/>
    <col min="1802" max="2036" width="9.140625" style="72"/>
    <col min="2037" max="2037" width="8.85546875" style="72" customWidth="1"/>
    <col min="2038" max="2038" width="34.140625" style="72" customWidth="1"/>
    <col min="2039" max="2039" width="17.7109375" style="72" bestFit="1" customWidth="1"/>
    <col min="2040" max="2040" width="12.28515625" style="72" customWidth="1"/>
    <col min="2041" max="2042" width="13" style="72" customWidth="1"/>
    <col min="2043" max="2043" width="12.28515625" style="72" customWidth="1"/>
    <col min="2044" max="2044" width="13.28515625" style="72" customWidth="1"/>
    <col min="2045" max="2045" width="12.28515625" style="72" customWidth="1"/>
    <col min="2046" max="2046" width="13.28515625" style="72" customWidth="1"/>
    <col min="2047" max="2047" width="12.28515625" style="72" customWidth="1"/>
    <col min="2048" max="2048" width="13.28515625" style="72" customWidth="1"/>
    <col min="2049" max="2049" width="12.28515625" style="72" customWidth="1"/>
    <col min="2050" max="2050" width="13.28515625" style="72" customWidth="1"/>
    <col min="2051" max="2051" width="12.28515625" style="72" customWidth="1"/>
    <col min="2052" max="2052" width="13.28515625" style="72" customWidth="1"/>
    <col min="2053" max="2053" width="12.28515625" style="72" customWidth="1"/>
    <col min="2054" max="2054" width="13.28515625" style="72" customWidth="1"/>
    <col min="2055" max="2055" width="12.28515625" style="72" customWidth="1"/>
    <col min="2056" max="2056" width="14.28515625" style="72" customWidth="1"/>
    <col min="2057" max="2057" width="15.140625" style="72" customWidth="1"/>
    <col min="2058" max="2292" width="9.140625" style="72"/>
    <col min="2293" max="2293" width="8.85546875" style="72" customWidth="1"/>
    <col min="2294" max="2294" width="34.140625" style="72" customWidth="1"/>
    <col min="2295" max="2295" width="17.7109375" style="72" bestFit="1" customWidth="1"/>
    <col min="2296" max="2296" width="12.28515625" style="72" customWidth="1"/>
    <col min="2297" max="2298" width="13" style="72" customWidth="1"/>
    <col min="2299" max="2299" width="12.28515625" style="72" customWidth="1"/>
    <col min="2300" max="2300" width="13.28515625" style="72" customWidth="1"/>
    <col min="2301" max="2301" width="12.28515625" style="72" customWidth="1"/>
    <col min="2302" max="2302" width="13.28515625" style="72" customWidth="1"/>
    <col min="2303" max="2303" width="12.28515625" style="72" customWidth="1"/>
    <col min="2304" max="2304" width="13.28515625" style="72" customWidth="1"/>
    <col min="2305" max="2305" width="12.28515625" style="72" customWidth="1"/>
    <col min="2306" max="2306" width="13.28515625" style="72" customWidth="1"/>
    <col min="2307" max="2307" width="12.28515625" style="72" customWidth="1"/>
    <col min="2308" max="2308" width="13.28515625" style="72" customWidth="1"/>
    <col min="2309" max="2309" width="12.28515625" style="72" customWidth="1"/>
    <col min="2310" max="2310" width="13.28515625" style="72" customWidth="1"/>
    <col min="2311" max="2311" width="12.28515625" style="72" customWidth="1"/>
    <col min="2312" max="2312" width="14.28515625" style="72" customWidth="1"/>
    <col min="2313" max="2313" width="15.140625" style="72" customWidth="1"/>
    <col min="2314" max="2548" width="9.140625" style="72"/>
    <col min="2549" max="2549" width="8.85546875" style="72" customWidth="1"/>
    <col min="2550" max="2550" width="34.140625" style="72" customWidth="1"/>
    <col min="2551" max="2551" width="17.7109375" style="72" bestFit="1" customWidth="1"/>
    <col min="2552" max="2552" width="12.28515625" style="72" customWidth="1"/>
    <col min="2553" max="2554" width="13" style="72" customWidth="1"/>
    <col min="2555" max="2555" width="12.28515625" style="72" customWidth="1"/>
    <col min="2556" max="2556" width="13.28515625" style="72" customWidth="1"/>
    <col min="2557" max="2557" width="12.28515625" style="72" customWidth="1"/>
    <col min="2558" max="2558" width="13.28515625" style="72" customWidth="1"/>
    <col min="2559" max="2559" width="12.28515625" style="72" customWidth="1"/>
    <col min="2560" max="2560" width="13.28515625" style="72" customWidth="1"/>
    <col min="2561" max="2561" width="12.28515625" style="72" customWidth="1"/>
    <col min="2562" max="2562" width="13.28515625" style="72" customWidth="1"/>
    <col min="2563" max="2563" width="12.28515625" style="72" customWidth="1"/>
    <col min="2564" max="2564" width="13.28515625" style="72" customWidth="1"/>
    <col min="2565" max="2565" width="12.28515625" style="72" customWidth="1"/>
    <col min="2566" max="2566" width="13.28515625" style="72" customWidth="1"/>
    <col min="2567" max="2567" width="12.28515625" style="72" customWidth="1"/>
    <col min="2568" max="2568" width="14.28515625" style="72" customWidth="1"/>
    <col min="2569" max="2569" width="15.140625" style="72" customWidth="1"/>
    <col min="2570" max="2804" width="9.140625" style="72"/>
    <col min="2805" max="2805" width="8.85546875" style="72" customWidth="1"/>
    <col min="2806" max="2806" width="34.140625" style="72" customWidth="1"/>
    <col min="2807" max="2807" width="17.7109375" style="72" bestFit="1" customWidth="1"/>
    <col min="2808" max="2808" width="12.28515625" style="72" customWidth="1"/>
    <col min="2809" max="2810" width="13" style="72" customWidth="1"/>
    <col min="2811" max="2811" width="12.28515625" style="72" customWidth="1"/>
    <col min="2812" max="2812" width="13.28515625" style="72" customWidth="1"/>
    <col min="2813" max="2813" width="12.28515625" style="72" customWidth="1"/>
    <col min="2814" max="2814" width="13.28515625" style="72" customWidth="1"/>
    <col min="2815" max="2815" width="12.28515625" style="72" customWidth="1"/>
    <col min="2816" max="2816" width="13.28515625" style="72" customWidth="1"/>
    <col min="2817" max="2817" width="12.28515625" style="72" customWidth="1"/>
    <col min="2818" max="2818" width="13.28515625" style="72" customWidth="1"/>
    <col min="2819" max="2819" width="12.28515625" style="72" customWidth="1"/>
    <col min="2820" max="2820" width="13.28515625" style="72" customWidth="1"/>
    <col min="2821" max="2821" width="12.28515625" style="72" customWidth="1"/>
    <col min="2822" max="2822" width="13.28515625" style="72" customWidth="1"/>
    <col min="2823" max="2823" width="12.28515625" style="72" customWidth="1"/>
    <col min="2824" max="2824" width="14.28515625" style="72" customWidth="1"/>
    <col min="2825" max="2825" width="15.140625" style="72" customWidth="1"/>
    <col min="2826" max="3060" width="9.140625" style="72"/>
    <col min="3061" max="3061" width="8.85546875" style="72" customWidth="1"/>
    <col min="3062" max="3062" width="34.140625" style="72" customWidth="1"/>
    <col min="3063" max="3063" width="17.7109375" style="72" bestFit="1" customWidth="1"/>
    <col min="3064" max="3064" width="12.28515625" style="72" customWidth="1"/>
    <col min="3065" max="3066" width="13" style="72" customWidth="1"/>
    <col min="3067" max="3067" width="12.28515625" style="72" customWidth="1"/>
    <col min="3068" max="3068" width="13.28515625" style="72" customWidth="1"/>
    <col min="3069" max="3069" width="12.28515625" style="72" customWidth="1"/>
    <col min="3070" max="3070" width="13.28515625" style="72" customWidth="1"/>
    <col min="3071" max="3071" width="12.28515625" style="72" customWidth="1"/>
    <col min="3072" max="3072" width="13.28515625" style="72" customWidth="1"/>
    <col min="3073" max="3073" width="12.28515625" style="72" customWidth="1"/>
    <col min="3074" max="3074" width="13.28515625" style="72" customWidth="1"/>
    <col min="3075" max="3075" width="12.28515625" style="72" customWidth="1"/>
    <col min="3076" max="3076" width="13.28515625" style="72" customWidth="1"/>
    <col min="3077" max="3077" width="12.28515625" style="72" customWidth="1"/>
    <col min="3078" max="3078" width="13.28515625" style="72" customWidth="1"/>
    <col min="3079" max="3079" width="12.28515625" style="72" customWidth="1"/>
    <col min="3080" max="3080" width="14.28515625" style="72" customWidth="1"/>
    <col min="3081" max="3081" width="15.140625" style="72" customWidth="1"/>
    <col min="3082" max="3316" width="9.140625" style="72"/>
    <col min="3317" max="3317" width="8.85546875" style="72" customWidth="1"/>
    <col min="3318" max="3318" width="34.140625" style="72" customWidth="1"/>
    <col min="3319" max="3319" width="17.7109375" style="72" bestFit="1" customWidth="1"/>
    <col min="3320" max="3320" width="12.28515625" style="72" customWidth="1"/>
    <col min="3321" max="3322" width="13" style="72" customWidth="1"/>
    <col min="3323" max="3323" width="12.28515625" style="72" customWidth="1"/>
    <col min="3324" max="3324" width="13.28515625" style="72" customWidth="1"/>
    <col min="3325" max="3325" width="12.28515625" style="72" customWidth="1"/>
    <col min="3326" max="3326" width="13.28515625" style="72" customWidth="1"/>
    <col min="3327" max="3327" width="12.28515625" style="72" customWidth="1"/>
    <col min="3328" max="3328" width="13.28515625" style="72" customWidth="1"/>
    <col min="3329" max="3329" width="12.28515625" style="72" customWidth="1"/>
    <col min="3330" max="3330" width="13.28515625" style="72" customWidth="1"/>
    <col min="3331" max="3331" width="12.28515625" style="72" customWidth="1"/>
    <col min="3332" max="3332" width="13.28515625" style="72" customWidth="1"/>
    <col min="3333" max="3333" width="12.28515625" style="72" customWidth="1"/>
    <col min="3334" max="3334" width="13.28515625" style="72" customWidth="1"/>
    <col min="3335" max="3335" width="12.28515625" style="72" customWidth="1"/>
    <col min="3336" max="3336" width="14.28515625" style="72" customWidth="1"/>
    <col min="3337" max="3337" width="15.140625" style="72" customWidth="1"/>
    <col min="3338" max="3572" width="9.140625" style="72"/>
    <col min="3573" max="3573" width="8.85546875" style="72" customWidth="1"/>
    <col min="3574" max="3574" width="34.140625" style="72" customWidth="1"/>
    <col min="3575" max="3575" width="17.7109375" style="72" bestFit="1" customWidth="1"/>
    <col min="3576" max="3576" width="12.28515625" style="72" customWidth="1"/>
    <col min="3577" max="3578" width="13" style="72" customWidth="1"/>
    <col min="3579" max="3579" width="12.28515625" style="72" customWidth="1"/>
    <col min="3580" max="3580" width="13.28515625" style="72" customWidth="1"/>
    <col min="3581" max="3581" width="12.28515625" style="72" customWidth="1"/>
    <col min="3582" max="3582" width="13.28515625" style="72" customWidth="1"/>
    <col min="3583" max="3583" width="12.28515625" style="72" customWidth="1"/>
    <col min="3584" max="3584" width="13.28515625" style="72" customWidth="1"/>
    <col min="3585" max="3585" width="12.28515625" style="72" customWidth="1"/>
    <col min="3586" max="3586" width="13.28515625" style="72" customWidth="1"/>
    <col min="3587" max="3587" width="12.28515625" style="72" customWidth="1"/>
    <col min="3588" max="3588" width="13.28515625" style="72" customWidth="1"/>
    <col min="3589" max="3589" width="12.28515625" style="72" customWidth="1"/>
    <col min="3590" max="3590" width="13.28515625" style="72" customWidth="1"/>
    <col min="3591" max="3591" width="12.28515625" style="72" customWidth="1"/>
    <col min="3592" max="3592" width="14.28515625" style="72" customWidth="1"/>
    <col min="3593" max="3593" width="15.140625" style="72" customWidth="1"/>
    <col min="3594" max="3828" width="9.140625" style="72"/>
    <col min="3829" max="3829" width="8.85546875" style="72" customWidth="1"/>
    <col min="3830" max="3830" width="34.140625" style="72" customWidth="1"/>
    <col min="3831" max="3831" width="17.7109375" style="72" bestFit="1" customWidth="1"/>
    <col min="3832" max="3832" width="12.28515625" style="72" customWidth="1"/>
    <col min="3833" max="3834" width="13" style="72" customWidth="1"/>
    <col min="3835" max="3835" width="12.28515625" style="72" customWidth="1"/>
    <col min="3836" max="3836" width="13.28515625" style="72" customWidth="1"/>
    <col min="3837" max="3837" width="12.28515625" style="72" customWidth="1"/>
    <col min="3838" max="3838" width="13.28515625" style="72" customWidth="1"/>
    <col min="3839" max="3839" width="12.28515625" style="72" customWidth="1"/>
    <col min="3840" max="3840" width="13.28515625" style="72" customWidth="1"/>
    <col min="3841" max="3841" width="12.28515625" style="72" customWidth="1"/>
    <col min="3842" max="3842" width="13.28515625" style="72" customWidth="1"/>
    <col min="3843" max="3843" width="12.28515625" style="72" customWidth="1"/>
    <col min="3844" max="3844" width="13.28515625" style="72" customWidth="1"/>
    <col min="3845" max="3845" width="12.28515625" style="72" customWidth="1"/>
    <col min="3846" max="3846" width="13.28515625" style="72" customWidth="1"/>
    <col min="3847" max="3847" width="12.28515625" style="72" customWidth="1"/>
    <col min="3848" max="3848" width="14.28515625" style="72" customWidth="1"/>
    <col min="3849" max="3849" width="15.140625" style="72" customWidth="1"/>
    <col min="3850" max="4084" width="9.140625" style="72"/>
    <col min="4085" max="4085" width="8.85546875" style="72" customWidth="1"/>
    <col min="4086" max="4086" width="34.140625" style="72" customWidth="1"/>
    <col min="4087" max="4087" width="17.7109375" style="72" bestFit="1" customWidth="1"/>
    <col min="4088" max="4088" width="12.28515625" style="72" customWidth="1"/>
    <col min="4089" max="4090" width="13" style="72" customWidth="1"/>
    <col min="4091" max="4091" width="12.28515625" style="72" customWidth="1"/>
    <col min="4092" max="4092" width="13.28515625" style="72" customWidth="1"/>
    <col min="4093" max="4093" width="12.28515625" style="72" customWidth="1"/>
    <col min="4094" max="4094" width="13.28515625" style="72" customWidth="1"/>
    <col min="4095" max="4095" width="12.28515625" style="72" customWidth="1"/>
    <col min="4096" max="4096" width="13.28515625" style="72" customWidth="1"/>
    <col min="4097" max="4097" width="12.28515625" style="72" customWidth="1"/>
    <col min="4098" max="4098" width="13.28515625" style="72" customWidth="1"/>
    <col min="4099" max="4099" width="12.28515625" style="72" customWidth="1"/>
    <col min="4100" max="4100" width="13.28515625" style="72" customWidth="1"/>
    <col min="4101" max="4101" width="12.28515625" style="72" customWidth="1"/>
    <col min="4102" max="4102" width="13.28515625" style="72" customWidth="1"/>
    <col min="4103" max="4103" width="12.28515625" style="72" customWidth="1"/>
    <col min="4104" max="4104" width="14.28515625" style="72" customWidth="1"/>
    <col min="4105" max="4105" width="15.140625" style="72" customWidth="1"/>
    <col min="4106" max="4340" width="9.140625" style="72"/>
    <col min="4341" max="4341" width="8.85546875" style="72" customWidth="1"/>
    <col min="4342" max="4342" width="34.140625" style="72" customWidth="1"/>
    <col min="4343" max="4343" width="17.7109375" style="72" bestFit="1" customWidth="1"/>
    <col min="4344" max="4344" width="12.28515625" style="72" customWidth="1"/>
    <col min="4345" max="4346" width="13" style="72" customWidth="1"/>
    <col min="4347" max="4347" width="12.28515625" style="72" customWidth="1"/>
    <col min="4348" max="4348" width="13.28515625" style="72" customWidth="1"/>
    <col min="4349" max="4349" width="12.28515625" style="72" customWidth="1"/>
    <col min="4350" max="4350" width="13.28515625" style="72" customWidth="1"/>
    <col min="4351" max="4351" width="12.28515625" style="72" customWidth="1"/>
    <col min="4352" max="4352" width="13.28515625" style="72" customWidth="1"/>
    <col min="4353" max="4353" width="12.28515625" style="72" customWidth="1"/>
    <col min="4354" max="4354" width="13.28515625" style="72" customWidth="1"/>
    <col min="4355" max="4355" width="12.28515625" style="72" customWidth="1"/>
    <col min="4356" max="4356" width="13.28515625" style="72" customWidth="1"/>
    <col min="4357" max="4357" width="12.28515625" style="72" customWidth="1"/>
    <col min="4358" max="4358" width="13.28515625" style="72" customWidth="1"/>
    <col min="4359" max="4359" width="12.28515625" style="72" customWidth="1"/>
    <col min="4360" max="4360" width="14.28515625" style="72" customWidth="1"/>
    <col min="4361" max="4361" width="15.140625" style="72" customWidth="1"/>
    <col min="4362" max="4596" width="9.140625" style="72"/>
    <col min="4597" max="4597" width="8.85546875" style="72" customWidth="1"/>
    <col min="4598" max="4598" width="34.140625" style="72" customWidth="1"/>
    <col min="4599" max="4599" width="17.7109375" style="72" bestFit="1" customWidth="1"/>
    <col min="4600" max="4600" width="12.28515625" style="72" customWidth="1"/>
    <col min="4601" max="4602" width="13" style="72" customWidth="1"/>
    <col min="4603" max="4603" width="12.28515625" style="72" customWidth="1"/>
    <col min="4604" max="4604" width="13.28515625" style="72" customWidth="1"/>
    <col min="4605" max="4605" width="12.28515625" style="72" customWidth="1"/>
    <col min="4606" max="4606" width="13.28515625" style="72" customWidth="1"/>
    <col min="4607" max="4607" width="12.28515625" style="72" customWidth="1"/>
    <col min="4608" max="4608" width="13.28515625" style="72" customWidth="1"/>
    <col min="4609" max="4609" width="12.28515625" style="72" customWidth="1"/>
    <col min="4610" max="4610" width="13.28515625" style="72" customWidth="1"/>
    <col min="4611" max="4611" width="12.28515625" style="72" customWidth="1"/>
    <col min="4612" max="4612" width="13.28515625" style="72" customWidth="1"/>
    <col min="4613" max="4613" width="12.28515625" style="72" customWidth="1"/>
    <col min="4614" max="4614" width="13.28515625" style="72" customWidth="1"/>
    <col min="4615" max="4615" width="12.28515625" style="72" customWidth="1"/>
    <col min="4616" max="4616" width="14.28515625" style="72" customWidth="1"/>
    <col min="4617" max="4617" width="15.140625" style="72" customWidth="1"/>
    <col min="4618" max="4852" width="9.140625" style="72"/>
    <col min="4853" max="4853" width="8.85546875" style="72" customWidth="1"/>
    <col min="4854" max="4854" width="34.140625" style="72" customWidth="1"/>
    <col min="4855" max="4855" width="17.7109375" style="72" bestFit="1" customWidth="1"/>
    <col min="4856" max="4856" width="12.28515625" style="72" customWidth="1"/>
    <col min="4857" max="4858" width="13" style="72" customWidth="1"/>
    <col min="4859" max="4859" width="12.28515625" style="72" customWidth="1"/>
    <col min="4860" max="4860" width="13.28515625" style="72" customWidth="1"/>
    <col min="4861" max="4861" width="12.28515625" style="72" customWidth="1"/>
    <col min="4862" max="4862" width="13.28515625" style="72" customWidth="1"/>
    <col min="4863" max="4863" width="12.28515625" style="72" customWidth="1"/>
    <col min="4864" max="4864" width="13.28515625" style="72" customWidth="1"/>
    <col min="4865" max="4865" width="12.28515625" style="72" customWidth="1"/>
    <col min="4866" max="4866" width="13.28515625" style="72" customWidth="1"/>
    <col min="4867" max="4867" width="12.28515625" style="72" customWidth="1"/>
    <col min="4868" max="4868" width="13.28515625" style="72" customWidth="1"/>
    <col min="4869" max="4869" width="12.28515625" style="72" customWidth="1"/>
    <col min="4870" max="4870" width="13.28515625" style="72" customWidth="1"/>
    <col min="4871" max="4871" width="12.28515625" style="72" customWidth="1"/>
    <col min="4872" max="4872" width="14.28515625" style="72" customWidth="1"/>
    <col min="4873" max="4873" width="15.140625" style="72" customWidth="1"/>
    <col min="4874" max="5108" width="9.140625" style="72"/>
    <col min="5109" max="5109" width="8.85546875" style="72" customWidth="1"/>
    <col min="5110" max="5110" width="34.140625" style="72" customWidth="1"/>
    <col min="5111" max="5111" width="17.7109375" style="72" bestFit="1" customWidth="1"/>
    <col min="5112" max="5112" width="12.28515625" style="72" customWidth="1"/>
    <col min="5113" max="5114" width="13" style="72" customWidth="1"/>
    <col min="5115" max="5115" width="12.28515625" style="72" customWidth="1"/>
    <col min="5116" max="5116" width="13.28515625" style="72" customWidth="1"/>
    <col min="5117" max="5117" width="12.28515625" style="72" customWidth="1"/>
    <col min="5118" max="5118" width="13.28515625" style="72" customWidth="1"/>
    <col min="5119" max="5119" width="12.28515625" style="72" customWidth="1"/>
    <col min="5120" max="5120" width="13.28515625" style="72" customWidth="1"/>
    <col min="5121" max="5121" width="12.28515625" style="72" customWidth="1"/>
    <col min="5122" max="5122" width="13.28515625" style="72" customWidth="1"/>
    <col min="5123" max="5123" width="12.28515625" style="72" customWidth="1"/>
    <col min="5124" max="5124" width="13.28515625" style="72" customWidth="1"/>
    <col min="5125" max="5125" width="12.28515625" style="72" customWidth="1"/>
    <col min="5126" max="5126" width="13.28515625" style="72" customWidth="1"/>
    <col min="5127" max="5127" width="12.28515625" style="72" customWidth="1"/>
    <col min="5128" max="5128" width="14.28515625" style="72" customWidth="1"/>
    <col min="5129" max="5129" width="15.140625" style="72" customWidth="1"/>
    <col min="5130" max="5364" width="9.140625" style="72"/>
    <col min="5365" max="5365" width="8.85546875" style="72" customWidth="1"/>
    <col min="5366" max="5366" width="34.140625" style="72" customWidth="1"/>
    <col min="5367" max="5367" width="17.7109375" style="72" bestFit="1" customWidth="1"/>
    <col min="5368" max="5368" width="12.28515625" style="72" customWidth="1"/>
    <col min="5369" max="5370" width="13" style="72" customWidth="1"/>
    <col min="5371" max="5371" width="12.28515625" style="72" customWidth="1"/>
    <col min="5372" max="5372" width="13.28515625" style="72" customWidth="1"/>
    <col min="5373" max="5373" width="12.28515625" style="72" customWidth="1"/>
    <col min="5374" max="5374" width="13.28515625" style="72" customWidth="1"/>
    <col min="5375" max="5375" width="12.28515625" style="72" customWidth="1"/>
    <col min="5376" max="5376" width="13.28515625" style="72" customWidth="1"/>
    <col min="5377" max="5377" width="12.28515625" style="72" customWidth="1"/>
    <col min="5378" max="5378" width="13.28515625" style="72" customWidth="1"/>
    <col min="5379" max="5379" width="12.28515625" style="72" customWidth="1"/>
    <col min="5380" max="5380" width="13.28515625" style="72" customWidth="1"/>
    <col min="5381" max="5381" width="12.28515625" style="72" customWidth="1"/>
    <col min="5382" max="5382" width="13.28515625" style="72" customWidth="1"/>
    <col min="5383" max="5383" width="12.28515625" style="72" customWidth="1"/>
    <col min="5384" max="5384" width="14.28515625" style="72" customWidth="1"/>
    <col min="5385" max="5385" width="15.140625" style="72" customWidth="1"/>
    <col min="5386" max="5620" width="9.140625" style="72"/>
    <col min="5621" max="5621" width="8.85546875" style="72" customWidth="1"/>
    <col min="5622" max="5622" width="34.140625" style="72" customWidth="1"/>
    <col min="5623" max="5623" width="17.7109375" style="72" bestFit="1" customWidth="1"/>
    <col min="5624" max="5624" width="12.28515625" style="72" customWidth="1"/>
    <col min="5625" max="5626" width="13" style="72" customWidth="1"/>
    <col min="5627" max="5627" width="12.28515625" style="72" customWidth="1"/>
    <col min="5628" max="5628" width="13.28515625" style="72" customWidth="1"/>
    <col min="5629" max="5629" width="12.28515625" style="72" customWidth="1"/>
    <col min="5630" max="5630" width="13.28515625" style="72" customWidth="1"/>
    <col min="5631" max="5631" width="12.28515625" style="72" customWidth="1"/>
    <col min="5632" max="5632" width="13.28515625" style="72" customWidth="1"/>
    <col min="5633" max="5633" width="12.28515625" style="72" customWidth="1"/>
    <col min="5634" max="5634" width="13.28515625" style="72" customWidth="1"/>
    <col min="5635" max="5635" width="12.28515625" style="72" customWidth="1"/>
    <col min="5636" max="5636" width="13.28515625" style="72" customWidth="1"/>
    <col min="5637" max="5637" width="12.28515625" style="72" customWidth="1"/>
    <col min="5638" max="5638" width="13.28515625" style="72" customWidth="1"/>
    <col min="5639" max="5639" width="12.28515625" style="72" customWidth="1"/>
    <col min="5640" max="5640" width="14.28515625" style="72" customWidth="1"/>
    <col min="5641" max="5641" width="15.140625" style="72" customWidth="1"/>
    <col min="5642" max="5876" width="9.140625" style="72"/>
    <col min="5877" max="5877" width="8.85546875" style="72" customWidth="1"/>
    <col min="5878" max="5878" width="34.140625" style="72" customWidth="1"/>
    <col min="5879" max="5879" width="17.7109375" style="72" bestFit="1" customWidth="1"/>
    <col min="5880" max="5880" width="12.28515625" style="72" customWidth="1"/>
    <col min="5881" max="5882" width="13" style="72" customWidth="1"/>
    <col min="5883" max="5883" width="12.28515625" style="72" customWidth="1"/>
    <col min="5884" max="5884" width="13.28515625" style="72" customWidth="1"/>
    <col min="5885" max="5885" width="12.28515625" style="72" customWidth="1"/>
    <col min="5886" max="5886" width="13.28515625" style="72" customWidth="1"/>
    <col min="5887" max="5887" width="12.28515625" style="72" customWidth="1"/>
    <col min="5888" max="5888" width="13.28515625" style="72" customWidth="1"/>
    <col min="5889" max="5889" width="12.28515625" style="72" customWidth="1"/>
    <col min="5890" max="5890" width="13.28515625" style="72" customWidth="1"/>
    <col min="5891" max="5891" width="12.28515625" style="72" customWidth="1"/>
    <col min="5892" max="5892" width="13.28515625" style="72" customWidth="1"/>
    <col min="5893" max="5893" width="12.28515625" style="72" customWidth="1"/>
    <col min="5894" max="5894" width="13.28515625" style="72" customWidth="1"/>
    <col min="5895" max="5895" width="12.28515625" style="72" customWidth="1"/>
    <col min="5896" max="5896" width="14.28515625" style="72" customWidth="1"/>
    <col min="5897" max="5897" width="15.140625" style="72" customWidth="1"/>
    <col min="5898" max="6132" width="9.140625" style="72"/>
    <col min="6133" max="6133" width="8.85546875" style="72" customWidth="1"/>
    <col min="6134" max="6134" width="34.140625" style="72" customWidth="1"/>
    <col min="6135" max="6135" width="17.7109375" style="72" bestFit="1" customWidth="1"/>
    <col min="6136" max="6136" width="12.28515625" style="72" customWidth="1"/>
    <col min="6137" max="6138" width="13" style="72" customWidth="1"/>
    <col min="6139" max="6139" width="12.28515625" style="72" customWidth="1"/>
    <col min="6140" max="6140" width="13.28515625" style="72" customWidth="1"/>
    <col min="6141" max="6141" width="12.28515625" style="72" customWidth="1"/>
    <col min="6142" max="6142" width="13.28515625" style="72" customWidth="1"/>
    <col min="6143" max="6143" width="12.28515625" style="72" customWidth="1"/>
    <col min="6144" max="6144" width="13.28515625" style="72" customWidth="1"/>
    <col min="6145" max="6145" width="12.28515625" style="72" customWidth="1"/>
    <col min="6146" max="6146" width="13.28515625" style="72" customWidth="1"/>
    <col min="6147" max="6147" width="12.28515625" style="72" customWidth="1"/>
    <col min="6148" max="6148" width="13.28515625" style="72" customWidth="1"/>
    <col min="6149" max="6149" width="12.28515625" style="72" customWidth="1"/>
    <col min="6150" max="6150" width="13.28515625" style="72" customWidth="1"/>
    <col min="6151" max="6151" width="12.28515625" style="72" customWidth="1"/>
    <col min="6152" max="6152" width="14.28515625" style="72" customWidth="1"/>
    <col min="6153" max="6153" width="15.140625" style="72" customWidth="1"/>
    <col min="6154" max="6388" width="9.140625" style="72"/>
    <col min="6389" max="6389" width="8.85546875" style="72" customWidth="1"/>
    <col min="6390" max="6390" width="34.140625" style="72" customWidth="1"/>
    <col min="6391" max="6391" width="17.7109375" style="72" bestFit="1" customWidth="1"/>
    <col min="6392" max="6392" width="12.28515625" style="72" customWidth="1"/>
    <col min="6393" max="6394" width="13" style="72" customWidth="1"/>
    <col min="6395" max="6395" width="12.28515625" style="72" customWidth="1"/>
    <col min="6396" max="6396" width="13.28515625" style="72" customWidth="1"/>
    <col min="6397" max="6397" width="12.28515625" style="72" customWidth="1"/>
    <col min="6398" max="6398" width="13.28515625" style="72" customWidth="1"/>
    <col min="6399" max="6399" width="12.28515625" style="72" customWidth="1"/>
    <col min="6400" max="6400" width="13.28515625" style="72" customWidth="1"/>
    <col min="6401" max="6401" width="12.28515625" style="72" customWidth="1"/>
    <col min="6402" max="6402" width="13.28515625" style="72" customWidth="1"/>
    <col min="6403" max="6403" width="12.28515625" style="72" customWidth="1"/>
    <col min="6404" max="6404" width="13.28515625" style="72" customWidth="1"/>
    <col min="6405" max="6405" width="12.28515625" style="72" customWidth="1"/>
    <col min="6406" max="6406" width="13.28515625" style="72" customWidth="1"/>
    <col min="6407" max="6407" width="12.28515625" style="72" customWidth="1"/>
    <col min="6408" max="6408" width="14.28515625" style="72" customWidth="1"/>
    <col min="6409" max="6409" width="15.140625" style="72" customWidth="1"/>
    <col min="6410" max="6644" width="9.140625" style="72"/>
    <col min="6645" max="6645" width="8.85546875" style="72" customWidth="1"/>
    <col min="6646" max="6646" width="34.140625" style="72" customWidth="1"/>
    <col min="6647" max="6647" width="17.7109375" style="72" bestFit="1" customWidth="1"/>
    <col min="6648" max="6648" width="12.28515625" style="72" customWidth="1"/>
    <col min="6649" max="6650" width="13" style="72" customWidth="1"/>
    <col min="6651" max="6651" width="12.28515625" style="72" customWidth="1"/>
    <col min="6652" max="6652" width="13.28515625" style="72" customWidth="1"/>
    <col min="6653" max="6653" width="12.28515625" style="72" customWidth="1"/>
    <col min="6654" max="6654" width="13.28515625" style="72" customWidth="1"/>
    <col min="6655" max="6655" width="12.28515625" style="72" customWidth="1"/>
    <col min="6656" max="6656" width="13.28515625" style="72" customWidth="1"/>
    <col min="6657" max="6657" width="12.28515625" style="72" customWidth="1"/>
    <col min="6658" max="6658" width="13.28515625" style="72" customWidth="1"/>
    <col min="6659" max="6659" width="12.28515625" style="72" customWidth="1"/>
    <col min="6660" max="6660" width="13.28515625" style="72" customWidth="1"/>
    <col min="6661" max="6661" width="12.28515625" style="72" customWidth="1"/>
    <col min="6662" max="6662" width="13.28515625" style="72" customWidth="1"/>
    <col min="6663" max="6663" width="12.28515625" style="72" customWidth="1"/>
    <col min="6664" max="6664" width="14.28515625" style="72" customWidth="1"/>
    <col min="6665" max="6665" width="15.140625" style="72" customWidth="1"/>
    <col min="6666" max="6900" width="9.140625" style="72"/>
    <col min="6901" max="6901" width="8.85546875" style="72" customWidth="1"/>
    <col min="6902" max="6902" width="34.140625" style="72" customWidth="1"/>
    <col min="6903" max="6903" width="17.7109375" style="72" bestFit="1" customWidth="1"/>
    <col min="6904" max="6904" width="12.28515625" style="72" customWidth="1"/>
    <col min="6905" max="6906" width="13" style="72" customWidth="1"/>
    <col min="6907" max="6907" width="12.28515625" style="72" customWidth="1"/>
    <col min="6908" max="6908" width="13.28515625" style="72" customWidth="1"/>
    <col min="6909" max="6909" width="12.28515625" style="72" customWidth="1"/>
    <col min="6910" max="6910" width="13.28515625" style="72" customWidth="1"/>
    <col min="6911" max="6911" width="12.28515625" style="72" customWidth="1"/>
    <col min="6912" max="6912" width="13.28515625" style="72" customWidth="1"/>
    <col min="6913" max="6913" width="12.28515625" style="72" customWidth="1"/>
    <col min="6914" max="6914" width="13.28515625" style="72" customWidth="1"/>
    <col min="6915" max="6915" width="12.28515625" style="72" customWidth="1"/>
    <col min="6916" max="6916" width="13.28515625" style="72" customWidth="1"/>
    <col min="6917" max="6917" width="12.28515625" style="72" customWidth="1"/>
    <col min="6918" max="6918" width="13.28515625" style="72" customWidth="1"/>
    <col min="6919" max="6919" width="12.28515625" style="72" customWidth="1"/>
    <col min="6920" max="6920" width="14.28515625" style="72" customWidth="1"/>
    <col min="6921" max="6921" width="15.140625" style="72" customWidth="1"/>
    <col min="6922" max="7156" width="9.140625" style="72"/>
    <col min="7157" max="7157" width="8.85546875" style="72" customWidth="1"/>
    <col min="7158" max="7158" width="34.140625" style="72" customWidth="1"/>
    <col min="7159" max="7159" width="17.7109375" style="72" bestFit="1" customWidth="1"/>
    <col min="7160" max="7160" width="12.28515625" style="72" customWidth="1"/>
    <col min="7161" max="7162" width="13" style="72" customWidth="1"/>
    <col min="7163" max="7163" width="12.28515625" style="72" customWidth="1"/>
    <col min="7164" max="7164" width="13.28515625" style="72" customWidth="1"/>
    <col min="7165" max="7165" width="12.28515625" style="72" customWidth="1"/>
    <col min="7166" max="7166" width="13.28515625" style="72" customWidth="1"/>
    <col min="7167" max="7167" width="12.28515625" style="72" customWidth="1"/>
    <col min="7168" max="7168" width="13.28515625" style="72" customWidth="1"/>
    <col min="7169" max="7169" width="12.28515625" style="72" customWidth="1"/>
    <col min="7170" max="7170" width="13.28515625" style="72" customWidth="1"/>
    <col min="7171" max="7171" width="12.28515625" style="72" customWidth="1"/>
    <col min="7172" max="7172" width="13.28515625" style="72" customWidth="1"/>
    <col min="7173" max="7173" width="12.28515625" style="72" customWidth="1"/>
    <col min="7174" max="7174" width="13.28515625" style="72" customWidth="1"/>
    <col min="7175" max="7175" width="12.28515625" style="72" customWidth="1"/>
    <col min="7176" max="7176" width="14.28515625" style="72" customWidth="1"/>
    <col min="7177" max="7177" width="15.140625" style="72" customWidth="1"/>
    <col min="7178" max="7412" width="9.140625" style="72"/>
    <col min="7413" max="7413" width="8.85546875" style="72" customWidth="1"/>
    <col min="7414" max="7414" width="34.140625" style="72" customWidth="1"/>
    <col min="7415" max="7415" width="17.7109375" style="72" bestFit="1" customWidth="1"/>
    <col min="7416" max="7416" width="12.28515625" style="72" customWidth="1"/>
    <col min="7417" max="7418" width="13" style="72" customWidth="1"/>
    <col min="7419" max="7419" width="12.28515625" style="72" customWidth="1"/>
    <col min="7420" max="7420" width="13.28515625" style="72" customWidth="1"/>
    <col min="7421" max="7421" width="12.28515625" style="72" customWidth="1"/>
    <col min="7422" max="7422" width="13.28515625" style="72" customWidth="1"/>
    <col min="7423" max="7423" width="12.28515625" style="72" customWidth="1"/>
    <col min="7424" max="7424" width="13.28515625" style="72" customWidth="1"/>
    <col min="7425" max="7425" width="12.28515625" style="72" customWidth="1"/>
    <col min="7426" max="7426" width="13.28515625" style="72" customWidth="1"/>
    <col min="7427" max="7427" width="12.28515625" style="72" customWidth="1"/>
    <col min="7428" max="7428" width="13.28515625" style="72" customWidth="1"/>
    <col min="7429" max="7429" width="12.28515625" style="72" customWidth="1"/>
    <col min="7430" max="7430" width="13.28515625" style="72" customWidth="1"/>
    <col min="7431" max="7431" width="12.28515625" style="72" customWidth="1"/>
    <col min="7432" max="7432" width="14.28515625" style="72" customWidth="1"/>
    <col min="7433" max="7433" width="15.140625" style="72" customWidth="1"/>
    <col min="7434" max="7668" width="9.140625" style="72"/>
    <col min="7669" max="7669" width="8.85546875" style="72" customWidth="1"/>
    <col min="7670" max="7670" width="34.140625" style="72" customWidth="1"/>
    <col min="7671" max="7671" width="17.7109375" style="72" bestFit="1" customWidth="1"/>
    <col min="7672" max="7672" width="12.28515625" style="72" customWidth="1"/>
    <col min="7673" max="7674" width="13" style="72" customWidth="1"/>
    <col min="7675" max="7675" width="12.28515625" style="72" customWidth="1"/>
    <col min="7676" max="7676" width="13.28515625" style="72" customWidth="1"/>
    <col min="7677" max="7677" width="12.28515625" style="72" customWidth="1"/>
    <col min="7678" max="7678" width="13.28515625" style="72" customWidth="1"/>
    <col min="7679" max="7679" width="12.28515625" style="72" customWidth="1"/>
    <col min="7680" max="7680" width="13.28515625" style="72" customWidth="1"/>
    <col min="7681" max="7681" width="12.28515625" style="72" customWidth="1"/>
    <col min="7682" max="7682" width="13.28515625" style="72" customWidth="1"/>
    <col min="7683" max="7683" width="12.28515625" style="72" customWidth="1"/>
    <col min="7684" max="7684" width="13.28515625" style="72" customWidth="1"/>
    <col min="7685" max="7685" width="12.28515625" style="72" customWidth="1"/>
    <col min="7686" max="7686" width="13.28515625" style="72" customWidth="1"/>
    <col min="7687" max="7687" width="12.28515625" style="72" customWidth="1"/>
    <col min="7688" max="7688" width="14.28515625" style="72" customWidth="1"/>
    <col min="7689" max="7689" width="15.140625" style="72" customWidth="1"/>
    <col min="7690" max="7924" width="9.140625" style="72"/>
    <col min="7925" max="7925" width="8.85546875" style="72" customWidth="1"/>
    <col min="7926" max="7926" width="34.140625" style="72" customWidth="1"/>
    <col min="7927" max="7927" width="17.7109375" style="72" bestFit="1" customWidth="1"/>
    <col min="7928" max="7928" width="12.28515625" style="72" customWidth="1"/>
    <col min="7929" max="7930" width="13" style="72" customWidth="1"/>
    <col min="7931" max="7931" width="12.28515625" style="72" customWidth="1"/>
    <col min="7932" max="7932" width="13.28515625" style="72" customWidth="1"/>
    <col min="7933" max="7933" width="12.28515625" style="72" customWidth="1"/>
    <col min="7934" max="7934" width="13.28515625" style="72" customWidth="1"/>
    <col min="7935" max="7935" width="12.28515625" style="72" customWidth="1"/>
    <col min="7936" max="7936" width="13.28515625" style="72" customWidth="1"/>
    <col min="7937" max="7937" width="12.28515625" style="72" customWidth="1"/>
    <col min="7938" max="7938" width="13.28515625" style="72" customWidth="1"/>
    <col min="7939" max="7939" width="12.28515625" style="72" customWidth="1"/>
    <col min="7940" max="7940" width="13.28515625" style="72" customWidth="1"/>
    <col min="7941" max="7941" width="12.28515625" style="72" customWidth="1"/>
    <col min="7942" max="7942" width="13.28515625" style="72" customWidth="1"/>
    <col min="7943" max="7943" width="12.28515625" style="72" customWidth="1"/>
    <col min="7944" max="7944" width="14.28515625" style="72" customWidth="1"/>
    <col min="7945" max="7945" width="15.140625" style="72" customWidth="1"/>
    <col min="7946" max="8180" width="9.140625" style="72"/>
    <col min="8181" max="8181" width="8.85546875" style="72" customWidth="1"/>
    <col min="8182" max="8182" width="34.140625" style="72" customWidth="1"/>
    <col min="8183" max="8183" width="17.7109375" style="72" bestFit="1" customWidth="1"/>
    <col min="8184" max="8184" width="12.28515625" style="72" customWidth="1"/>
    <col min="8185" max="8186" width="13" style="72" customWidth="1"/>
    <col min="8187" max="8187" width="12.28515625" style="72" customWidth="1"/>
    <col min="8188" max="8188" width="13.28515625" style="72" customWidth="1"/>
    <col min="8189" max="8189" width="12.28515625" style="72" customWidth="1"/>
    <col min="8190" max="8190" width="13.28515625" style="72" customWidth="1"/>
    <col min="8191" max="8191" width="12.28515625" style="72" customWidth="1"/>
    <col min="8192" max="8192" width="13.28515625" style="72" customWidth="1"/>
    <col min="8193" max="8193" width="12.28515625" style="72" customWidth="1"/>
    <col min="8194" max="8194" width="13.28515625" style="72" customWidth="1"/>
    <col min="8195" max="8195" width="12.28515625" style="72" customWidth="1"/>
    <col min="8196" max="8196" width="13.28515625" style="72" customWidth="1"/>
    <col min="8197" max="8197" width="12.28515625" style="72" customWidth="1"/>
    <col min="8198" max="8198" width="13.28515625" style="72" customWidth="1"/>
    <col min="8199" max="8199" width="12.28515625" style="72" customWidth="1"/>
    <col min="8200" max="8200" width="14.28515625" style="72" customWidth="1"/>
    <col min="8201" max="8201" width="15.140625" style="72" customWidth="1"/>
    <col min="8202" max="8436" width="9.140625" style="72"/>
    <col min="8437" max="8437" width="8.85546875" style="72" customWidth="1"/>
    <col min="8438" max="8438" width="34.140625" style="72" customWidth="1"/>
    <col min="8439" max="8439" width="17.7109375" style="72" bestFit="1" customWidth="1"/>
    <col min="8440" max="8440" width="12.28515625" style="72" customWidth="1"/>
    <col min="8441" max="8442" width="13" style="72" customWidth="1"/>
    <col min="8443" max="8443" width="12.28515625" style="72" customWidth="1"/>
    <col min="8444" max="8444" width="13.28515625" style="72" customWidth="1"/>
    <col min="8445" max="8445" width="12.28515625" style="72" customWidth="1"/>
    <col min="8446" max="8446" width="13.28515625" style="72" customWidth="1"/>
    <col min="8447" max="8447" width="12.28515625" style="72" customWidth="1"/>
    <col min="8448" max="8448" width="13.28515625" style="72" customWidth="1"/>
    <col min="8449" max="8449" width="12.28515625" style="72" customWidth="1"/>
    <col min="8450" max="8450" width="13.28515625" style="72" customWidth="1"/>
    <col min="8451" max="8451" width="12.28515625" style="72" customWidth="1"/>
    <col min="8452" max="8452" width="13.28515625" style="72" customWidth="1"/>
    <col min="8453" max="8453" width="12.28515625" style="72" customWidth="1"/>
    <col min="8454" max="8454" width="13.28515625" style="72" customWidth="1"/>
    <col min="8455" max="8455" width="12.28515625" style="72" customWidth="1"/>
    <col min="8456" max="8456" width="14.28515625" style="72" customWidth="1"/>
    <col min="8457" max="8457" width="15.140625" style="72" customWidth="1"/>
    <col min="8458" max="8692" width="9.140625" style="72"/>
    <col min="8693" max="8693" width="8.85546875" style="72" customWidth="1"/>
    <col min="8694" max="8694" width="34.140625" style="72" customWidth="1"/>
    <col min="8695" max="8695" width="17.7109375" style="72" bestFit="1" customWidth="1"/>
    <col min="8696" max="8696" width="12.28515625" style="72" customWidth="1"/>
    <col min="8697" max="8698" width="13" style="72" customWidth="1"/>
    <col min="8699" max="8699" width="12.28515625" style="72" customWidth="1"/>
    <col min="8700" max="8700" width="13.28515625" style="72" customWidth="1"/>
    <col min="8701" max="8701" width="12.28515625" style="72" customWidth="1"/>
    <col min="8702" max="8702" width="13.28515625" style="72" customWidth="1"/>
    <col min="8703" max="8703" width="12.28515625" style="72" customWidth="1"/>
    <col min="8704" max="8704" width="13.28515625" style="72" customWidth="1"/>
    <col min="8705" max="8705" width="12.28515625" style="72" customWidth="1"/>
    <col min="8706" max="8706" width="13.28515625" style="72" customWidth="1"/>
    <col min="8707" max="8707" width="12.28515625" style="72" customWidth="1"/>
    <col min="8708" max="8708" width="13.28515625" style="72" customWidth="1"/>
    <col min="8709" max="8709" width="12.28515625" style="72" customWidth="1"/>
    <col min="8710" max="8710" width="13.28515625" style="72" customWidth="1"/>
    <col min="8711" max="8711" width="12.28515625" style="72" customWidth="1"/>
    <col min="8712" max="8712" width="14.28515625" style="72" customWidth="1"/>
    <col min="8713" max="8713" width="15.140625" style="72" customWidth="1"/>
    <col min="8714" max="8948" width="9.140625" style="72"/>
    <col min="8949" max="8949" width="8.85546875" style="72" customWidth="1"/>
    <col min="8950" max="8950" width="34.140625" style="72" customWidth="1"/>
    <col min="8951" max="8951" width="17.7109375" style="72" bestFit="1" customWidth="1"/>
    <col min="8952" max="8952" width="12.28515625" style="72" customWidth="1"/>
    <col min="8953" max="8954" width="13" style="72" customWidth="1"/>
    <col min="8955" max="8955" width="12.28515625" style="72" customWidth="1"/>
    <col min="8956" max="8956" width="13.28515625" style="72" customWidth="1"/>
    <col min="8957" max="8957" width="12.28515625" style="72" customWidth="1"/>
    <col min="8958" max="8958" width="13.28515625" style="72" customWidth="1"/>
    <col min="8959" max="8959" width="12.28515625" style="72" customWidth="1"/>
    <col min="8960" max="8960" width="13.28515625" style="72" customWidth="1"/>
    <col min="8961" max="8961" width="12.28515625" style="72" customWidth="1"/>
    <col min="8962" max="8962" width="13.28515625" style="72" customWidth="1"/>
    <col min="8963" max="8963" width="12.28515625" style="72" customWidth="1"/>
    <col min="8964" max="8964" width="13.28515625" style="72" customWidth="1"/>
    <col min="8965" max="8965" width="12.28515625" style="72" customWidth="1"/>
    <col min="8966" max="8966" width="13.28515625" style="72" customWidth="1"/>
    <col min="8967" max="8967" width="12.28515625" style="72" customWidth="1"/>
    <col min="8968" max="8968" width="14.28515625" style="72" customWidth="1"/>
    <col min="8969" max="8969" width="15.140625" style="72" customWidth="1"/>
    <col min="8970" max="9204" width="9.140625" style="72"/>
    <col min="9205" max="9205" width="8.85546875" style="72" customWidth="1"/>
    <col min="9206" max="9206" width="34.140625" style="72" customWidth="1"/>
    <col min="9207" max="9207" width="17.7109375" style="72" bestFit="1" customWidth="1"/>
    <col min="9208" max="9208" width="12.28515625" style="72" customWidth="1"/>
    <col min="9209" max="9210" width="13" style="72" customWidth="1"/>
    <col min="9211" max="9211" width="12.28515625" style="72" customWidth="1"/>
    <col min="9212" max="9212" width="13.28515625" style="72" customWidth="1"/>
    <col min="9213" max="9213" width="12.28515625" style="72" customWidth="1"/>
    <col min="9214" max="9214" width="13.28515625" style="72" customWidth="1"/>
    <col min="9215" max="9215" width="12.28515625" style="72" customWidth="1"/>
    <col min="9216" max="9216" width="13.28515625" style="72" customWidth="1"/>
    <col min="9217" max="9217" width="12.28515625" style="72" customWidth="1"/>
    <col min="9218" max="9218" width="13.28515625" style="72" customWidth="1"/>
    <col min="9219" max="9219" width="12.28515625" style="72" customWidth="1"/>
    <col min="9220" max="9220" width="13.28515625" style="72" customWidth="1"/>
    <col min="9221" max="9221" width="12.28515625" style="72" customWidth="1"/>
    <col min="9222" max="9222" width="13.28515625" style="72" customWidth="1"/>
    <col min="9223" max="9223" width="12.28515625" style="72" customWidth="1"/>
    <col min="9224" max="9224" width="14.28515625" style="72" customWidth="1"/>
    <col min="9225" max="9225" width="15.140625" style="72" customWidth="1"/>
    <col min="9226" max="9460" width="9.140625" style="72"/>
    <col min="9461" max="9461" width="8.85546875" style="72" customWidth="1"/>
    <col min="9462" max="9462" width="34.140625" style="72" customWidth="1"/>
    <col min="9463" max="9463" width="17.7109375" style="72" bestFit="1" customWidth="1"/>
    <col min="9464" max="9464" width="12.28515625" style="72" customWidth="1"/>
    <col min="9465" max="9466" width="13" style="72" customWidth="1"/>
    <col min="9467" max="9467" width="12.28515625" style="72" customWidth="1"/>
    <col min="9468" max="9468" width="13.28515625" style="72" customWidth="1"/>
    <col min="9469" max="9469" width="12.28515625" style="72" customWidth="1"/>
    <col min="9470" max="9470" width="13.28515625" style="72" customWidth="1"/>
    <col min="9471" max="9471" width="12.28515625" style="72" customWidth="1"/>
    <col min="9472" max="9472" width="13.28515625" style="72" customWidth="1"/>
    <col min="9473" max="9473" width="12.28515625" style="72" customWidth="1"/>
    <col min="9474" max="9474" width="13.28515625" style="72" customWidth="1"/>
    <col min="9475" max="9475" width="12.28515625" style="72" customWidth="1"/>
    <col min="9476" max="9476" width="13.28515625" style="72" customWidth="1"/>
    <col min="9477" max="9477" width="12.28515625" style="72" customWidth="1"/>
    <col min="9478" max="9478" width="13.28515625" style="72" customWidth="1"/>
    <col min="9479" max="9479" width="12.28515625" style="72" customWidth="1"/>
    <col min="9480" max="9480" width="14.28515625" style="72" customWidth="1"/>
    <col min="9481" max="9481" width="15.140625" style="72" customWidth="1"/>
    <col min="9482" max="9716" width="9.140625" style="72"/>
    <col min="9717" max="9717" width="8.85546875" style="72" customWidth="1"/>
    <col min="9718" max="9718" width="34.140625" style="72" customWidth="1"/>
    <col min="9719" max="9719" width="17.7109375" style="72" bestFit="1" customWidth="1"/>
    <col min="9720" max="9720" width="12.28515625" style="72" customWidth="1"/>
    <col min="9721" max="9722" width="13" style="72" customWidth="1"/>
    <col min="9723" max="9723" width="12.28515625" style="72" customWidth="1"/>
    <col min="9724" max="9724" width="13.28515625" style="72" customWidth="1"/>
    <col min="9725" max="9725" width="12.28515625" style="72" customWidth="1"/>
    <col min="9726" max="9726" width="13.28515625" style="72" customWidth="1"/>
    <col min="9727" max="9727" width="12.28515625" style="72" customWidth="1"/>
    <col min="9728" max="9728" width="13.28515625" style="72" customWidth="1"/>
    <col min="9729" max="9729" width="12.28515625" style="72" customWidth="1"/>
    <col min="9730" max="9730" width="13.28515625" style="72" customWidth="1"/>
    <col min="9731" max="9731" width="12.28515625" style="72" customWidth="1"/>
    <col min="9732" max="9732" width="13.28515625" style="72" customWidth="1"/>
    <col min="9733" max="9733" width="12.28515625" style="72" customWidth="1"/>
    <col min="9734" max="9734" width="13.28515625" style="72" customWidth="1"/>
    <col min="9735" max="9735" width="12.28515625" style="72" customWidth="1"/>
    <col min="9736" max="9736" width="14.28515625" style="72" customWidth="1"/>
    <col min="9737" max="9737" width="15.140625" style="72" customWidth="1"/>
    <col min="9738" max="9972" width="9.140625" style="72"/>
    <col min="9973" max="9973" width="8.85546875" style="72" customWidth="1"/>
    <col min="9974" max="9974" width="34.140625" style="72" customWidth="1"/>
    <col min="9975" max="9975" width="17.7109375" style="72" bestFit="1" customWidth="1"/>
    <col min="9976" max="9976" width="12.28515625" style="72" customWidth="1"/>
    <col min="9977" max="9978" width="13" style="72" customWidth="1"/>
    <col min="9979" max="9979" width="12.28515625" style="72" customWidth="1"/>
    <col min="9980" max="9980" width="13.28515625" style="72" customWidth="1"/>
    <col min="9981" max="9981" width="12.28515625" style="72" customWidth="1"/>
    <col min="9982" max="9982" width="13.28515625" style="72" customWidth="1"/>
    <col min="9983" max="9983" width="12.28515625" style="72" customWidth="1"/>
    <col min="9984" max="9984" width="13.28515625" style="72" customWidth="1"/>
    <col min="9985" max="9985" width="12.28515625" style="72" customWidth="1"/>
    <col min="9986" max="9986" width="13.28515625" style="72" customWidth="1"/>
    <col min="9987" max="9987" width="12.28515625" style="72" customWidth="1"/>
    <col min="9988" max="9988" width="13.28515625" style="72" customWidth="1"/>
    <col min="9989" max="9989" width="12.28515625" style="72" customWidth="1"/>
    <col min="9990" max="9990" width="13.28515625" style="72" customWidth="1"/>
    <col min="9991" max="9991" width="12.28515625" style="72" customWidth="1"/>
    <col min="9992" max="9992" width="14.28515625" style="72" customWidth="1"/>
    <col min="9993" max="9993" width="15.140625" style="72" customWidth="1"/>
    <col min="9994" max="10228" width="9.140625" style="72"/>
    <col min="10229" max="10229" width="8.85546875" style="72" customWidth="1"/>
    <col min="10230" max="10230" width="34.140625" style="72" customWidth="1"/>
    <col min="10231" max="10231" width="17.7109375" style="72" bestFit="1" customWidth="1"/>
    <col min="10232" max="10232" width="12.28515625" style="72" customWidth="1"/>
    <col min="10233" max="10234" width="13" style="72" customWidth="1"/>
    <col min="10235" max="10235" width="12.28515625" style="72" customWidth="1"/>
    <col min="10236" max="10236" width="13.28515625" style="72" customWidth="1"/>
    <col min="10237" max="10237" width="12.28515625" style="72" customWidth="1"/>
    <col min="10238" max="10238" width="13.28515625" style="72" customWidth="1"/>
    <col min="10239" max="10239" width="12.28515625" style="72" customWidth="1"/>
    <col min="10240" max="10240" width="13.28515625" style="72" customWidth="1"/>
    <col min="10241" max="10241" width="12.28515625" style="72" customWidth="1"/>
    <col min="10242" max="10242" width="13.28515625" style="72" customWidth="1"/>
    <col min="10243" max="10243" width="12.28515625" style="72" customWidth="1"/>
    <col min="10244" max="10244" width="13.28515625" style="72" customWidth="1"/>
    <col min="10245" max="10245" width="12.28515625" style="72" customWidth="1"/>
    <col min="10246" max="10246" width="13.28515625" style="72" customWidth="1"/>
    <col min="10247" max="10247" width="12.28515625" style="72" customWidth="1"/>
    <col min="10248" max="10248" width="14.28515625" style="72" customWidth="1"/>
    <col min="10249" max="10249" width="15.140625" style="72" customWidth="1"/>
    <col min="10250" max="10484" width="9.140625" style="72"/>
    <col min="10485" max="10485" width="8.85546875" style="72" customWidth="1"/>
    <col min="10486" max="10486" width="34.140625" style="72" customWidth="1"/>
    <col min="10487" max="10487" width="17.7109375" style="72" bestFit="1" customWidth="1"/>
    <col min="10488" max="10488" width="12.28515625" style="72" customWidth="1"/>
    <col min="10489" max="10490" width="13" style="72" customWidth="1"/>
    <col min="10491" max="10491" width="12.28515625" style="72" customWidth="1"/>
    <col min="10492" max="10492" width="13.28515625" style="72" customWidth="1"/>
    <col min="10493" max="10493" width="12.28515625" style="72" customWidth="1"/>
    <col min="10494" max="10494" width="13.28515625" style="72" customWidth="1"/>
    <col min="10495" max="10495" width="12.28515625" style="72" customWidth="1"/>
    <col min="10496" max="10496" width="13.28515625" style="72" customWidth="1"/>
    <col min="10497" max="10497" width="12.28515625" style="72" customWidth="1"/>
    <col min="10498" max="10498" width="13.28515625" style="72" customWidth="1"/>
    <col min="10499" max="10499" width="12.28515625" style="72" customWidth="1"/>
    <col min="10500" max="10500" width="13.28515625" style="72" customWidth="1"/>
    <col min="10501" max="10501" width="12.28515625" style="72" customWidth="1"/>
    <col min="10502" max="10502" width="13.28515625" style="72" customWidth="1"/>
    <col min="10503" max="10503" width="12.28515625" style="72" customWidth="1"/>
    <col min="10504" max="10504" width="14.28515625" style="72" customWidth="1"/>
    <col min="10505" max="10505" width="15.140625" style="72" customWidth="1"/>
    <col min="10506" max="10740" width="9.140625" style="72"/>
    <col min="10741" max="10741" width="8.85546875" style="72" customWidth="1"/>
    <col min="10742" max="10742" width="34.140625" style="72" customWidth="1"/>
    <col min="10743" max="10743" width="17.7109375" style="72" bestFit="1" customWidth="1"/>
    <col min="10744" max="10744" width="12.28515625" style="72" customWidth="1"/>
    <col min="10745" max="10746" width="13" style="72" customWidth="1"/>
    <col min="10747" max="10747" width="12.28515625" style="72" customWidth="1"/>
    <col min="10748" max="10748" width="13.28515625" style="72" customWidth="1"/>
    <col min="10749" max="10749" width="12.28515625" style="72" customWidth="1"/>
    <col min="10750" max="10750" width="13.28515625" style="72" customWidth="1"/>
    <col min="10751" max="10751" width="12.28515625" style="72" customWidth="1"/>
    <col min="10752" max="10752" width="13.28515625" style="72" customWidth="1"/>
    <col min="10753" max="10753" width="12.28515625" style="72" customWidth="1"/>
    <col min="10754" max="10754" width="13.28515625" style="72" customWidth="1"/>
    <col min="10755" max="10755" width="12.28515625" style="72" customWidth="1"/>
    <col min="10756" max="10756" width="13.28515625" style="72" customWidth="1"/>
    <col min="10757" max="10757" width="12.28515625" style="72" customWidth="1"/>
    <col min="10758" max="10758" width="13.28515625" style="72" customWidth="1"/>
    <col min="10759" max="10759" width="12.28515625" style="72" customWidth="1"/>
    <col min="10760" max="10760" width="14.28515625" style="72" customWidth="1"/>
    <col min="10761" max="10761" width="15.140625" style="72" customWidth="1"/>
    <col min="10762" max="10996" width="9.140625" style="72"/>
    <col min="10997" max="10997" width="8.85546875" style="72" customWidth="1"/>
    <col min="10998" max="10998" width="34.140625" style="72" customWidth="1"/>
    <col min="10999" max="10999" width="17.7109375" style="72" bestFit="1" customWidth="1"/>
    <col min="11000" max="11000" width="12.28515625" style="72" customWidth="1"/>
    <col min="11001" max="11002" width="13" style="72" customWidth="1"/>
    <col min="11003" max="11003" width="12.28515625" style="72" customWidth="1"/>
    <col min="11004" max="11004" width="13.28515625" style="72" customWidth="1"/>
    <col min="11005" max="11005" width="12.28515625" style="72" customWidth="1"/>
    <col min="11006" max="11006" width="13.28515625" style="72" customWidth="1"/>
    <col min="11007" max="11007" width="12.28515625" style="72" customWidth="1"/>
    <col min="11008" max="11008" width="13.28515625" style="72" customWidth="1"/>
    <col min="11009" max="11009" width="12.28515625" style="72" customWidth="1"/>
    <col min="11010" max="11010" width="13.28515625" style="72" customWidth="1"/>
    <col min="11011" max="11011" width="12.28515625" style="72" customWidth="1"/>
    <col min="11012" max="11012" width="13.28515625" style="72" customWidth="1"/>
    <col min="11013" max="11013" width="12.28515625" style="72" customWidth="1"/>
    <col min="11014" max="11014" width="13.28515625" style="72" customWidth="1"/>
    <col min="11015" max="11015" width="12.28515625" style="72" customWidth="1"/>
    <col min="11016" max="11016" width="14.28515625" style="72" customWidth="1"/>
    <col min="11017" max="11017" width="15.140625" style="72" customWidth="1"/>
    <col min="11018" max="11252" width="9.140625" style="72"/>
    <col min="11253" max="11253" width="8.85546875" style="72" customWidth="1"/>
    <col min="11254" max="11254" width="34.140625" style="72" customWidth="1"/>
    <col min="11255" max="11255" width="17.7109375" style="72" bestFit="1" customWidth="1"/>
    <col min="11256" max="11256" width="12.28515625" style="72" customWidth="1"/>
    <col min="11257" max="11258" width="13" style="72" customWidth="1"/>
    <col min="11259" max="11259" width="12.28515625" style="72" customWidth="1"/>
    <col min="11260" max="11260" width="13.28515625" style="72" customWidth="1"/>
    <col min="11261" max="11261" width="12.28515625" style="72" customWidth="1"/>
    <col min="11262" max="11262" width="13.28515625" style="72" customWidth="1"/>
    <col min="11263" max="11263" width="12.28515625" style="72" customWidth="1"/>
    <col min="11264" max="11264" width="13.28515625" style="72" customWidth="1"/>
    <col min="11265" max="11265" width="12.28515625" style="72" customWidth="1"/>
    <col min="11266" max="11266" width="13.28515625" style="72" customWidth="1"/>
    <col min="11267" max="11267" width="12.28515625" style="72" customWidth="1"/>
    <col min="11268" max="11268" width="13.28515625" style="72" customWidth="1"/>
    <col min="11269" max="11269" width="12.28515625" style="72" customWidth="1"/>
    <col min="11270" max="11270" width="13.28515625" style="72" customWidth="1"/>
    <col min="11271" max="11271" width="12.28515625" style="72" customWidth="1"/>
    <col min="11272" max="11272" width="14.28515625" style="72" customWidth="1"/>
    <col min="11273" max="11273" width="15.140625" style="72" customWidth="1"/>
    <col min="11274" max="11508" width="9.140625" style="72"/>
    <col min="11509" max="11509" width="8.85546875" style="72" customWidth="1"/>
    <col min="11510" max="11510" width="34.140625" style="72" customWidth="1"/>
    <col min="11511" max="11511" width="17.7109375" style="72" bestFit="1" customWidth="1"/>
    <col min="11512" max="11512" width="12.28515625" style="72" customWidth="1"/>
    <col min="11513" max="11514" width="13" style="72" customWidth="1"/>
    <col min="11515" max="11515" width="12.28515625" style="72" customWidth="1"/>
    <col min="11516" max="11516" width="13.28515625" style="72" customWidth="1"/>
    <col min="11517" max="11517" width="12.28515625" style="72" customWidth="1"/>
    <col min="11518" max="11518" width="13.28515625" style="72" customWidth="1"/>
    <col min="11519" max="11519" width="12.28515625" style="72" customWidth="1"/>
    <col min="11520" max="11520" width="13.28515625" style="72" customWidth="1"/>
    <col min="11521" max="11521" width="12.28515625" style="72" customWidth="1"/>
    <col min="11522" max="11522" width="13.28515625" style="72" customWidth="1"/>
    <col min="11523" max="11523" width="12.28515625" style="72" customWidth="1"/>
    <col min="11524" max="11524" width="13.28515625" style="72" customWidth="1"/>
    <col min="11525" max="11525" width="12.28515625" style="72" customWidth="1"/>
    <col min="11526" max="11526" width="13.28515625" style="72" customWidth="1"/>
    <col min="11527" max="11527" width="12.28515625" style="72" customWidth="1"/>
    <col min="11528" max="11528" width="14.28515625" style="72" customWidth="1"/>
    <col min="11529" max="11529" width="15.140625" style="72" customWidth="1"/>
    <col min="11530" max="11764" width="9.140625" style="72"/>
    <col min="11765" max="11765" width="8.85546875" style="72" customWidth="1"/>
    <col min="11766" max="11766" width="34.140625" style="72" customWidth="1"/>
    <col min="11767" max="11767" width="17.7109375" style="72" bestFit="1" customWidth="1"/>
    <col min="11768" max="11768" width="12.28515625" style="72" customWidth="1"/>
    <col min="11769" max="11770" width="13" style="72" customWidth="1"/>
    <col min="11771" max="11771" width="12.28515625" style="72" customWidth="1"/>
    <col min="11772" max="11772" width="13.28515625" style="72" customWidth="1"/>
    <col min="11773" max="11773" width="12.28515625" style="72" customWidth="1"/>
    <col min="11774" max="11774" width="13.28515625" style="72" customWidth="1"/>
    <col min="11775" max="11775" width="12.28515625" style="72" customWidth="1"/>
    <col min="11776" max="11776" width="13.28515625" style="72" customWidth="1"/>
    <col min="11777" max="11777" width="12.28515625" style="72" customWidth="1"/>
    <col min="11778" max="11778" width="13.28515625" style="72" customWidth="1"/>
    <col min="11779" max="11779" width="12.28515625" style="72" customWidth="1"/>
    <col min="11780" max="11780" width="13.28515625" style="72" customWidth="1"/>
    <col min="11781" max="11781" width="12.28515625" style="72" customWidth="1"/>
    <col min="11782" max="11782" width="13.28515625" style="72" customWidth="1"/>
    <col min="11783" max="11783" width="12.28515625" style="72" customWidth="1"/>
    <col min="11784" max="11784" width="14.28515625" style="72" customWidth="1"/>
    <col min="11785" max="11785" width="15.140625" style="72" customWidth="1"/>
    <col min="11786" max="12020" width="9.140625" style="72"/>
    <col min="12021" max="12021" width="8.85546875" style="72" customWidth="1"/>
    <col min="12022" max="12022" width="34.140625" style="72" customWidth="1"/>
    <col min="12023" max="12023" width="17.7109375" style="72" bestFit="1" customWidth="1"/>
    <col min="12024" max="12024" width="12.28515625" style="72" customWidth="1"/>
    <col min="12025" max="12026" width="13" style="72" customWidth="1"/>
    <col min="12027" max="12027" width="12.28515625" style="72" customWidth="1"/>
    <col min="12028" max="12028" width="13.28515625" style="72" customWidth="1"/>
    <col min="12029" max="12029" width="12.28515625" style="72" customWidth="1"/>
    <col min="12030" max="12030" width="13.28515625" style="72" customWidth="1"/>
    <col min="12031" max="12031" width="12.28515625" style="72" customWidth="1"/>
    <col min="12032" max="12032" width="13.28515625" style="72" customWidth="1"/>
    <col min="12033" max="12033" width="12.28515625" style="72" customWidth="1"/>
    <col min="12034" max="12034" width="13.28515625" style="72" customWidth="1"/>
    <col min="12035" max="12035" width="12.28515625" style="72" customWidth="1"/>
    <col min="12036" max="12036" width="13.28515625" style="72" customWidth="1"/>
    <col min="12037" max="12037" width="12.28515625" style="72" customWidth="1"/>
    <col min="12038" max="12038" width="13.28515625" style="72" customWidth="1"/>
    <col min="12039" max="12039" width="12.28515625" style="72" customWidth="1"/>
    <col min="12040" max="12040" width="14.28515625" style="72" customWidth="1"/>
    <col min="12041" max="12041" width="15.140625" style="72" customWidth="1"/>
    <col min="12042" max="12276" width="9.140625" style="72"/>
    <col min="12277" max="12277" width="8.85546875" style="72" customWidth="1"/>
    <col min="12278" max="12278" width="34.140625" style="72" customWidth="1"/>
    <col min="12279" max="12279" width="17.7109375" style="72" bestFit="1" customWidth="1"/>
    <col min="12280" max="12280" width="12.28515625" style="72" customWidth="1"/>
    <col min="12281" max="12282" width="13" style="72" customWidth="1"/>
    <col min="12283" max="12283" width="12.28515625" style="72" customWidth="1"/>
    <col min="12284" max="12284" width="13.28515625" style="72" customWidth="1"/>
    <col min="12285" max="12285" width="12.28515625" style="72" customWidth="1"/>
    <col min="12286" max="12286" width="13.28515625" style="72" customWidth="1"/>
    <col min="12287" max="12287" width="12.28515625" style="72" customWidth="1"/>
    <col min="12288" max="12288" width="13.28515625" style="72" customWidth="1"/>
    <col min="12289" max="12289" width="12.28515625" style="72" customWidth="1"/>
    <col min="12290" max="12290" width="13.28515625" style="72" customWidth="1"/>
    <col min="12291" max="12291" width="12.28515625" style="72" customWidth="1"/>
    <col min="12292" max="12292" width="13.28515625" style="72" customWidth="1"/>
    <col min="12293" max="12293" width="12.28515625" style="72" customWidth="1"/>
    <col min="12294" max="12294" width="13.28515625" style="72" customWidth="1"/>
    <col min="12295" max="12295" width="12.28515625" style="72" customWidth="1"/>
    <col min="12296" max="12296" width="14.28515625" style="72" customWidth="1"/>
    <col min="12297" max="12297" width="15.140625" style="72" customWidth="1"/>
    <col min="12298" max="12532" width="9.140625" style="72"/>
    <col min="12533" max="12533" width="8.85546875" style="72" customWidth="1"/>
    <col min="12534" max="12534" width="34.140625" style="72" customWidth="1"/>
    <col min="12535" max="12535" width="17.7109375" style="72" bestFit="1" customWidth="1"/>
    <col min="12536" max="12536" width="12.28515625" style="72" customWidth="1"/>
    <col min="12537" max="12538" width="13" style="72" customWidth="1"/>
    <col min="12539" max="12539" width="12.28515625" style="72" customWidth="1"/>
    <col min="12540" max="12540" width="13.28515625" style="72" customWidth="1"/>
    <col min="12541" max="12541" width="12.28515625" style="72" customWidth="1"/>
    <col min="12542" max="12542" width="13.28515625" style="72" customWidth="1"/>
    <col min="12543" max="12543" width="12.28515625" style="72" customWidth="1"/>
    <col min="12544" max="12544" width="13.28515625" style="72" customWidth="1"/>
    <col min="12545" max="12545" width="12.28515625" style="72" customWidth="1"/>
    <col min="12546" max="12546" width="13.28515625" style="72" customWidth="1"/>
    <col min="12547" max="12547" width="12.28515625" style="72" customWidth="1"/>
    <col min="12548" max="12548" width="13.28515625" style="72" customWidth="1"/>
    <col min="12549" max="12549" width="12.28515625" style="72" customWidth="1"/>
    <col min="12550" max="12550" width="13.28515625" style="72" customWidth="1"/>
    <col min="12551" max="12551" width="12.28515625" style="72" customWidth="1"/>
    <col min="12552" max="12552" width="14.28515625" style="72" customWidth="1"/>
    <col min="12553" max="12553" width="15.140625" style="72" customWidth="1"/>
    <col min="12554" max="12788" width="9.140625" style="72"/>
    <col min="12789" max="12789" width="8.85546875" style="72" customWidth="1"/>
    <col min="12790" max="12790" width="34.140625" style="72" customWidth="1"/>
    <col min="12791" max="12791" width="17.7109375" style="72" bestFit="1" customWidth="1"/>
    <col min="12792" max="12792" width="12.28515625" style="72" customWidth="1"/>
    <col min="12793" max="12794" width="13" style="72" customWidth="1"/>
    <col min="12795" max="12795" width="12.28515625" style="72" customWidth="1"/>
    <col min="12796" max="12796" width="13.28515625" style="72" customWidth="1"/>
    <col min="12797" max="12797" width="12.28515625" style="72" customWidth="1"/>
    <col min="12798" max="12798" width="13.28515625" style="72" customWidth="1"/>
    <col min="12799" max="12799" width="12.28515625" style="72" customWidth="1"/>
    <col min="12800" max="12800" width="13.28515625" style="72" customWidth="1"/>
    <col min="12801" max="12801" width="12.28515625" style="72" customWidth="1"/>
    <col min="12802" max="12802" width="13.28515625" style="72" customWidth="1"/>
    <col min="12803" max="12803" width="12.28515625" style="72" customWidth="1"/>
    <col min="12804" max="12804" width="13.28515625" style="72" customWidth="1"/>
    <col min="12805" max="12805" width="12.28515625" style="72" customWidth="1"/>
    <col min="12806" max="12806" width="13.28515625" style="72" customWidth="1"/>
    <col min="12807" max="12807" width="12.28515625" style="72" customWidth="1"/>
    <col min="12808" max="12808" width="14.28515625" style="72" customWidth="1"/>
    <col min="12809" max="12809" width="15.140625" style="72" customWidth="1"/>
    <col min="12810" max="13044" width="9.140625" style="72"/>
    <col min="13045" max="13045" width="8.85546875" style="72" customWidth="1"/>
    <col min="13046" max="13046" width="34.140625" style="72" customWidth="1"/>
    <col min="13047" max="13047" width="17.7109375" style="72" bestFit="1" customWidth="1"/>
    <col min="13048" max="13048" width="12.28515625" style="72" customWidth="1"/>
    <col min="13049" max="13050" width="13" style="72" customWidth="1"/>
    <col min="13051" max="13051" width="12.28515625" style="72" customWidth="1"/>
    <col min="13052" max="13052" width="13.28515625" style="72" customWidth="1"/>
    <col min="13053" max="13053" width="12.28515625" style="72" customWidth="1"/>
    <col min="13054" max="13054" width="13.28515625" style="72" customWidth="1"/>
    <col min="13055" max="13055" width="12.28515625" style="72" customWidth="1"/>
    <col min="13056" max="13056" width="13.28515625" style="72" customWidth="1"/>
    <col min="13057" max="13057" width="12.28515625" style="72" customWidth="1"/>
    <col min="13058" max="13058" width="13.28515625" style="72" customWidth="1"/>
    <col min="13059" max="13059" width="12.28515625" style="72" customWidth="1"/>
    <col min="13060" max="13060" width="13.28515625" style="72" customWidth="1"/>
    <col min="13061" max="13061" width="12.28515625" style="72" customWidth="1"/>
    <col min="13062" max="13062" width="13.28515625" style="72" customWidth="1"/>
    <col min="13063" max="13063" width="12.28515625" style="72" customWidth="1"/>
    <col min="13064" max="13064" width="14.28515625" style="72" customWidth="1"/>
    <col min="13065" max="13065" width="15.140625" style="72" customWidth="1"/>
    <col min="13066" max="13300" width="9.140625" style="72"/>
    <col min="13301" max="13301" width="8.85546875" style="72" customWidth="1"/>
    <col min="13302" max="13302" width="34.140625" style="72" customWidth="1"/>
    <col min="13303" max="13303" width="17.7109375" style="72" bestFit="1" customWidth="1"/>
    <col min="13304" max="13304" width="12.28515625" style="72" customWidth="1"/>
    <col min="13305" max="13306" width="13" style="72" customWidth="1"/>
    <col min="13307" max="13307" width="12.28515625" style="72" customWidth="1"/>
    <col min="13308" max="13308" width="13.28515625" style="72" customWidth="1"/>
    <col min="13309" max="13309" width="12.28515625" style="72" customWidth="1"/>
    <col min="13310" max="13310" width="13.28515625" style="72" customWidth="1"/>
    <col min="13311" max="13311" width="12.28515625" style="72" customWidth="1"/>
    <col min="13312" max="13312" width="13.28515625" style="72" customWidth="1"/>
    <col min="13313" max="13313" width="12.28515625" style="72" customWidth="1"/>
    <col min="13314" max="13314" width="13.28515625" style="72" customWidth="1"/>
    <col min="13315" max="13315" width="12.28515625" style="72" customWidth="1"/>
    <col min="13316" max="13316" width="13.28515625" style="72" customWidth="1"/>
    <col min="13317" max="13317" width="12.28515625" style="72" customWidth="1"/>
    <col min="13318" max="13318" width="13.28515625" style="72" customWidth="1"/>
    <col min="13319" max="13319" width="12.28515625" style="72" customWidth="1"/>
    <col min="13320" max="13320" width="14.28515625" style="72" customWidth="1"/>
    <col min="13321" max="13321" width="15.140625" style="72" customWidth="1"/>
    <col min="13322" max="13556" width="9.140625" style="72"/>
    <col min="13557" max="13557" width="8.85546875" style="72" customWidth="1"/>
    <col min="13558" max="13558" width="34.140625" style="72" customWidth="1"/>
    <col min="13559" max="13559" width="17.7109375" style="72" bestFit="1" customWidth="1"/>
    <col min="13560" max="13560" width="12.28515625" style="72" customWidth="1"/>
    <col min="13561" max="13562" width="13" style="72" customWidth="1"/>
    <col min="13563" max="13563" width="12.28515625" style="72" customWidth="1"/>
    <col min="13564" max="13564" width="13.28515625" style="72" customWidth="1"/>
    <col min="13565" max="13565" width="12.28515625" style="72" customWidth="1"/>
    <col min="13566" max="13566" width="13.28515625" style="72" customWidth="1"/>
    <col min="13567" max="13567" width="12.28515625" style="72" customWidth="1"/>
    <col min="13568" max="13568" width="13.28515625" style="72" customWidth="1"/>
    <col min="13569" max="13569" width="12.28515625" style="72" customWidth="1"/>
    <col min="13570" max="13570" width="13.28515625" style="72" customWidth="1"/>
    <col min="13571" max="13571" width="12.28515625" style="72" customWidth="1"/>
    <col min="13572" max="13572" width="13.28515625" style="72" customWidth="1"/>
    <col min="13573" max="13573" width="12.28515625" style="72" customWidth="1"/>
    <col min="13574" max="13574" width="13.28515625" style="72" customWidth="1"/>
    <col min="13575" max="13575" width="12.28515625" style="72" customWidth="1"/>
    <col min="13576" max="13576" width="14.28515625" style="72" customWidth="1"/>
    <col min="13577" max="13577" width="15.140625" style="72" customWidth="1"/>
    <col min="13578" max="13812" width="9.140625" style="72"/>
    <col min="13813" max="13813" width="8.85546875" style="72" customWidth="1"/>
    <col min="13814" max="13814" width="34.140625" style="72" customWidth="1"/>
    <col min="13815" max="13815" width="17.7109375" style="72" bestFit="1" customWidth="1"/>
    <col min="13816" max="13816" width="12.28515625" style="72" customWidth="1"/>
    <col min="13817" max="13818" width="13" style="72" customWidth="1"/>
    <col min="13819" max="13819" width="12.28515625" style="72" customWidth="1"/>
    <col min="13820" max="13820" width="13.28515625" style="72" customWidth="1"/>
    <col min="13821" max="13821" width="12.28515625" style="72" customWidth="1"/>
    <col min="13822" max="13822" width="13.28515625" style="72" customWidth="1"/>
    <col min="13823" max="13823" width="12.28515625" style="72" customWidth="1"/>
    <col min="13824" max="13824" width="13.28515625" style="72" customWidth="1"/>
    <col min="13825" max="13825" width="12.28515625" style="72" customWidth="1"/>
    <col min="13826" max="13826" width="13.28515625" style="72" customWidth="1"/>
    <col min="13827" max="13827" width="12.28515625" style="72" customWidth="1"/>
    <col min="13828" max="13828" width="13.28515625" style="72" customWidth="1"/>
    <col min="13829" max="13829" width="12.28515625" style="72" customWidth="1"/>
    <col min="13830" max="13830" width="13.28515625" style="72" customWidth="1"/>
    <col min="13831" max="13831" width="12.28515625" style="72" customWidth="1"/>
    <col min="13832" max="13832" width="14.28515625" style="72" customWidth="1"/>
    <col min="13833" max="13833" width="15.140625" style="72" customWidth="1"/>
    <col min="13834" max="14068" width="9.140625" style="72"/>
    <col min="14069" max="14069" width="8.85546875" style="72" customWidth="1"/>
    <col min="14070" max="14070" width="34.140625" style="72" customWidth="1"/>
    <col min="14071" max="14071" width="17.7109375" style="72" bestFit="1" customWidth="1"/>
    <col min="14072" max="14072" width="12.28515625" style="72" customWidth="1"/>
    <col min="14073" max="14074" width="13" style="72" customWidth="1"/>
    <col min="14075" max="14075" width="12.28515625" style="72" customWidth="1"/>
    <col min="14076" max="14076" width="13.28515625" style="72" customWidth="1"/>
    <col min="14077" max="14077" width="12.28515625" style="72" customWidth="1"/>
    <col min="14078" max="14078" width="13.28515625" style="72" customWidth="1"/>
    <col min="14079" max="14079" width="12.28515625" style="72" customWidth="1"/>
    <col min="14080" max="14080" width="13.28515625" style="72" customWidth="1"/>
    <col min="14081" max="14081" width="12.28515625" style="72" customWidth="1"/>
    <col min="14082" max="14082" width="13.28515625" style="72" customWidth="1"/>
    <col min="14083" max="14083" width="12.28515625" style="72" customWidth="1"/>
    <col min="14084" max="14084" width="13.28515625" style="72" customWidth="1"/>
    <col min="14085" max="14085" width="12.28515625" style="72" customWidth="1"/>
    <col min="14086" max="14086" width="13.28515625" style="72" customWidth="1"/>
    <col min="14087" max="14087" width="12.28515625" style="72" customWidth="1"/>
    <col min="14088" max="14088" width="14.28515625" style="72" customWidth="1"/>
    <col min="14089" max="14089" width="15.140625" style="72" customWidth="1"/>
    <col min="14090" max="14324" width="9.140625" style="72"/>
    <col min="14325" max="14325" width="8.85546875" style="72" customWidth="1"/>
    <col min="14326" max="14326" width="34.140625" style="72" customWidth="1"/>
    <col min="14327" max="14327" width="17.7109375" style="72" bestFit="1" customWidth="1"/>
    <col min="14328" max="14328" width="12.28515625" style="72" customWidth="1"/>
    <col min="14329" max="14330" width="13" style="72" customWidth="1"/>
    <col min="14331" max="14331" width="12.28515625" style="72" customWidth="1"/>
    <col min="14332" max="14332" width="13.28515625" style="72" customWidth="1"/>
    <col min="14333" max="14333" width="12.28515625" style="72" customWidth="1"/>
    <col min="14334" max="14334" width="13.28515625" style="72" customWidth="1"/>
    <col min="14335" max="14335" width="12.28515625" style="72" customWidth="1"/>
    <col min="14336" max="14336" width="13.28515625" style="72" customWidth="1"/>
    <col min="14337" max="14337" width="12.28515625" style="72" customWidth="1"/>
    <col min="14338" max="14338" width="13.28515625" style="72" customWidth="1"/>
    <col min="14339" max="14339" width="12.28515625" style="72" customWidth="1"/>
    <col min="14340" max="14340" width="13.28515625" style="72" customWidth="1"/>
    <col min="14341" max="14341" width="12.28515625" style="72" customWidth="1"/>
    <col min="14342" max="14342" width="13.28515625" style="72" customWidth="1"/>
    <col min="14343" max="14343" width="12.28515625" style="72" customWidth="1"/>
    <col min="14344" max="14344" width="14.28515625" style="72" customWidth="1"/>
    <col min="14345" max="14345" width="15.140625" style="72" customWidth="1"/>
    <col min="14346" max="14580" width="9.140625" style="72"/>
    <col min="14581" max="14581" width="8.85546875" style="72" customWidth="1"/>
    <col min="14582" max="14582" width="34.140625" style="72" customWidth="1"/>
    <col min="14583" max="14583" width="17.7109375" style="72" bestFit="1" customWidth="1"/>
    <col min="14584" max="14584" width="12.28515625" style="72" customWidth="1"/>
    <col min="14585" max="14586" width="13" style="72" customWidth="1"/>
    <col min="14587" max="14587" width="12.28515625" style="72" customWidth="1"/>
    <col min="14588" max="14588" width="13.28515625" style="72" customWidth="1"/>
    <col min="14589" max="14589" width="12.28515625" style="72" customWidth="1"/>
    <col min="14590" max="14590" width="13.28515625" style="72" customWidth="1"/>
    <col min="14591" max="14591" width="12.28515625" style="72" customWidth="1"/>
    <col min="14592" max="14592" width="13.28515625" style="72" customWidth="1"/>
    <col min="14593" max="14593" width="12.28515625" style="72" customWidth="1"/>
    <col min="14594" max="14594" width="13.28515625" style="72" customWidth="1"/>
    <col min="14595" max="14595" width="12.28515625" style="72" customWidth="1"/>
    <col min="14596" max="14596" width="13.28515625" style="72" customWidth="1"/>
    <col min="14597" max="14597" width="12.28515625" style="72" customWidth="1"/>
    <col min="14598" max="14598" width="13.28515625" style="72" customWidth="1"/>
    <col min="14599" max="14599" width="12.28515625" style="72" customWidth="1"/>
    <col min="14600" max="14600" width="14.28515625" style="72" customWidth="1"/>
    <col min="14601" max="14601" width="15.140625" style="72" customWidth="1"/>
    <col min="14602" max="14836" width="9.140625" style="72"/>
    <col min="14837" max="14837" width="8.85546875" style="72" customWidth="1"/>
    <col min="14838" max="14838" width="34.140625" style="72" customWidth="1"/>
    <col min="14839" max="14839" width="17.7109375" style="72" bestFit="1" customWidth="1"/>
    <col min="14840" max="14840" width="12.28515625" style="72" customWidth="1"/>
    <col min="14841" max="14842" width="13" style="72" customWidth="1"/>
    <col min="14843" max="14843" width="12.28515625" style="72" customWidth="1"/>
    <col min="14844" max="14844" width="13.28515625" style="72" customWidth="1"/>
    <col min="14845" max="14845" width="12.28515625" style="72" customWidth="1"/>
    <col min="14846" max="14846" width="13.28515625" style="72" customWidth="1"/>
    <col min="14847" max="14847" width="12.28515625" style="72" customWidth="1"/>
    <col min="14848" max="14848" width="13.28515625" style="72" customWidth="1"/>
    <col min="14849" max="14849" width="12.28515625" style="72" customWidth="1"/>
    <col min="14850" max="14850" width="13.28515625" style="72" customWidth="1"/>
    <col min="14851" max="14851" width="12.28515625" style="72" customWidth="1"/>
    <col min="14852" max="14852" width="13.28515625" style="72" customWidth="1"/>
    <col min="14853" max="14853" width="12.28515625" style="72" customWidth="1"/>
    <col min="14854" max="14854" width="13.28515625" style="72" customWidth="1"/>
    <col min="14855" max="14855" width="12.28515625" style="72" customWidth="1"/>
    <col min="14856" max="14856" width="14.28515625" style="72" customWidth="1"/>
    <col min="14857" max="14857" width="15.140625" style="72" customWidth="1"/>
    <col min="14858" max="15092" width="9.140625" style="72"/>
    <col min="15093" max="15093" width="8.85546875" style="72" customWidth="1"/>
    <col min="15094" max="15094" width="34.140625" style="72" customWidth="1"/>
    <col min="15095" max="15095" width="17.7109375" style="72" bestFit="1" customWidth="1"/>
    <col min="15096" max="15096" width="12.28515625" style="72" customWidth="1"/>
    <col min="15097" max="15098" width="13" style="72" customWidth="1"/>
    <col min="15099" max="15099" width="12.28515625" style="72" customWidth="1"/>
    <col min="15100" max="15100" width="13.28515625" style="72" customWidth="1"/>
    <col min="15101" max="15101" width="12.28515625" style="72" customWidth="1"/>
    <col min="15102" max="15102" width="13.28515625" style="72" customWidth="1"/>
    <col min="15103" max="15103" width="12.28515625" style="72" customWidth="1"/>
    <col min="15104" max="15104" width="13.28515625" style="72" customWidth="1"/>
    <col min="15105" max="15105" width="12.28515625" style="72" customWidth="1"/>
    <col min="15106" max="15106" width="13.28515625" style="72" customWidth="1"/>
    <col min="15107" max="15107" width="12.28515625" style="72" customWidth="1"/>
    <col min="15108" max="15108" width="13.28515625" style="72" customWidth="1"/>
    <col min="15109" max="15109" width="12.28515625" style="72" customWidth="1"/>
    <col min="15110" max="15110" width="13.28515625" style="72" customWidth="1"/>
    <col min="15111" max="15111" width="12.28515625" style="72" customWidth="1"/>
    <col min="15112" max="15112" width="14.28515625" style="72" customWidth="1"/>
    <col min="15113" max="15113" width="15.140625" style="72" customWidth="1"/>
    <col min="15114" max="15348" width="9.140625" style="72"/>
    <col min="15349" max="15349" width="8.85546875" style="72" customWidth="1"/>
    <col min="15350" max="15350" width="34.140625" style="72" customWidth="1"/>
    <col min="15351" max="15351" width="17.7109375" style="72" bestFit="1" customWidth="1"/>
    <col min="15352" max="15352" width="12.28515625" style="72" customWidth="1"/>
    <col min="15353" max="15354" width="13" style="72" customWidth="1"/>
    <col min="15355" max="15355" width="12.28515625" style="72" customWidth="1"/>
    <col min="15356" max="15356" width="13.28515625" style="72" customWidth="1"/>
    <col min="15357" max="15357" width="12.28515625" style="72" customWidth="1"/>
    <col min="15358" max="15358" width="13.28515625" style="72" customWidth="1"/>
    <col min="15359" max="15359" width="12.28515625" style="72" customWidth="1"/>
    <col min="15360" max="15360" width="13.28515625" style="72" customWidth="1"/>
    <col min="15361" max="15361" width="12.28515625" style="72" customWidth="1"/>
    <col min="15362" max="15362" width="13.28515625" style="72" customWidth="1"/>
    <col min="15363" max="15363" width="12.28515625" style="72" customWidth="1"/>
    <col min="15364" max="15364" width="13.28515625" style="72" customWidth="1"/>
    <col min="15365" max="15365" width="12.28515625" style="72" customWidth="1"/>
    <col min="15366" max="15366" width="13.28515625" style="72" customWidth="1"/>
    <col min="15367" max="15367" width="12.28515625" style="72" customWidth="1"/>
    <col min="15368" max="15368" width="14.28515625" style="72" customWidth="1"/>
    <col min="15369" max="15369" width="15.140625" style="72" customWidth="1"/>
    <col min="15370" max="15604" width="9.140625" style="72"/>
    <col min="15605" max="15605" width="8.85546875" style="72" customWidth="1"/>
    <col min="15606" max="15606" width="34.140625" style="72" customWidth="1"/>
    <col min="15607" max="15607" width="17.7109375" style="72" bestFit="1" customWidth="1"/>
    <col min="15608" max="15608" width="12.28515625" style="72" customWidth="1"/>
    <col min="15609" max="15610" width="13" style="72" customWidth="1"/>
    <col min="15611" max="15611" width="12.28515625" style="72" customWidth="1"/>
    <col min="15612" max="15612" width="13.28515625" style="72" customWidth="1"/>
    <col min="15613" max="15613" width="12.28515625" style="72" customWidth="1"/>
    <col min="15614" max="15614" width="13.28515625" style="72" customWidth="1"/>
    <col min="15615" max="15615" width="12.28515625" style="72" customWidth="1"/>
    <col min="15616" max="15616" width="13.28515625" style="72" customWidth="1"/>
    <col min="15617" max="15617" width="12.28515625" style="72" customWidth="1"/>
    <col min="15618" max="15618" width="13.28515625" style="72" customWidth="1"/>
    <col min="15619" max="15619" width="12.28515625" style="72" customWidth="1"/>
    <col min="15620" max="15620" width="13.28515625" style="72" customWidth="1"/>
    <col min="15621" max="15621" width="12.28515625" style="72" customWidth="1"/>
    <col min="15622" max="15622" width="13.28515625" style="72" customWidth="1"/>
    <col min="15623" max="15623" width="12.28515625" style="72" customWidth="1"/>
    <col min="15624" max="15624" width="14.28515625" style="72" customWidth="1"/>
    <col min="15625" max="15625" width="15.140625" style="72" customWidth="1"/>
    <col min="15626" max="15860" width="9.140625" style="72"/>
    <col min="15861" max="15861" width="8.85546875" style="72" customWidth="1"/>
    <col min="15862" max="15862" width="34.140625" style="72" customWidth="1"/>
    <col min="15863" max="15863" width="17.7109375" style="72" bestFit="1" customWidth="1"/>
    <col min="15864" max="15864" width="12.28515625" style="72" customWidth="1"/>
    <col min="15865" max="15866" width="13" style="72" customWidth="1"/>
    <col min="15867" max="15867" width="12.28515625" style="72" customWidth="1"/>
    <col min="15868" max="15868" width="13.28515625" style="72" customWidth="1"/>
    <col min="15869" max="15869" width="12.28515625" style="72" customWidth="1"/>
    <col min="15870" max="15870" width="13.28515625" style="72" customWidth="1"/>
    <col min="15871" max="15871" width="12.28515625" style="72" customWidth="1"/>
    <col min="15872" max="15872" width="13.28515625" style="72" customWidth="1"/>
    <col min="15873" max="15873" width="12.28515625" style="72" customWidth="1"/>
    <col min="15874" max="15874" width="13.28515625" style="72" customWidth="1"/>
    <col min="15875" max="15875" width="12.28515625" style="72" customWidth="1"/>
    <col min="15876" max="15876" width="13.28515625" style="72" customWidth="1"/>
    <col min="15877" max="15877" width="12.28515625" style="72" customWidth="1"/>
    <col min="15878" max="15878" width="13.28515625" style="72" customWidth="1"/>
    <col min="15879" max="15879" width="12.28515625" style="72" customWidth="1"/>
    <col min="15880" max="15880" width="14.28515625" style="72" customWidth="1"/>
    <col min="15881" max="15881" width="15.140625" style="72" customWidth="1"/>
    <col min="15882" max="16116" width="9.140625" style="72"/>
    <col min="16117" max="16117" width="8.85546875" style="72" customWidth="1"/>
    <col min="16118" max="16118" width="34.140625" style="72" customWidth="1"/>
    <col min="16119" max="16119" width="17.7109375" style="72" bestFit="1" customWidth="1"/>
    <col min="16120" max="16120" width="12.28515625" style="72" customWidth="1"/>
    <col min="16121" max="16122" width="13" style="72" customWidth="1"/>
    <col min="16123" max="16123" width="12.28515625" style="72" customWidth="1"/>
    <col min="16124" max="16124" width="13.28515625" style="72" customWidth="1"/>
    <col min="16125" max="16125" width="12.28515625" style="72" customWidth="1"/>
    <col min="16126" max="16126" width="13.28515625" style="72" customWidth="1"/>
    <col min="16127" max="16127" width="12.28515625" style="72" customWidth="1"/>
    <col min="16128" max="16128" width="13.28515625" style="72" customWidth="1"/>
    <col min="16129" max="16129" width="12.28515625" style="72" customWidth="1"/>
    <col min="16130" max="16130" width="13.28515625" style="72" customWidth="1"/>
    <col min="16131" max="16131" width="12.28515625" style="72" customWidth="1"/>
    <col min="16132" max="16132" width="13.28515625" style="72" customWidth="1"/>
    <col min="16133" max="16133" width="12.28515625" style="72" customWidth="1"/>
    <col min="16134" max="16134" width="13.28515625" style="72" customWidth="1"/>
    <col min="16135" max="16135" width="12.28515625" style="72" customWidth="1"/>
    <col min="16136" max="16136" width="14.28515625" style="72" customWidth="1"/>
    <col min="16137" max="16137" width="15.140625" style="72" customWidth="1"/>
    <col min="16138" max="16384" width="9.140625" style="72"/>
  </cols>
  <sheetData>
    <row r="1" spans="1:242" ht="18" customHeight="1" x14ac:dyDescent="0.25"/>
    <row r="2" spans="1:242" s="76" customFormat="1" ht="39.75" customHeight="1" x14ac:dyDescent="0.2">
      <c r="A2" s="215"/>
      <c r="B2" s="215"/>
      <c r="C2" s="215"/>
      <c r="D2" s="215"/>
      <c r="E2" s="215"/>
      <c r="F2" s="215"/>
      <c r="G2" s="215"/>
    </row>
    <row r="3" spans="1:242" s="56" customFormat="1" ht="18.75" x14ac:dyDescent="0.2">
      <c r="A3" s="633" t="s">
        <v>1151</v>
      </c>
      <c r="B3" s="633"/>
      <c r="C3" s="633"/>
      <c r="D3" s="633"/>
      <c r="E3" s="633"/>
      <c r="F3" s="633"/>
      <c r="G3" s="633"/>
      <c r="H3" s="11"/>
      <c r="I3" s="11"/>
      <c r="J3" s="11"/>
      <c r="K3" s="11"/>
      <c r="L3" s="11"/>
      <c r="M3" s="11"/>
    </row>
    <row r="4" spans="1:242" s="56" customFormat="1" ht="18.75" x14ac:dyDescent="0.2">
      <c r="A4" s="633" t="s">
        <v>1152</v>
      </c>
      <c r="B4" s="633"/>
      <c r="C4" s="633"/>
      <c r="D4" s="633"/>
      <c r="E4" s="633"/>
      <c r="F4" s="633"/>
      <c r="G4" s="633"/>
      <c r="H4" s="11"/>
      <c r="I4" s="11"/>
      <c r="J4" s="11"/>
      <c r="K4" s="11"/>
      <c r="L4" s="11"/>
      <c r="M4" s="11"/>
    </row>
    <row r="5" spans="1:242" s="56" customFormat="1" ht="18.75" x14ac:dyDescent="0.2">
      <c r="A5" s="633" t="s">
        <v>1154</v>
      </c>
      <c r="B5" s="633"/>
      <c r="C5" s="633"/>
      <c r="D5" s="633"/>
      <c r="E5" s="633"/>
      <c r="F5" s="633"/>
      <c r="G5" s="633"/>
      <c r="H5" s="11"/>
      <c r="I5" s="11"/>
      <c r="J5" s="11"/>
      <c r="K5" s="11"/>
      <c r="L5" s="11"/>
      <c r="M5" s="11"/>
    </row>
    <row r="6" spans="1:242" s="56" customFormat="1" ht="18.75" x14ac:dyDescent="0.2">
      <c r="A6" s="633" t="s">
        <v>154</v>
      </c>
      <c r="B6" s="633"/>
      <c r="C6" s="633"/>
      <c r="D6" s="633"/>
      <c r="E6" s="633"/>
      <c r="F6" s="633"/>
      <c r="G6" s="633"/>
      <c r="H6" s="11"/>
      <c r="I6" s="11"/>
      <c r="J6" s="11"/>
      <c r="K6" s="11"/>
      <c r="L6" s="11"/>
      <c r="M6" s="11"/>
      <c r="N6" s="11"/>
    </row>
    <row r="7" spans="1:242" s="50" customFormat="1" ht="25.5" x14ac:dyDescent="0.2">
      <c r="A7" s="221" t="s">
        <v>99</v>
      </c>
      <c r="B7" s="397" t="s">
        <v>12768</v>
      </c>
      <c r="C7" s="95"/>
      <c r="D7" s="95"/>
      <c r="E7" s="233" t="s">
        <v>60</v>
      </c>
      <c r="F7" s="671">
        <f>'014-22-CAPA'!E20</f>
        <v>45478</v>
      </c>
      <c r="G7" s="671"/>
      <c r="H7" s="49"/>
    </row>
    <row r="8" spans="1:242" s="50" customFormat="1" ht="15.75" customHeight="1" x14ac:dyDescent="0.2">
      <c r="A8" s="221" t="s">
        <v>13</v>
      </c>
      <c r="B8" s="397" t="s">
        <v>4273</v>
      </c>
      <c r="C8" s="221" t="s">
        <v>16</v>
      </c>
      <c r="D8" s="93" t="str">
        <f>'014-22-CCU''s'!H7</f>
        <v>PROJ-DE-034-20</v>
      </c>
      <c r="E8" s="233" t="s">
        <v>3418</v>
      </c>
      <c r="F8" s="672" t="str">
        <f>'014-22-CCU''s'!H8</f>
        <v>SINAPI MAIO 2024</v>
      </c>
      <c r="G8" s="672"/>
      <c r="H8" s="49"/>
    </row>
    <row r="9" spans="1:242" s="50" customFormat="1" ht="25.5" x14ac:dyDescent="0.2">
      <c r="A9" s="221" t="s">
        <v>100</v>
      </c>
      <c r="B9" s="220" t="str">
        <f>'014-22-CCU''s'!C8</f>
        <v>horista=110,14% / mensalista=70,04%</v>
      </c>
      <c r="C9" s="95"/>
      <c r="D9" s="235" t="s">
        <v>12741</v>
      </c>
      <c r="E9" s="95"/>
      <c r="F9" s="235"/>
      <c r="G9" s="235"/>
      <c r="H9" s="49"/>
    </row>
    <row r="10" spans="1:242" s="78" customFormat="1" ht="12.75" thickBot="1" x14ac:dyDescent="0.3">
      <c r="A10" s="214"/>
      <c r="B10" s="214"/>
      <c r="C10" s="77"/>
      <c r="D10" s="77"/>
      <c r="E10" s="77"/>
      <c r="F10" s="77"/>
      <c r="G10" s="77"/>
    </row>
    <row r="11" spans="1:242" ht="22.5" x14ac:dyDescent="0.2">
      <c r="A11" s="172" t="s">
        <v>0</v>
      </c>
      <c r="B11" s="173" t="s">
        <v>135</v>
      </c>
      <c r="C11" s="173" t="s">
        <v>136</v>
      </c>
      <c r="D11" s="174" t="s">
        <v>1923</v>
      </c>
      <c r="E11" s="174" t="s">
        <v>1924</v>
      </c>
      <c r="F11" s="174" t="s">
        <v>1925</v>
      </c>
      <c r="G11" s="699" t="s">
        <v>3417</v>
      </c>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c r="BP11" s="71"/>
      <c r="BQ11" s="71"/>
      <c r="BR11" s="71"/>
      <c r="BS11" s="71"/>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c r="DQ11" s="71"/>
      <c r="DR11" s="71"/>
      <c r="DS11" s="71"/>
      <c r="DT11" s="71"/>
      <c r="DU11" s="71"/>
      <c r="DV11" s="71"/>
      <c r="DW11" s="71"/>
      <c r="DX11" s="71"/>
      <c r="DY11" s="71"/>
      <c r="DZ11" s="71"/>
      <c r="EA11" s="71"/>
      <c r="EB11" s="71"/>
      <c r="EC11" s="71"/>
      <c r="ED11" s="71"/>
      <c r="EE11" s="71"/>
      <c r="EF11" s="71"/>
      <c r="EG11" s="71"/>
      <c r="EH11" s="71"/>
      <c r="EI11" s="71"/>
      <c r="EJ11" s="71"/>
      <c r="EK11" s="71"/>
      <c r="EL11" s="71"/>
      <c r="EM11" s="71"/>
      <c r="EN11" s="71"/>
      <c r="EO11" s="71"/>
      <c r="EP11" s="71"/>
      <c r="EQ11" s="71"/>
      <c r="ER11" s="71"/>
      <c r="ES11" s="71"/>
      <c r="ET11" s="71"/>
      <c r="EU11" s="71"/>
      <c r="EV11" s="71"/>
      <c r="EW11" s="71"/>
      <c r="EX11" s="71"/>
      <c r="EY11" s="71"/>
      <c r="EZ11" s="71"/>
      <c r="FA11" s="71"/>
      <c r="FB11" s="71"/>
      <c r="FC11" s="71"/>
      <c r="FD11" s="71"/>
      <c r="FE11" s="71"/>
      <c r="FF11" s="71"/>
      <c r="FG11" s="71"/>
      <c r="FH11" s="71"/>
      <c r="FI11" s="71"/>
      <c r="FJ11" s="71"/>
      <c r="FK11" s="71"/>
      <c r="FL11" s="71"/>
      <c r="FM11" s="71"/>
      <c r="FN11" s="71"/>
      <c r="FO11" s="71"/>
      <c r="FP11" s="71"/>
      <c r="FQ11" s="71"/>
      <c r="FR11" s="71"/>
      <c r="FS11" s="71"/>
      <c r="FT11" s="71"/>
      <c r="FU11" s="71"/>
      <c r="FV11" s="71"/>
      <c r="FW11" s="71"/>
      <c r="FX11" s="71"/>
      <c r="FY11" s="71"/>
      <c r="FZ11" s="71"/>
      <c r="GA11" s="71"/>
      <c r="GB11" s="71"/>
      <c r="GC11" s="71"/>
      <c r="GD11" s="71"/>
      <c r="GE11" s="71"/>
      <c r="GF11" s="71"/>
      <c r="GG11" s="71"/>
      <c r="GH11" s="71"/>
      <c r="GI11" s="71"/>
      <c r="GJ11" s="71"/>
      <c r="GK11" s="71"/>
      <c r="GL11" s="71"/>
      <c r="GM11" s="71"/>
      <c r="GN11" s="71"/>
      <c r="GO11" s="71"/>
      <c r="GP11" s="71"/>
      <c r="GQ11" s="71"/>
      <c r="GR11" s="71"/>
      <c r="GS11" s="71"/>
      <c r="GT11" s="71"/>
      <c r="GU11" s="71"/>
      <c r="GV11" s="71"/>
      <c r="GW11" s="71"/>
      <c r="GX11" s="71"/>
      <c r="GY11" s="71"/>
      <c r="GZ11" s="71"/>
      <c r="HA11" s="71"/>
      <c r="HB11" s="71"/>
      <c r="HC11" s="71"/>
      <c r="HD11" s="71"/>
      <c r="HE11" s="71"/>
      <c r="HF11" s="71"/>
      <c r="HG11" s="71"/>
      <c r="HH11" s="71"/>
      <c r="HI11" s="71"/>
      <c r="HJ11" s="71"/>
      <c r="HK11" s="71"/>
      <c r="HL11" s="71"/>
      <c r="HM11" s="71"/>
      <c r="HN11" s="71"/>
      <c r="HO11" s="71"/>
      <c r="HP11" s="71"/>
      <c r="HQ11" s="71"/>
      <c r="HR11" s="71"/>
      <c r="HS11" s="71"/>
      <c r="HT11" s="71"/>
      <c r="HU11" s="71"/>
      <c r="HV11" s="71"/>
      <c r="HW11" s="71"/>
      <c r="HX11" s="71"/>
      <c r="HY11" s="71"/>
      <c r="HZ11" s="71"/>
      <c r="IA11" s="71"/>
      <c r="IB11" s="71"/>
      <c r="IC11" s="71"/>
      <c r="ID11" s="71"/>
      <c r="IE11" s="71"/>
      <c r="IF11" s="71"/>
      <c r="IG11" s="71"/>
      <c r="IH11" s="71"/>
    </row>
    <row r="12" spans="1:242" ht="12.75" x14ac:dyDescent="0.25">
      <c r="A12" s="665" t="s">
        <v>71</v>
      </c>
      <c r="B12" s="667" t="s">
        <v>137</v>
      </c>
      <c r="C12" s="669">
        <f>'014.01-22-ORÇAMENTO'!J17</f>
        <v>301.841904</v>
      </c>
      <c r="D12" s="225">
        <v>1</v>
      </c>
      <c r="E12" s="225"/>
      <c r="F12" s="225"/>
      <c r="G12" s="700"/>
      <c r="H12" s="73"/>
      <c r="I12" s="351">
        <f>SUM(D12:G12)</f>
        <v>1</v>
      </c>
      <c r="J12" s="74"/>
    </row>
    <row r="13" spans="1:242" ht="12.75" x14ac:dyDescent="0.25">
      <c r="A13" s="657"/>
      <c r="B13" s="660"/>
      <c r="C13" s="663"/>
      <c r="D13" s="236"/>
      <c r="E13" s="237"/>
      <c r="F13" s="237"/>
      <c r="G13" s="701"/>
      <c r="H13" s="354">
        <f>C12/$C$33</f>
        <v>1.5878420020310697E-4</v>
      </c>
      <c r="I13" s="351"/>
    </row>
    <row r="14" spans="1:242" ht="12.75" x14ac:dyDescent="0.25">
      <c r="A14" s="666"/>
      <c r="B14" s="668"/>
      <c r="C14" s="670"/>
      <c r="D14" s="348">
        <f>$C$12*D12</f>
        <v>301.841904</v>
      </c>
      <c r="E14" s="348"/>
      <c r="F14" s="348"/>
      <c r="G14" s="702"/>
      <c r="I14" s="351">
        <f>SUM(D14:G14)</f>
        <v>301.841904</v>
      </c>
      <c r="J14" s="131">
        <f>I14-C12</f>
        <v>0</v>
      </c>
    </row>
    <row r="15" spans="1:242" ht="12.75" x14ac:dyDescent="0.25">
      <c r="A15" s="656" t="s">
        <v>76</v>
      </c>
      <c r="B15" s="659" t="s">
        <v>3</v>
      </c>
      <c r="C15" s="662">
        <f>'014.01-22-ORÇAMENTO'!J88</f>
        <v>448441.12441017188</v>
      </c>
      <c r="D15" s="227">
        <v>1</v>
      </c>
      <c r="E15" s="350"/>
      <c r="F15" s="350"/>
      <c r="G15" s="700"/>
      <c r="H15" s="73"/>
      <c r="I15" s="351">
        <f>SUM(D15:G15)</f>
        <v>1</v>
      </c>
      <c r="J15" s="131"/>
    </row>
    <row r="16" spans="1:242" ht="12.75" x14ac:dyDescent="0.25">
      <c r="A16" s="657"/>
      <c r="B16" s="660"/>
      <c r="C16" s="663"/>
      <c r="D16" s="236"/>
      <c r="E16" s="236"/>
      <c r="F16" s="236"/>
      <c r="G16" s="703"/>
      <c r="H16" s="354">
        <f>C15/$C$33</f>
        <v>0.23590284958463267</v>
      </c>
      <c r="I16" s="351"/>
      <c r="J16" s="131"/>
    </row>
    <row r="17" spans="1:10" ht="12.75" x14ac:dyDescent="0.25">
      <c r="A17" s="658"/>
      <c r="B17" s="661"/>
      <c r="C17" s="664"/>
      <c r="D17" s="349">
        <f>$C$15*D15</f>
        <v>448441.12441017188</v>
      </c>
      <c r="E17" s="349"/>
      <c r="F17" s="349"/>
      <c r="G17" s="704"/>
      <c r="I17" s="351">
        <f>SUM(D17:G17)</f>
        <v>448441.12441017188</v>
      </c>
      <c r="J17" s="131">
        <f>I17-C15</f>
        <v>0</v>
      </c>
    </row>
    <row r="18" spans="1:10" ht="12.75" x14ac:dyDescent="0.25">
      <c r="A18" s="665" t="s">
        <v>138</v>
      </c>
      <c r="B18" s="667" t="s">
        <v>139</v>
      </c>
      <c r="C18" s="669">
        <f>'014.01-22-ORÇAMENTO'!J120</f>
        <v>16419.838626254572</v>
      </c>
      <c r="D18" s="226">
        <v>0.7</v>
      </c>
      <c r="E18" s="226">
        <v>0.3</v>
      </c>
      <c r="F18" s="226"/>
      <c r="G18" s="700"/>
      <c r="H18" s="73"/>
      <c r="I18" s="351">
        <f>SUM(D18:G18)</f>
        <v>1</v>
      </c>
      <c r="J18" s="131"/>
    </row>
    <row r="19" spans="1:10" ht="12.75" x14ac:dyDescent="0.25">
      <c r="A19" s="657"/>
      <c r="B19" s="660"/>
      <c r="C19" s="663"/>
      <c r="D19" s="236"/>
      <c r="E19" s="236"/>
      <c r="F19" s="236"/>
      <c r="G19" s="701"/>
      <c r="H19" s="354">
        <f>C18/$C$33</f>
        <v>8.6376706122749444E-3</v>
      </c>
      <c r="I19" s="351"/>
      <c r="J19" s="131"/>
    </row>
    <row r="20" spans="1:10" ht="12.75" x14ac:dyDescent="0.25">
      <c r="A20" s="666"/>
      <c r="B20" s="668"/>
      <c r="C20" s="670"/>
      <c r="D20" s="348">
        <f>$C$18*D18</f>
        <v>11493.8870383782</v>
      </c>
      <c r="E20" s="348">
        <f>$C$18*E18</f>
        <v>4925.9515878763714</v>
      </c>
      <c r="F20" s="348"/>
      <c r="G20" s="702"/>
      <c r="I20" s="351">
        <f>SUM(D20:G20)</f>
        <v>16419.838626254572</v>
      </c>
      <c r="J20" s="131">
        <f>I20-C18</f>
        <v>0</v>
      </c>
    </row>
    <row r="21" spans="1:10" ht="12.75" x14ac:dyDescent="0.25">
      <c r="A21" s="656" t="s">
        <v>140</v>
      </c>
      <c r="B21" s="659" t="s">
        <v>141</v>
      </c>
      <c r="C21" s="662">
        <f>'014.01-22-ORÇAMENTO'!J188</f>
        <v>1196790.6621217278</v>
      </c>
      <c r="D21" s="226"/>
      <c r="E21" s="226">
        <v>0.45</v>
      </c>
      <c r="F21" s="226">
        <v>0.3</v>
      </c>
      <c r="G21" s="700">
        <v>0.25</v>
      </c>
      <c r="H21" s="73"/>
      <c r="I21" s="351">
        <f>SUM(D21:G21)</f>
        <v>1</v>
      </c>
      <c r="J21" s="131"/>
    </row>
    <row r="22" spans="1:10" ht="12.75" x14ac:dyDescent="0.25">
      <c r="A22" s="657" t="s">
        <v>142</v>
      </c>
      <c r="B22" s="660"/>
      <c r="C22" s="663"/>
      <c r="D22" s="237"/>
      <c r="E22" s="236"/>
      <c r="F22" s="236"/>
      <c r="G22" s="703"/>
      <c r="H22" s="354">
        <f>C21/$C$33</f>
        <v>0.6295727848825966</v>
      </c>
      <c r="I22" s="351"/>
      <c r="J22" s="131"/>
    </row>
    <row r="23" spans="1:10" ht="12.75" x14ac:dyDescent="0.25">
      <c r="A23" s="658"/>
      <c r="B23" s="661"/>
      <c r="C23" s="664"/>
      <c r="D23" s="348"/>
      <c r="E23" s="348">
        <f>$C$21*E21</f>
        <v>538555.79795477749</v>
      </c>
      <c r="F23" s="348">
        <f>$C$21*F21</f>
        <v>359037.19863651833</v>
      </c>
      <c r="G23" s="702">
        <f t="shared" ref="G23" si="0">$C$21*G21</f>
        <v>299197.66553043196</v>
      </c>
      <c r="I23" s="351">
        <f>SUM(D23:G23)</f>
        <v>1196790.6621217278</v>
      </c>
      <c r="J23" s="131">
        <f>I23-C21</f>
        <v>0</v>
      </c>
    </row>
    <row r="24" spans="1:10" ht="12.75" x14ac:dyDescent="0.25">
      <c r="A24" s="665" t="s">
        <v>143</v>
      </c>
      <c r="B24" s="667" t="s">
        <v>144</v>
      </c>
      <c r="C24" s="669">
        <f>'014.01-22-ORÇAMENTO'!J208</f>
        <v>38965.725084000005</v>
      </c>
      <c r="D24" s="226"/>
      <c r="E24" s="350">
        <v>0.4</v>
      </c>
      <c r="F24" s="226">
        <v>0.5</v>
      </c>
      <c r="G24" s="700">
        <v>0.1</v>
      </c>
      <c r="H24" s="73"/>
      <c r="I24" s="351">
        <f>SUM(D24:G24)</f>
        <v>1</v>
      </c>
      <c r="J24" s="131"/>
    </row>
    <row r="25" spans="1:10" ht="12.75" x14ac:dyDescent="0.25">
      <c r="A25" s="657"/>
      <c r="B25" s="660"/>
      <c r="C25" s="663"/>
      <c r="D25" s="237"/>
      <c r="E25" s="236"/>
      <c r="F25" s="236"/>
      <c r="G25" s="703"/>
      <c r="H25" s="354">
        <f>C24/$C$33</f>
        <v>2.0497954097178913E-2</v>
      </c>
      <c r="I25" s="351"/>
      <c r="J25" s="131"/>
    </row>
    <row r="26" spans="1:10" ht="12.75" x14ac:dyDescent="0.25">
      <c r="A26" s="666"/>
      <c r="B26" s="668"/>
      <c r="C26" s="670"/>
      <c r="D26" s="348"/>
      <c r="E26" s="348">
        <f>$C$24*E24</f>
        <v>15586.290033600002</v>
      </c>
      <c r="F26" s="348">
        <f>$C$24*F24</f>
        <v>19482.862542000003</v>
      </c>
      <c r="G26" s="702">
        <f>$C$24*G24</f>
        <v>3896.5725084000005</v>
      </c>
      <c r="I26" s="351">
        <f>SUM(D26:G26)</f>
        <v>38965.725084000005</v>
      </c>
      <c r="J26" s="131">
        <f>I26-C24</f>
        <v>0</v>
      </c>
    </row>
    <row r="27" spans="1:10" ht="12.75" x14ac:dyDescent="0.25">
      <c r="A27" s="665" t="s">
        <v>78</v>
      </c>
      <c r="B27" s="667" t="s">
        <v>79</v>
      </c>
      <c r="C27" s="669">
        <f>'014.01-22-ORÇAMENTO'!J222</f>
        <v>23197.06167168</v>
      </c>
      <c r="D27" s="225">
        <v>0.2701391247912191</v>
      </c>
      <c r="E27" s="225">
        <v>0.32061825576647629</v>
      </c>
      <c r="F27" s="225">
        <v>0.22466421603033573</v>
      </c>
      <c r="G27" s="700">
        <v>0.18457840341196885</v>
      </c>
      <c r="H27" s="73"/>
      <c r="I27" s="351">
        <f t="shared" ref="I27:I32" si="1">SUM(D27:G27)</f>
        <v>0.99999999999999989</v>
      </c>
      <c r="J27" s="131" t="e">
        <f>I27-#REF!</f>
        <v>#REF!</v>
      </c>
    </row>
    <row r="28" spans="1:10" ht="12.75" x14ac:dyDescent="0.25">
      <c r="A28" s="657"/>
      <c r="B28" s="660"/>
      <c r="C28" s="663"/>
      <c r="D28" s="236"/>
      <c r="E28" s="236"/>
      <c r="F28" s="236"/>
      <c r="G28" s="703"/>
      <c r="H28" s="354">
        <f>C27/$C$33</f>
        <v>1.2202834781349167E-2</v>
      </c>
      <c r="I28" s="351">
        <f t="shared" si="1"/>
        <v>0</v>
      </c>
      <c r="J28" s="131" t="e">
        <f>I28-#REF!</f>
        <v>#REF!</v>
      </c>
    </row>
    <row r="29" spans="1:10" ht="12.75" x14ac:dyDescent="0.25">
      <c r="A29" s="666"/>
      <c r="B29" s="668"/>
      <c r="C29" s="670"/>
      <c r="D29" s="348">
        <f t="shared" ref="D29:G29" si="2">$C$27*D27</f>
        <v>6266.4339377155693</v>
      </c>
      <c r="E29" s="348">
        <f t="shared" si="2"/>
        <v>7437.4014520814226</v>
      </c>
      <c r="F29" s="348">
        <f t="shared" si="2"/>
        <v>5211.5496746753361</v>
      </c>
      <c r="G29" s="702">
        <f t="shared" si="2"/>
        <v>4281.6766072076716</v>
      </c>
      <c r="I29" s="351">
        <f t="shared" si="1"/>
        <v>23197.06167168</v>
      </c>
      <c r="J29" s="131">
        <f t="shared" ref="J29:J32" si="3">I29-C27</f>
        <v>0</v>
      </c>
    </row>
    <row r="30" spans="1:10" ht="12.75" x14ac:dyDescent="0.25">
      <c r="A30" s="665" t="s">
        <v>145</v>
      </c>
      <c r="B30" s="667" t="s">
        <v>88</v>
      </c>
      <c r="C30" s="669">
        <f>'014.01-22-ORÇAMENTO'!J234</f>
        <v>176840.53919999997</v>
      </c>
      <c r="D30" s="225">
        <v>0.25</v>
      </c>
      <c r="E30" s="225">
        <v>0.25</v>
      </c>
      <c r="F30" s="225">
        <v>0.25</v>
      </c>
      <c r="G30" s="700">
        <v>0.25</v>
      </c>
      <c r="H30" s="73"/>
      <c r="I30" s="351">
        <f t="shared" si="1"/>
        <v>1</v>
      </c>
      <c r="J30" s="131">
        <f t="shared" si="3"/>
        <v>1</v>
      </c>
    </row>
    <row r="31" spans="1:10" ht="12.75" x14ac:dyDescent="0.25">
      <c r="A31" s="657"/>
      <c r="B31" s="660"/>
      <c r="C31" s="663"/>
      <c r="D31" s="236"/>
      <c r="E31" s="236"/>
      <c r="F31" s="236"/>
      <c r="G31" s="703"/>
      <c r="H31" s="354">
        <f>C30/$C$33</f>
        <v>9.3027121841764496E-2</v>
      </c>
      <c r="I31" s="351">
        <f t="shared" si="1"/>
        <v>0</v>
      </c>
      <c r="J31" s="131">
        <f t="shared" si="3"/>
        <v>0</v>
      </c>
    </row>
    <row r="32" spans="1:10" ht="12.75" x14ac:dyDescent="0.25">
      <c r="A32" s="666"/>
      <c r="B32" s="668"/>
      <c r="C32" s="670"/>
      <c r="D32" s="348">
        <f>$C$30*D30</f>
        <v>44210.134799999993</v>
      </c>
      <c r="E32" s="348">
        <f t="shared" ref="E32:G32" si="4">$C$30*E30</f>
        <v>44210.134799999993</v>
      </c>
      <c r="F32" s="348">
        <f t="shared" si="4"/>
        <v>44210.134799999993</v>
      </c>
      <c r="G32" s="702">
        <f t="shared" si="4"/>
        <v>44210.134799999993</v>
      </c>
      <c r="I32" s="351">
        <f t="shared" si="1"/>
        <v>176840.53919999997</v>
      </c>
      <c r="J32" s="131">
        <f t="shared" si="3"/>
        <v>0</v>
      </c>
    </row>
    <row r="33" spans="1:15" ht="12" x14ac:dyDescent="0.25">
      <c r="A33" s="222"/>
      <c r="B33" s="217" t="s">
        <v>146</v>
      </c>
      <c r="C33" s="673">
        <f>SUM(C12:C32)</f>
        <v>1900956.7930178344</v>
      </c>
      <c r="D33" s="228">
        <f t="shared" ref="D33:G33" si="5">D34/$C33</f>
        <v>0.26866124678167486</v>
      </c>
      <c r="E33" s="228">
        <f t="shared" si="5"/>
        <v>0.32126746808316636</v>
      </c>
      <c r="F33" s="228">
        <f t="shared" si="5"/>
        <v>0.2251191332833091</v>
      </c>
      <c r="G33" s="705">
        <f t="shared" si="5"/>
        <v>0.18495215185184963</v>
      </c>
      <c r="I33" s="79"/>
    </row>
    <row r="34" spans="1:15" ht="12" x14ac:dyDescent="0.25">
      <c r="A34" s="223"/>
      <c r="B34" s="329" t="s">
        <v>147</v>
      </c>
      <c r="C34" s="674"/>
      <c r="D34" s="229">
        <f>D32+D29+D26+D23+D20+D17+D14</f>
        <v>510713.42209026561</v>
      </c>
      <c r="E34" s="229">
        <f>E32+E29+E26+E23+E20+E17+E14</f>
        <v>610715.57582833536</v>
      </c>
      <c r="F34" s="229">
        <f>F32+F29+F26+F23+F20+F17+F14</f>
        <v>427941.74565319368</v>
      </c>
      <c r="G34" s="706">
        <f>G32+G29+G26+G23+G20+G17+G14</f>
        <v>351586.0494460396</v>
      </c>
      <c r="I34" s="79"/>
    </row>
    <row r="35" spans="1:15" ht="12" x14ac:dyDescent="0.25">
      <c r="A35" s="223"/>
      <c r="B35" s="329" t="s">
        <v>148</v>
      </c>
      <c r="C35" s="674"/>
      <c r="D35" s="230">
        <f>D33</f>
        <v>0.26866124678167486</v>
      </c>
      <c r="E35" s="231">
        <f>D35+E33</f>
        <v>0.58992871486484122</v>
      </c>
      <c r="F35" s="231">
        <f t="shared" ref="F35:G35" si="6">E35+F33</f>
        <v>0.81504784814815034</v>
      </c>
      <c r="G35" s="707">
        <f t="shared" si="6"/>
        <v>1</v>
      </c>
      <c r="I35" s="79"/>
    </row>
    <row r="36" spans="1:15" ht="18" customHeight="1" thickBot="1" x14ac:dyDescent="0.3">
      <c r="A36" s="224"/>
      <c r="B36" s="218" t="s">
        <v>149</v>
      </c>
      <c r="C36" s="675"/>
      <c r="D36" s="232">
        <f>D34</f>
        <v>510713.42209026561</v>
      </c>
      <c r="E36" s="232">
        <f>E34+D36</f>
        <v>1121428.9979186009</v>
      </c>
      <c r="F36" s="232">
        <f t="shared" ref="F36:G36" si="7">F34+E36</f>
        <v>1549370.7435717946</v>
      </c>
      <c r="G36" s="708">
        <f t="shared" si="7"/>
        <v>1900956.7930178342</v>
      </c>
      <c r="H36" s="544">
        <f>'014-22-CAPA'!F32</f>
        <v>1900956.793017834</v>
      </c>
      <c r="I36" s="79">
        <f>G36-H36</f>
        <v>0</v>
      </c>
    </row>
    <row r="37" spans="1:15" ht="9.6" customHeight="1" x14ac:dyDescent="0.25">
      <c r="C37" s="238"/>
    </row>
    <row r="38" spans="1:15" ht="72.75" hidden="1" x14ac:dyDescent="0.25">
      <c r="C38" s="238" t="s">
        <v>3433</v>
      </c>
      <c r="D38" s="320" t="e">
        <f>(D14+D17+D20+D23+D26+#REF!+#REF!+#REF!+D29)/($C$12+$C$15+$C$18+$C$21+$C$24+#REF!+#REF!+#REF!+$C$27)</f>
        <v>#REF!</v>
      </c>
      <c r="E38" s="320" t="e">
        <f>(E14+E17+E20+E23+E26+#REF!+#REF!+#REF!+E29)/($C$12+$C$15+$C$18+$C$21+$C$24+#REF!+#REF!+#REF!+$C$27)</f>
        <v>#REF!</v>
      </c>
      <c r="F38" s="320" t="e">
        <f>(F14+F17+F20+F23+F26+#REF!+#REF!+#REF!+F29)/($C$12+$C$15+$C$18+$C$21+$C$24+#REF!+#REF!+#REF!+$C$27)</f>
        <v>#REF!</v>
      </c>
      <c r="G38" s="320" t="e">
        <f>(G14+G17+G20+G23+G26+#REF!+#REF!+#REF!+G29)/($C$12+$C$15+$C$18+$C$21+$C$24+#REF!+#REF!+#REF!+$C$27)</f>
        <v>#REF!</v>
      </c>
    </row>
    <row r="39" spans="1:15" s="53" customFormat="1" ht="66" customHeight="1" x14ac:dyDescent="0.25">
      <c r="A39" s="625" t="str">
        <f>'014-22-CAPA'!D37</f>
        <v>ENG. GILMAR DA MOTA FERNANDES
ART: 0720220018938
CREA: 23785/D-DF
Matrícula: 973.113-X</v>
      </c>
      <c r="B39" s="625"/>
      <c r="C39" s="625"/>
      <c r="D39" s="625"/>
      <c r="E39" s="625"/>
      <c r="F39" s="625"/>
      <c r="G39" s="625"/>
    </row>
    <row r="40" spans="1:15" s="53" customFormat="1" ht="66" customHeight="1" x14ac:dyDescent="0.25">
      <c r="A40" s="625" t="str">
        <f>'014-22-CAPA'!D38</f>
        <v>ENG. HERBERT MESQUITA LOIOLA
ART: 0720240055972
CREA: 25130/D-DF
Matrícula: 973.299-3</v>
      </c>
      <c r="B40" s="625"/>
      <c r="C40" s="625"/>
      <c r="D40" s="625"/>
      <c r="E40" s="625"/>
      <c r="F40" s="625"/>
      <c r="G40" s="625"/>
    </row>
    <row r="41" spans="1:15" ht="12.75" x14ac:dyDescent="0.25">
      <c r="C41" s="240"/>
      <c r="H41" s="75"/>
      <c r="I41" s="75"/>
      <c r="J41" s="75"/>
      <c r="K41" s="75"/>
      <c r="L41" s="75"/>
      <c r="M41" s="75"/>
      <c r="N41" s="75"/>
      <c r="O41" s="75"/>
    </row>
    <row r="42" spans="1:15" x14ac:dyDescent="0.25">
      <c r="C42" s="238"/>
    </row>
    <row r="43" spans="1:15" x14ac:dyDescent="0.25">
      <c r="C43" s="238"/>
      <c r="D43" s="239">
        <f>(D14+D17+D20+D23+D26+D32)/($C$12+$C$15+$C$18+$C$21+$C$24+$C$30)</f>
        <v>0.26864298969225159</v>
      </c>
      <c r="E43" s="239">
        <f>(E14+E17+E20+E23+E26+E32)/($C$12+$C$15+$C$18+$C$21+$C$24+$C$30)</f>
        <v>0.32127548818174273</v>
      </c>
      <c r="F43" s="239">
        <f>(F14+F17+F20+F23+F26+F32)/($C$12+$C$15+$C$18+$C$21+$C$24+$C$30)</f>
        <v>0.22512475314158839</v>
      </c>
      <c r="G43" s="239">
        <f>(G14+G17+G20+G23+G26+G32)/($C$12+$C$15+$C$18+$C$21+$C$24+$C$30)</f>
        <v>0.18495676898441721</v>
      </c>
    </row>
    <row r="44" spans="1:15" x14ac:dyDescent="0.25">
      <c r="D44" s="588">
        <f>D43/$H$36</f>
        <v>1.4131988200834994E-7</v>
      </c>
      <c r="E44" s="588">
        <f>E43/$H$36</f>
        <v>1.690072543267577E-7</v>
      </c>
      <c r="F44" s="588">
        <f>F43/$H$36</f>
        <v>1.1842707523309624E-7</v>
      </c>
      <c r="G44" s="588">
        <f>G43/$H$36</f>
        <v>9.7296671688572153E-8</v>
      </c>
    </row>
    <row r="51" spans="4:7" x14ac:dyDescent="0.25">
      <c r="D51" s="219"/>
      <c r="E51" s="219"/>
      <c r="F51" s="219"/>
      <c r="G51" s="219"/>
    </row>
    <row r="52" spans="4:7" x14ac:dyDescent="0.25">
      <c r="D52" s="219"/>
      <c r="E52" s="219"/>
      <c r="F52" s="219"/>
      <c r="G52" s="219"/>
    </row>
    <row r="53" spans="4:7" x14ac:dyDescent="0.25">
      <c r="D53" s="219"/>
      <c r="E53" s="219"/>
      <c r="F53" s="219"/>
      <c r="G53" s="219"/>
    </row>
    <row r="54" spans="4:7" x14ac:dyDescent="0.25">
      <c r="D54" s="219"/>
      <c r="E54" s="219"/>
      <c r="F54" s="219"/>
      <c r="G54" s="219"/>
    </row>
    <row r="55" spans="4:7" x14ac:dyDescent="0.25">
      <c r="D55" s="219"/>
      <c r="E55" s="219"/>
      <c r="F55" s="219"/>
      <c r="G55" s="219"/>
    </row>
    <row r="56" spans="4:7" x14ac:dyDescent="0.25">
      <c r="D56" s="219"/>
      <c r="E56" s="219"/>
      <c r="F56" s="219"/>
      <c r="G56" s="219"/>
    </row>
    <row r="57" spans="4:7" x14ac:dyDescent="0.25">
      <c r="D57" s="219"/>
      <c r="E57" s="219"/>
      <c r="F57" s="219"/>
      <c r="G57" s="219"/>
    </row>
    <row r="58" spans="4:7" x14ac:dyDescent="0.25">
      <c r="D58" s="219"/>
      <c r="E58" s="219"/>
      <c r="F58" s="219"/>
      <c r="G58" s="219"/>
    </row>
    <row r="59" spans="4:7" x14ac:dyDescent="0.25">
      <c r="D59" s="219"/>
      <c r="E59" s="219"/>
      <c r="F59" s="219"/>
      <c r="G59" s="219"/>
    </row>
    <row r="60" spans="4:7" x14ac:dyDescent="0.25">
      <c r="D60" s="219"/>
      <c r="E60" s="219"/>
      <c r="F60" s="219"/>
      <c r="G60" s="219"/>
    </row>
    <row r="61" spans="4:7" x14ac:dyDescent="0.25">
      <c r="D61" s="219"/>
      <c r="E61" s="219"/>
      <c r="F61" s="219"/>
      <c r="G61" s="219"/>
    </row>
    <row r="62" spans="4:7" x14ac:dyDescent="0.25">
      <c r="D62" s="219"/>
      <c r="E62" s="219"/>
      <c r="F62" s="219"/>
      <c r="G62" s="219"/>
    </row>
    <row r="63" spans="4:7" x14ac:dyDescent="0.25">
      <c r="D63" s="219"/>
      <c r="E63" s="219"/>
      <c r="F63" s="219"/>
      <c r="G63" s="219"/>
    </row>
    <row r="64" spans="4:7" x14ac:dyDescent="0.25">
      <c r="D64" s="219"/>
      <c r="E64" s="219"/>
      <c r="F64" s="219"/>
      <c r="G64" s="219"/>
    </row>
    <row r="65" spans="4:7" x14ac:dyDescent="0.25">
      <c r="D65" s="219"/>
      <c r="E65" s="219"/>
      <c r="F65" s="219"/>
      <c r="G65" s="219"/>
    </row>
    <row r="66" spans="4:7" x14ac:dyDescent="0.25">
      <c r="D66" s="219"/>
      <c r="E66" s="219"/>
      <c r="F66" s="219"/>
      <c r="G66" s="219"/>
    </row>
    <row r="67" spans="4:7" x14ac:dyDescent="0.25">
      <c r="D67" s="219"/>
      <c r="E67" s="219"/>
      <c r="F67" s="219"/>
      <c r="G67" s="219"/>
    </row>
    <row r="68" spans="4:7" x14ac:dyDescent="0.25">
      <c r="D68" s="219"/>
      <c r="E68" s="219"/>
      <c r="F68" s="219"/>
      <c r="G68" s="219"/>
    </row>
    <row r="69" spans="4:7" x14ac:dyDescent="0.25">
      <c r="D69" s="219"/>
      <c r="E69" s="219"/>
      <c r="F69" s="219"/>
      <c r="G69" s="219"/>
    </row>
    <row r="70" spans="4:7" x14ac:dyDescent="0.25">
      <c r="D70" s="219"/>
      <c r="E70" s="219"/>
      <c r="F70" s="219"/>
      <c r="G70" s="219"/>
    </row>
    <row r="71" spans="4:7" x14ac:dyDescent="0.25">
      <c r="D71" s="219"/>
      <c r="E71" s="219"/>
      <c r="F71" s="219"/>
      <c r="G71" s="219"/>
    </row>
    <row r="72" spans="4:7" x14ac:dyDescent="0.25">
      <c r="D72" s="219"/>
      <c r="E72" s="219"/>
      <c r="F72" s="219"/>
      <c r="G72" s="219"/>
    </row>
    <row r="73" spans="4:7" x14ac:dyDescent="0.25">
      <c r="D73" s="219"/>
      <c r="E73" s="219"/>
      <c r="F73" s="219"/>
      <c r="G73" s="219"/>
    </row>
    <row r="74" spans="4:7" x14ac:dyDescent="0.25">
      <c r="D74" s="219"/>
      <c r="E74" s="219"/>
      <c r="F74" s="219"/>
      <c r="G74" s="219"/>
    </row>
    <row r="75" spans="4:7" x14ac:dyDescent="0.25">
      <c r="D75" s="219"/>
      <c r="E75" s="219"/>
      <c r="F75" s="219"/>
      <c r="G75" s="219"/>
    </row>
    <row r="76" spans="4:7" x14ac:dyDescent="0.25">
      <c r="D76" s="219"/>
      <c r="E76" s="219"/>
      <c r="F76" s="219"/>
      <c r="G76" s="219"/>
    </row>
    <row r="77" spans="4:7" x14ac:dyDescent="0.25">
      <c r="D77" s="219"/>
      <c r="E77" s="219"/>
      <c r="F77" s="219"/>
      <c r="G77" s="219"/>
    </row>
    <row r="78" spans="4:7" x14ac:dyDescent="0.25">
      <c r="D78" s="219"/>
      <c r="E78" s="219"/>
      <c r="F78" s="219"/>
      <c r="G78" s="219"/>
    </row>
    <row r="79" spans="4:7" x14ac:dyDescent="0.25">
      <c r="D79" s="219"/>
      <c r="E79" s="219"/>
      <c r="F79" s="219"/>
      <c r="G79" s="219"/>
    </row>
    <row r="80" spans="4:7" x14ac:dyDescent="0.25">
      <c r="D80" s="219"/>
      <c r="E80" s="219"/>
      <c r="F80" s="219"/>
      <c r="G80" s="219"/>
    </row>
    <row r="81" spans="4:7" x14ac:dyDescent="0.25">
      <c r="D81" s="219"/>
      <c r="E81" s="219"/>
      <c r="F81" s="219"/>
      <c r="G81" s="219"/>
    </row>
    <row r="82" spans="4:7" x14ac:dyDescent="0.25">
      <c r="D82" s="219"/>
      <c r="E82" s="219"/>
      <c r="F82" s="219"/>
      <c r="G82" s="219"/>
    </row>
    <row r="83" spans="4:7" x14ac:dyDescent="0.25">
      <c r="D83" s="219"/>
      <c r="E83" s="219"/>
      <c r="F83" s="219"/>
      <c r="G83" s="219"/>
    </row>
    <row r="84" spans="4:7" x14ac:dyDescent="0.25">
      <c r="D84" s="219"/>
      <c r="E84" s="219"/>
      <c r="F84" s="219"/>
      <c r="G84" s="219"/>
    </row>
    <row r="85" spans="4:7" x14ac:dyDescent="0.25">
      <c r="D85" s="219"/>
      <c r="E85" s="219"/>
      <c r="F85" s="219"/>
      <c r="G85" s="219"/>
    </row>
    <row r="86" spans="4:7" x14ac:dyDescent="0.25">
      <c r="D86" s="219"/>
      <c r="E86" s="219"/>
      <c r="F86" s="219"/>
      <c r="G86" s="219"/>
    </row>
    <row r="87" spans="4:7" x14ac:dyDescent="0.25">
      <c r="D87" s="219"/>
      <c r="E87" s="219"/>
      <c r="F87" s="219"/>
      <c r="G87" s="219"/>
    </row>
    <row r="88" spans="4:7" x14ac:dyDescent="0.25">
      <c r="D88" s="219"/>
      <c r="E88" s="219"/>
      <c r="F88" s="219"/>
      <c r="G88" s="219"/>
    </row>
    <row r="89" spans="4:7" x14ac:dyDescent="0.25">
      <c r="D89" s="219"/>
      <c r="E89" s="219"/>
      <c r="F89" s="219"/>
      <c r="G89" s="219"/>
    </row>
    <row r="90" spans="4:7" x14ac:dyDescent="0.25">
      <c r="D90" s="219"/>
      <c r="E90" s="219"/>
      <c r="F90" s="219"/>
      <c r="G90" s="219"/>
    </row>
    <row r="91" spans="4:7" x14ac:dyDescent="0.25">
      <c r="D91" s="219"/>
      <c r="E91" s="219"/>
      <c r="F91" s="219"/>
      <c r="G91" s="219"/>
    </row>
    <row r="92" spans="4:7" x14ac:dyDescent="0.25">
      <c r="D92" s="219"/>
      <c r="E92" s="219"/>
      <c r="F92" s="219"/>
      <c r="G92" s="219"/>
    </row>
    <row r="93" spans="4:7" x14ac:dyDescent="0.25">
      <c r="D93" s="219"/>
      <c r="E93" s="219"/>
      <c r="F93" s="219"/>
      <c r="G93" s="219"/>
    </row>
    <row r="94" spans="4:7" x14ac:dyDescent="0.25">
      <c r="D94" s="219"/>
      <c r="E94" s="219"/>
      <c r="F94" s="219"/>
      <c r="G94" s="219"/>
    </row>
    <row r="95" spans="4:7" x14ac:dyDescent="0.25">
      <c r="D95" s="219"/>
      <c r="E95" s="219"/>
      <c r="F95" s="219"/>
      <c r="G95" s="219"/>
    </row>
    <row r="96" spans="4:7" x14ac:dyDescent="0.25">
      <c r="D96" s="219"/>
      <c r="E96" s="219"/>
      <c r="F96" s="219"/>
      <c r="G96" s="219"/>
    </row>
    <row r="97" spans="4:7" x14ac:dyDescent="0.25">
      <c r="D97" s="219"/>
      <c r="E97" s="219"/>
      <c r="F97" s="219"/>
      <c r="G97" s="219"/>
    </row>
    <row r="98" spans="4:7" x14ac:dyDescent="0.25">
      <c r="D98" s="219"/>
      <c r="E98" s="219"/>
      <c r="F98" s="219"/>
      <c r="G98" s="219"/>
    </row>
    <row r="99" spans="4:7" x14ac:dyDescent="0.25">
      <c r="D99" s="219"/>
      <c r="E99" s="219"/>
      <c r="F99" s="219"/>
      <c r="G99" s="219"/>
    </row>
    <row r="100" spans="4:7" x14ac:dyDescent="0.25">
      <c r="D100" s="219"/>
      <c r="E100" s="219"/>
      <c r="F100" s="219"/>
      <c r="G100" s="219"/>
    </row>
    <row r="101" spans="4:7" x14ac:dyDescent="0.25">
      <c r="D101" s="219"/>
      <c r="E101" s="219"/>
      <c r="F101" s="219"/>
      <c r="G101" s="219"/>
    </row>
    <row r="102" spans="4:7" x14ac:dyDescent="0.25">
      <c r="D102" s="219"/>
      <c r="E102" s="219"/>
      <c r="F102" s="219"/>
      <c r="G102" s="219"/>
    </row>
    <row r="103" spans="4:7" x14ac:dyDescent="0.25">
      <c r="D103" s="219"/>
      <c r="E103" s="219"/>
      <c r="F103" s="219"/>
      <c r="G103" s="219"/>
    </row>
    <row r="104" spans="4:7" x14ac:dyDescent="0.25">
      <c r="D104" s="219"/>
      <c r="E104" s="219"/>
      <c r="F104" s="219"/>
      <c r="G104" s="219"/>
    </row>
    <row r="105" spans="4:7" x14ac:dyDescent="0.25">
      <c r="D105" s="219"/>
      <c r="E105" s="219"/>
      <c r="F105" s="219"/>
      <c r="G105" s="219"/>
    </row>
    <row r="106" spans="4:7" x14ac:dyDescent="0.25">
      <c r="D106" s="219"/>
      <c r="E106" s="219"/>
      <c r="F106" s="219"/>
      <c r="G106" s="219"/>
    </row>
    <row r="107" spans="4:7" x14ac:dyDescent="0.25">
      <c r="D107" s="219"/>
      <c r="E107" s="219"/>
      <c r="F107" s="219"/>
      <c r="G107" s="219"/>
    </row>
    <row r="108" spans="4:7" x14ac:dyDescent="0.25">
      <c r="D108" s="219"/>
      <c r="E108" s="219"/>
      <c r="F108" s="219"/>
      <c r="G108" s="219"/>
    </row>
    <row r="109" spans="4:7" x14ac:dyDescent="0.25">
      <c r="D109" s="219"/>
      <c r="E109" s="219"/>
      <c r="F109" s="219"/>
      <c r="G109" s="219"/>
    </row>
    <row r="110" spans="4:7" x14ac:dyDescent="0.25">
      <c r="D110" s="219"/>
      <c r="E110" s="219"/>
      <c r="F110" s="219"/>
      <c r="G110" s="219"/>
    </row>
    <row r="111" spans="4:7" x14ac:dyDescent="0.25">
      <c r="D111" s="219"/>
      <c r="E111" s="219"/>
      <c r="F111" s="219"/>
      <c r="G111" s="219"/>
    </row>
    <row r="112" spans="4:7" x14ac:dyDescent="0.25">
      <c r="D112" s="219"/>
      <c r="E112" s="219"/>
      <c r="F112" s="219"/>
      <c r="G112" s="219"/>
    </row>
    <row r="113" spans="4:7" x14ac:dyDescent="0.25">
      <c r="D113" s="219"/>
      <c r="E113" s="219"/>
      <c r="F113" s="219"/>
      <c r="G113" s="219"/>
    </row>
    <row r="114" spans="4:7" x14ac:dyDescent="0.25">
      <c r="D114" s="219"/>
      <c r="E114" s="219"/>
      <c r="F114" s="219"/>
      <c r="G114" s="219"/>
    </row>
    <row r="115" spans="4:7" x14ac:dyDescent="0.25">
      <c r="D115" s="219"/>
      <c r="E115" s="219"/>
      <c r="F115" s="219"/>
      <c r="G115" s="219"/>
    </row>
    <row r="116" spans="4:7" x14ac:dyDescent="0.25">
      <c r="D116" s="219"/>
      <c r="E116" s="219"/>
      <c r="F116" s="219"/>
      <c r="G116" s="219"/>
    </row>
    <row r="117" spans="4:7" x14ac:dyDescent="0.25">
      <c r="D117" s="219"/>
      <c r="E117" s="219"/>
      <c r="F117" s="219"/>
      <c r="G117" s="219"/>
    </row>
    <row r="118" spans="4:7" x14ac:dyDescent="0.25">
      <c r="D118" s="219"/>
      <c r="E118" s="219"/>
      <c r="F118" s="219"/>
      <c r="G118" s="219"/>
    </row>
    <row r="119" spans="4:7" x14ac:dyDescent="0.25">
      <c r="D119" s="219"/>
      <c r="E119" s="219"/>
      <c r="F119" s="219"/>
      <c r="G119" s="219"/>
    </row>
    <row r="120" spans="4:7" x14ac:dyDescent="0.25">
      <c r="D120" s="219"/>
      <c r="E120" s="219"/>
      <c r="F120" s="219"/>
      <c r="G120" s="219"/>
    </row>
    <row r="121" spans="4:7" x14ac:dyDescent="0.25">
      <c r="D121" s="219"/>
      <c r="E121" s="219"/>
      <c r="F121" s="219"/>
      <c r="G121" s="219"/>
    </row>
    <row r="122" spans="4:7" x14ac:dyDescent="0.25">
      <c r="D122" s="219"/>
      <c r="E122" s="219"/>
      <c r="F122" s="219"/>
      <c r="G122" s="219"/>
    </row>
    <row r="123" spans="4:7" x14ac:dyDescent="0.25">
      <c r="D123" s="219"/>
      <c r="E123" s="219"/>
      <c r="F123" s="219"/>
      <c r="G123" s="219"/>
    </row>
    <row r="124" spans="4:7" x14ac:dyDescent="0.25">
      <c r="D124" s="219"/>
      <c r="E124" s="219"/>
      <c r="F124" s="219"/>
      <c r="G124" s="219"/>
    </row>
    <row r="125" spans="4:7" x14ac:dyDescent="0.25">
      <c r="D125" s="219"/>
      <c r="E125" s="219"/>
      <c r="F125" s="219"/>
      <c r="G125" s="219"/>
    </row>
    <row r="126" spans="4:7" x14ac:dyDescent="0.25">
      <c r="D126" s="219"/>
      <c r="E126" s="219"/>
      <c r="F126" s="219"/>
      <c r="G126" s="219"/>
    </row>
    <row r="127" spans="4:7" x14ac:dyDescent="0.25">
      <c r="D127" s="219"/>
      <c r="E127" s="219"/>
      <c r="F127" s="219"/>
      <c r="G127" s="219"/>
    </row>
    <row r="128" spans="4:7" x14ac:dyDescent="0.25">
      <c r="D128" s="219"/>
      <c r="E128" s="219"/>
      <c r="F128" s="219"/>
      <c r="G128" s="219"/>
    </row>
    <row r="129" spans="4:7" x14ac:dyDescent="0.25">
      <c r="D129" s="219"/>
      <c r="E129" s="219"/>
      <c r="F129" s="219"/>
      <c r="G129" s="219"/>
    </row>
    <row r="130" spans="4:7" x14ac:dyDescent="0.25">
      <c r="D130" s="219"/>
      <c r="E130" s="219"/>
      <c r="F130" s="219"/>
      <c r="G130" s="219"/>
    </row>
    <row r="131" spans="4:7" x14ac:dyDescent="0.25">
      <c r="D131" s="219"/>
      <c r="E131" s="219"/>
      <c r="F131" s="219"/>
      <c r="G131" s="219"/>
    </row>
    <row r="132" spans="4:7" x14ac:dyDescent="0.25">
      <c r="D132" s="219"/>
      <c r="E132" s="219"/>
      <c r="F132" s="219"/>
      <c r="G132" s="219"/>
    </row>
    <row r="133" spans="4:7" x14ac:dyDescent="0.25">
      <c r="D133" s="219"/>
      <c r="E133" s="219"/>
      <c r="F133" s="219"/>
      <c r="G133" s="219"/>
    </row>
    <row r="134" spans="4:7" x14ac:dyDescent="0.25">
      <c r="D134" s="219"/>
      <c r="E134" s="219"/>
      <c r="F134" s="219"/>
      <c r="G134" s="219"/>
    </row>
    <row r="135" spans="4:7" x14ac:dyDescent="0.25">
      <c r="D135" s="219"/>
      <c r="E135" s="219"/>
      <c r="F135" s="219"/>
      <c r="G135" s="219"/>
    </row>
    <row r="136" spans="4:7" x14ac:dyDescent="0.25">
      <c r="D136" s="219"/>
      <c r="E136" s="219"/>
      <c r="F136" s="219"/>
      <c r="G136" s="219"/>
    </row>
    <row r="137" spans="4:7" x14ac:dyDescent="0.25">
      <c r="D137" s="219"/>
      <c r="E137" s="219"/>
      <c r="F137" s="219"/>
      <c r="G137" s="219"/>
    </row>
    <row r="138" spans="4:7" x14ac:dyDescent="0.25">
      <c r="D138" s="219"/>
      <c r="E138" s="219"/>
      <c r="F138" s="219"/>
      <c r="G138" s="219"/>
    </row>
    <row r="139" spans="4:7" x14ac:dyDescent="0.25">
      <c r="D139" s="219"/>
      <c r="E139" s="219"/>
      <c r="F139" s="219"/>
      <c r="G139" s="219"/>
    </row>
    <row r="140" spans="4:7" x14ac:dyDescent="0.25">
      <c r="D140" s="219"/>
      <c r="E140" s="219"/>
      <c r="F140" s="219"/>
      <c r="G140" s="219"/>
    </row>
    <row r="141" spans="4:7" x14ac:dyDescent="0.25">
      <c r="D141" s="219"/>
      <c r="E141" s="219"/>
      <c r="F141" s="219"/>
      <c r="G141" s="219"/>
    </row>
    <row r="142" spans="4:7" x14ac:dyDescent="0.25">
      <c r="D142" s="219"/>
      <c r="E142" s="219"/>
      <c r="F142" s="219"/>
      <c r="G142" s="219"/>
    </row>
    <row r="143" spans="4:7" x14ac:dyDescent="0.25">
      <c r="D143" s="219"/>
      <c r="E143" s="219"/>
      <c r="F143" s="219"/>
      <c r="G143" s="219"/>
    </row>
    <row r="144" spans="4:7" x14ac:dyDescent="0.25">
      <c r="D144" s="219"/>
      <c r="E144" s="219"/>
      <c r="F144" s="219"/>
      <c r="G144" s="219"/>
    </row>
    <row r="145" spans="4:7" x14ac:dyDescent="0.25">
      <c r="D145" s="219"/>
      <c r="E145" s="219"/>
      <c r="F145" s="219"/>
      <c r="G145" s="219"/>
    </row>
    <row r="146" spans="4:7" x14ac:dyDescent="0.25">
      <c r="D146" s="219"/>
      <c r="E146" s="219"/>
      <c r="F146" s="219"/>
      <c r="G146" s="219"/>
    </row>
    <row r="147" spans="4:7" x14ac:dyDescent="0.25">
      <c r="D147" s="219"/>
      <c r="E147" s="219"/>
      <c r="F147" s="219"/>
      <c r="G147" s="219"/>
    </row>
    <row r="148" spans="4:7" x14ac:dyDescent="0.25">
      <c r="D148" s="219"/>
      <c r="E148" s="219"/>
      <c r="F148" s="219"/>
      <c r="G148" s="219"/>
    </row>
    <row r="149" spans="4:7" x14ac:dyDescent="0.25">
      <c r="D149" s="219"/>
      <c r="E149" s="219"/>
      <c r="F149" s="219"/>
      <c r="G149" s="219"/>
    </row>
    <row r="150" spans="4:7" x14ac:dyDescent="0.25">
      <c r="D150" s="219"/>
      <c r="E150" s="219"/>
      <c r="F150" s="219"/>
      <c r="G150" s="219"/>
    </row>
    <row r="151" spans="4:7" x14ac:dyDescent="0.25">
      <c r="D151" s="219"/>
      <c r="E151" s="219"/>
      <c r="F151" s="219"/>
      <c r="G151" s="219"/>
    </row>
    <row r="152" spans="4:7" x14ac:dyDescent="0.25">
      <c r="D152" s="219"/>
      <c r="E152" s="219"/>
      <c r="F152" s="219"/>
      <c r="G152" s="219"/>
    </row>
    <row r="153" spans="4:7" x14ac:dyDescent="0.25">
      <c r="D153" s="219"/>
      <c r="E153" s="219"/>
      <c r="F153" s="219"/>
      <c r="G153" s="219"/>
    </row>
    <row r="154" spans="4:7" x14ac:dyDescent="0.25">
      <c r="D154" s="219"/>
      <c r="E154" s="219"/>
      <c r="F154" s="219"/>
      <c r="G154" s="219"/>
    </row>
    <row r="155" spans="4:7" x14ac:dyDescent="0.25">
      <c r="D155" s="219"/>
      <c r="E155" s="219"/>
      <c r="F155" s="219"/>
      <c r="G155" s="219"/>
    </row>
    <row r="156" spans="4:7" x14ac:dyDescent="0.25">
      <c r="D156" s="219"/>
      <c r="E156" s="219"/>
      <c r="F156" s="219"/>
      <c r="G156" s="219"/>
    </row>
    <row r="157" spans="4:7" x14ac:dyDescent="0.25">
      <c r="D157" s="219"/>
      <c r="E157" s="219"/>
      <c r="F157" s="219"/>
      <c r="G157" s="219"/>
    </row>
    <row r="158" spans="4:7" x14ac:dyDescent="0.25">
      <c r="D158" s="219"/>
      <c r="E158" s="219"/>
      <c r="F158" s="219"/>
      <c r="G158" s="219"/>
    </row>
    <row r="159" spans="4:7" x14ac:dyDescent="0.25">
      <c r="D159" s="219"/>
      <c r="E159" s="219"/>
      <c r="F159" s="219"/>
      <c r="G159" s="219"/>
    </row>
    <row r="160" spans="4:7" x14ac:dyDescent="0.25">
      <c r="D160" s="219"/>
      <c r="E160" s="219"/>
      <c r="F160" s="219"/>
      <c r="G160" s="219"/>
    </row>
    <row r="161" spans="4:7" x14ac:dyDescent="0.25">
      <c r="D161" s="219"/>
      <c r="E161" s="219"/>
      <c r="F161" s="219"/>
      <c r="G161" s="219"/>
    </row>
    <row r="162" spans="4:7" x14ac:dyDescent="0.25">
      <c r="D162" s="219"/>
      <c r="E162" s="219"/>
      <c r="F162" s="219"/>
      <c r="G162" s="219"/>
    </row>
    <row r="163" spans="4:7" x14ac:dyDescent="0.25">
      <c r="D163" s="219"/>
      <c r="E163" s="219"/>
      <c r="F163" s="219"/>
      <c r="G163" s="219"/>
    </row>
    <row r="164" spans="4:7" x14ac:dyDescent="0.25">
      <c r="D164" s="219"/>
      <c r="E164" s="219"/>
      <c r="F164" s="219"/>
      <c r="G164" s="219"/>
    </row>
    <row r="165" spans="4:7" x14ac:dyDescent="0.25">
      <c r="D165" s="219"/>
      <c r="E165" s="219"/>
      <c r="F165" s="219"/>
      <c r="G165" s="219"/>
    </row>
    <row r="166" spans="4:7" x14ac:dyDescent="0.25">
      <c r="D166" s="219"/>
      <c r="E166" s="219"/>
      <c r="F166" s="219"/>
      <c r="G166" s="219"/>
    </row>
    <row r="167" spans="4:7" x14ac:dyDescent="0.25">
      <c r="D167" s="219"/>
      <c r="E167" s="219"/>
      <c r="F167" s="219"/>
      <c r="G167" s="219"/>
    </row>
    <row r="168" spans="4:7" x14ac:dyDescent="0.25">
      <c r="D168" s="219"/>
      <c r="E168" s="219"/>
      <c r="F168" s="219"/>
      <c r="G168" s="219"/>
    </row>
    <row r="169" spans="4:7" x14ac:dyDescent="0.25">
      <c r="D169" s="219"/>
      <c r="E169" s="219"/>
      <c r="F169" s="219"/>
      <c r="G169" s="219"/>
    </row>
    <row r="170" spans="4:7" x14ac:dyDescent="0.25">
      <c r="D170" s="219"/>
      <c r="E170" s="219"/>
      <c r="F170" s="219"/>
      <c r="G170" s="219"/>
    </row>
    <row r="171" spans="4:7" x14ac:dyDescent="0.25">
      <c r="D171" s="219"/>
      <c r="E171" s="219"/>
      <c r="F171" s="219"/>
      <c r="G171" s="219"/>
    </row>
    <row r="172" spans="4:7" x14ac:dyDescent="0.25">
      <c r="D172" s="219"/>
      <c r="E172" s="219"/>
      <c r="F172" s="219"/>
      <c r="G172" s="219"/>
    </row>
    <row r="173" spans="4:7" x14ac:dyDescent="0.25">
      <c r="D173" s="219"/>
      <c r="E173" s="219"/>
      <c r="F173" s="219"/>
      <c r="G173" s="219"/>
    </row>
    <row r="174" spans="4:7" x14ac:dyDescent="0.25">
      <c r="D174" s="219"/>
      <c r="E174" s="219"/>
      <c r="F174" s="219"/>
      <c r="G174" s="219"/>
    </row>
    <row r="175" spans="4:7" x14ac:dyDescent="0.25">
      <c r="D175" s="219"/>
      <c r="E175" s="219"/>
      <c r="F175" s="219"/>
      <c r="G175" s="219"/>
    </row>
    <row r="176" spans="4:7" x14ac:dyDescent="0.25">
      <c r="D176" s="219"/>
      <c r="E176" s="219"/>
      <c r="F176" s="219"/>
      <c r="G176" s="219"/>
    </row>
    <row r="177" spans="4:7" x14ac:dyDescent="0.25">
      <c r="D177" s="219"/>
      <c r="E177" s="219"/>
      <c r="F177" s="219"/>
      <c r="G177" s="219"/>
    </row>
    <row r="178" spans="4:7" x14ac:dyDescent="0.25">
      <c r="D178" s="219"/>
      <c r="E178" s="219"/>
      <c r="F178" s="219"/>
      <c r="G178" s="219"/>
    </row>
    <row r="179" spans="4:7" x14ac:dyDescent="0.25">
      <c r="D179" s="219"/>
      <c r="E179" s="219"/>
      <c r="F179" s="219"/>
      <c r="G179" s="219"/>
    </row>
    <row r="180" spans="4:7" x14ac:dyDescent="0.25">
      <c r="D180" s="219"/>
      <c r="E180" s="219"/>
      <c r="F180" s="219"/>
      <c r="G180" s="219"/>
    </row>
    <row r="181" spans="4:7" x14ac:dyDescent="0.25">
      <c r="D181" s="219"/>
      <c r="E181" s="219"/>
      <c r="F181" s="219"/>
      <c r="G181" s="219"/>
    </row>
    <row r="182" spans="4:7" x14ac:dyDescent="0.25">
      <c r="D182" s="219"/>
      <c r="E182" s="219"/>
      <c r="F182" s="219"/>
      <c r="G182" s="219"/>
    </row>
    <row r="183" spans="4:7" x14ac:dyDescent="0.25">
      <c r="D183" s="219"/>
      <c r="E183" s="219"/>
      <c r="F183" s="219"/>
      <c r="G183" s="219"/>
    </row>
    <row r="184" spans="4:7" x14ac:dyDescent="0.25">
      <c r="D184" s="219"/>
      <c r="E184" s="219"/>
      <c r="F184" s="219"/>
      <c r="G184" s="219"/>
    </row>
    <row r="185" spans="4:7" x14ac:dyDescent="0.25">
      <c r="D185" s="219"/>
      <c r="E185" s="219"/>
      <c r="F185" s="219"/>
      <c r="G185" s="219"/>
    </row>
    <row r="186" spans="4:7" x14ac:dyDescent="0.25">
      <c r="D186" s="219"/>
      <c r="E186" s="219"/>
      <c r="F186" s="219"/>
      <c r="G186" s="219"/>
    </row>
    <row r="187" spans="4:7" x14ac:dyDescent="0.25">
      <c r="D187" s="219"/>
      <c r="E187" s="219"/>
      <c r="F187" s="219"/>
      <c r="G187" s="219"/>
    </row>
    <row r="188" spans="4:7" x14ac:dyDescent="0.25">
      <c r="D188" s="219"/>
      <c r="E188" s="219"/>
      <c r="F188" s="219"/>
      <c r="G188" s="219"/>
    </row>
    <row r="189" spans="4:7" x14ac:dyDescent="0.25">
      <c r="D189" s="219"/>
      <c r="E189" s="219"/>
      <c r="F189" s="219"/>
      <c r="G189" s="219"/>
    </row>
    <row r="190" spans="4:7" x14ac:dyDescent="0.25">
      <c r="D190" s="219"/>
      <c r="E190" s="219"/>
      <c r="F190" s="219"/>
      <c r="G190" s="219"/>
    </row>
    <row r="191" spans="4:7" x14ac:dyDescent="0.25">
      <c r="D191" s="219"/>
      <c r="E191" s="219"/>
      <c r="F191" s="219"/>
      <c r="G191" s="219"/>
    </row>
    <row r="192" spans="4:7" x14ac:dyDescent="0.25">
      <c r="D192" s="219"/>
      <c r="E192" s="219"/>
      <c r="F192" s="219"/>
      <c r="G192" s="219"/>
    </row>
    <row r="193" spans="4:7" x14ac:dyDescent="0.25">
      <c r="D193" s="219"/>
      <c r="E193" s="219"/>
      <c r="F193" s="219"/>
      <c r="G193" s="219"/>
    </row>
    <row r="194" spans="4:7" x14ac:dyDescent="0.25">
      <c r="D194" s="219"/>
      <c r="E194" s="219"/>
      <c r="F194" s="219"/>
      <c r="G194" s="219"/>
    </row>
    <row r="195" spans="4:7" x14ac:dyDescent="0.25">
      <c r="D195" s="219"/>
      <c r="E195" s="219"/>
      <c r="F195" s="219"/>
      <c r="G195" s="219"/>
    </row>
    <row r="196" spans="4:7" x14ac:dyDescent="0.25">
      <c r="D196" s="219"/>
      <c r="E196" s="219"/>
      <c r="F196" s="219"/>
      <c r="G196" s="219"/>
    </row>
    <row r="197" spans="4:7" x14ac:dyDescent="0.25">
      <c r="D197" s="219"/>
      <c r="E197" s="219"/>
      <c r="F197" s="219"/>
      <c r="G197" s="219"/>
    </row>
    <row r="198" spans="4:7" x14ac:dyDescent="0.25">
      <c r="D198" s="219"/>
      <c r="E198" s="219"/>
      <c r="F198" s="219"/>
      <c r="G198" s="219"/>
    </row>
    <row r="199" spans="4:7" x14ac:dyDescent="0.25">
      <c r="D199" s="219"/>
      <c r="E199" s="219"/>
      <c r="F199" s="219"/>
      <c r="G199" s="219"/>
    </row>
    <row r="200" spans="4:7" x14ac:dyDescent="0.25">
      <c r="D200" s="219"/>
      <c r="E200" s="219"/>
      <c r="F200" s="219"/>
      <c r="G200" s="219"/>
    </row>
    <row r="201" spans="4:7" x14ac:dyDescent="0.25">
      <c r="D201" s="219"/>
      <c r="E201" s="219"/>
      <c r="F201" s="219"/>
      <c r="G201" s="219"/>
    </row>
    <row r="202" spans="4:7" x14ac:dyDescent="0.25">
      <c r="D202" s="219"/>
      <c r="E202" s="219"/>
      <c r="F202" s="219"/>
      <c r="G202" s="219"/>
    </row>
    <row r="203" spans="4:7" x14ac:dyDescent="0.25">
      <c r="D203" s="219"/>
      <c r="E203" s="219"/>
      <c r="F203" s="219"/>
      <c r="G203" s="219"/>
    </row>
    <row r="204" spans="4:7" x14ac:dyDescent="0.25">
      <c r="D204" s="219"/>
      <c r="E204" s="219"/>
      <c r="F204" s="219"/>
      <c r="G204" s="219"/>
    </row>
    <row r="205" spans="4:7" x14ac:dyDescent="0.25">
      <c r="D205" s="219"/>
      <c r="E205" s="219"/>
      <c r="F205" s="219"/>
      <c r="G205" s="219"/>
    </row>
    <row r="206" spans="4:7" x14ac:dyDescent="0.25">
      <c r="D206" s="219"/>
      <c r="E206" s="219"/>
      <c r="F206" s="219"/>
      <c r="G206" s="219"/>
    </row>
    <row r="207" spans="4:7" x14ac:dyDescent="0.25">
      <c r="D207" s="219"/>
      <c r="E207" s="219"/>
      <c r="F207" s="219"/>
      <c r="G207" s="219"/>
    </row>
    <row r="208" spans="4:7" x14ac:dyDescent="0.25">
      <c r="D208" s="219"/>
      <c r="E208" s="219"/>
      <c r="F208" s="219"/>
      <c r="G208" s="219"/>
    </row>
    <row r="209" spans="4:7" x14ac:dyDescent="0.25">
      <c r="D209" s="219"/>
      <c r="E209" s="219"/>
      <c r="F209" s="219"/>
      <c r="G209" s="219"/>
    </row>
    <row r="210" spans="4:7" x14ac:dyDescent="0.25">
      <c r="D210" s="219"/>
      <c r="E210" s="219"/>
      <c r="F210" s="219"/>
      <c r="G210" s="219"/>
    </row>
    <row r="211" spans="4:7" x14ac:dyDescent="0.25">
      <c r="D211" s="219"/>
      <c r="E211" s="219"/>
      <c r="F211" s="219"/>
      <c r="G211" s="219"/>
    </row>
    <row r="212" spans="4:7" x14ac:dyDescent="0.25">
      <c r="D212" s="219"/>
      <c r="E212" s="219"/>
      <c r="F212" s="219"/>
      <c r="G212" s="219"/>
    </row>
    <row r="213" spans="4:7" x14ac:dyDescent="0.25">
      <c r="D213" s="219"/>
      <c r="E213" s="219"/>
      <c r="F213" s="219"/>
      <c r="G213" s="219"/>
    </row>
    <row r="214" spans="4:7" x14ac:dyDescent="0.25">
      <c r="D214" s="219"/>
      <c r="E214" s="219"/>
      <c r="F214" s="219"/>
      <c r="G214" s="219"/>
    </row>
    <row r="215" spans="4:7" x14ac:dyDescent="0.25">
      <c r="D215" s="219"/>
      <c r="E215" s="219"/>
      <c r="F215" s="219"/>
      <c r="G215" s="219"/>
    </row>
    <row r="216" spans="4:7" x14ac:dyDescent="0.25">
      <c r="D216" s="219"/>
      <c r="E216" s="219"/>
      <c r="F216" s="219"/>
      <c r="G216" s="219"/>
    </row>
    <row r="217" spans="4:7" x14ac:dyDescent="0.25">
      <c r="D217" s="219"/>
      <c r="E217" s="219"/>
      <c r="F217" s="219"/>
      <c r="G217" s="219"/>
    </row>
    <row r="218" spans="4:7" x14ac:dyDescent="0.25">
      <c r="D218" s="219"/>
      <c r="E218" s="219"/>
      <c r="F218" s="219"/>
      <c r="G218" s="219"/>
    </row>
    <row r="219" spans="4:7" x14ac:dyDescent="0.25">
      <c r="D219" s="219"/>
      <c r="E219" s="219"/>
      <c r="F219" s="219"/>
      <c r="G219" s="219"/>
    </row>
    <row r="220" spans="4:7" x14ac:dyDescent="0.25">
      <c r="D220" s="219"/>
      <c r="E220" s="219"/>
      <c r="F220" s="219"/>
      <c r="G220" s="219"/>
    </row>
    <row r="221" spans="4:7" x14ac:dyDescent="0.25">
      <c r="D221" s="219"/>
      <c r="E221" s="219"/>
      <c r="F221" s="219"/>
      <c r="G221" s="219"/>
    </row>
    <row r="222" spans="4:7" x14ac:dyDescent="0.25">
      <c r="D222" s="219"/>
      <c r="E222" s="219"/>
      <c r="F222" s="219"/>
      <c r="G222" s="219"/>
    </row>
    <row r="223" spans="4:7" x14ac:dyDescent="0.25">
      <c r="D223" s="219"/>
      <c r="E223" s="219"/>
      <c r="F223" s="219"/>
      <c r="G223" s="219"/>
    </row>
    <row r="224" spans="4:7" x14ac:dyDescent="0.25">
      <c r="D224" s="219"/>
      <c r="E224" s="219"/>
      <c r="F224" s="219"/>
      <c r="G224" s="219"/>
    </row>
    <row r="225" spans="4:7" x14ac:dyDescent="0.25">
      <c r="D225" s="219"/>
      <c r="E225" s="219"/>
      <c r="F225" s="219"/>
      <c r="G225" s="219"/>
    </row>
    <row r="226" spans="4:7" x14ac:dyDescent="0.25">
      <c r="D226" s="219"/>
      <c r="E226" s="219"/>
      <c r="F226" s="219"/>
      <c r="G226" s="219"/>
    </row>
    <row r="227" spans="4:7" x14ac:dyDescent="0.25">
      <c r="D227" s="219"/>
      <c r="E227" s="219"/>
      <c r="F227" s="219"/>
      <c r="G227" s="219"/>
    </row>
    <row r="228" spans="4:7" x14ac:dyDescent="0.25">
      <c r="D228" s="219"/>
      <c r="E228" s="219"/>
      <c r="F228" s="219"/>
      <c r="G228" s="219"/>
    </row>
    <row r="229" spans="4:7" x14ac:dyDescent="0.25">
      <c r="D229" s="219"/>
      <c r="E229" s="219"/>
      <c r="F229" s="219"/>
      <c r="G229" s="219"/>
    </row>
    <row r="230" spans="4:7" x14ac:dyDescent="0.25">
      <c r="D230" s="219"/>
      <c r="E230" s="219"/>
      <c r="F230" s="219"/>
      <c r="G230" s="219"/>
    </row>
    <row r="231" spans="4:7" x14ac:dyDescent="0.25">
      <c r="D231" s="219"/>
      <c r="E231" s="219"/>
      <c r="F231" s="219"/>
      <c r="G231" s="219"/>
    </row>
    <row r="232" spans="4:7" x14ac:dyDescent="0.25">
      <c r="D232" s="219"/>
      <c r="E232" s="219"/>
      <c r="F232" s="219"/>
      <c r="G232" s="219"/>
    </row>
    <row r="233" spans="4:7" x14ac:dyDescent="0.25">
      <c r="D233" s="219"/>
      <c r="E233" s="219"/>
      <c r="F233" s="219"/>
      <c r="G233" s="219"/>
    </row>
    <row r="234" spans="4:7" x14ac:dyDescent="0.25">
      <c r="D234" s="219"/>
      <c r="E234" s="219"/>
      <c r="F234" s="219"/>
      <c r="G234" s="219"/>
    </row>
    <row r="235" spans="4:7" x14ac:dyDescent="0.25">
      <c r="D235" s="219"/>
      <c r="E235" s="219"/>
      <c r="F235" s="219"/>
      <c r="G235" s="219"/>
    </row>
    <row r="236" spans="4:7" x14ac:dyDescent="0.25">
      <c r="D236" s="219"/>
      <c r="E236" s="219"/>
      <c r="F236" s="219"/>
      <c r="G236" s="219"/>
    </row>
    <row r="237" spans="4:7" x14ac:dyDescent="0.25">
      <c r="D237" s="219"/>
      <c r="E237" s="219"/>
      <c r="F237" s="219"/>
      <c r="G237" s="219"/>
    </row>
    <row r="238" spans="4:7" x14ac:dyDescent="0.25">
      <c r="D238" s="219"/>
      <c r="E238" s="219"/>
      <c r="F238" s="219"/>
      <c r="G238" s="219"/>
    </row>
    <row r="239" spans="4:7" x14ac:dyDescent="0.25">
      <c r="D239" s="219"/>
      <c r="E239" s="219"/>
      <c r="F239" s="219"/>
      <c r="G239" s="219"/>
    </row>
    <row r="240" spans="4:7" x14ac:dyDescent="0.25">
      <c r="D240" s="219"/>
      <c r="E240" s="219"/>
      <c r="F240" s="219"/>
      <c r="G240" s="219"/>
    </row>
    <row r="241" spans="4:7" x14ac:dyDescent="0.25">
      <c r="D241" s="219"/>
      <c r="E241" s="219"/>
      <c r="F241" s="219"/>
      <c r="G241" s="219"/>
    </row>
    <row r="242" spans="4:7" x14ac:dyDescent="0.25">
      <c r="D242" s="219"/>
      <c r="E242" s="219"/>
      <c r="F242" s="219"/>
      <c r="G242" s="219"/>
    </row>
    <row r="243" spans="4:7" x14ac:dyDescent="0.25">
      <c r="D243" s="219"/>
      <c r="E243" s="219"/>
      <c r="F243" s="219"/>
      <c r="G243" s="219"/>
    </row>
    <row r="244" spans="4:7" x14ac:dyDescent="0.25">
      <c r="D244" s="219"/>
      <c r="E244" s="219"/>
      <c r="F244" s="219"/>
      <c r="G244" s="219"/>
    </row>
    <row r="245" spans="4:7" x14ac:dyDescent="0.25">
      <c r="D245" s="219"/>
      <c r="E245" s="219"/>
      <c r="F245" s="219"/>
      <c r="G245" s="219"/>
    </row>
    <row r="246" spans="4:7" x14ac:dyDescent="0.25">
      <c r="D246" s="219"/>
      <c r="E246" s="219"/>
      <c r="F246" s="219"/>
      <c r="G246" s="219"/>
    </row>
    <row r="247" spans="4:7" x14ac:dyDescent="0.25">
      <c r="D247" s="219"/>
      <c r="E247" s="219"/>
      <c r="F247" s="219"/>
      <c r="G247" s="219"/>
    </row>
    <row r="248" spans="4:7" x14ac:dyDescent="0.25">
      <c r="D248" s="219"/>
      <c r="E248" s="219"/>
      <c r="F248" s="219"/>
      <c r="G248" s="219"/>
    </row>
    <row r="249" spans="4:7" x14ac:dyDescent="0.25">
      <c r="D249" s="219"/>
      <c r="E249" s="219"/>
      <c r="F249" s="219"/>
      <c r="G249" s="219"/>
    </row>
    <row r="250" spans="4:7" x14ac:dyDescent="0.25">
      <c r="D250" s="219"/>
      <c r="E250" s="219"/>
      <c r="F250" s="219"/>
      <c r="G250" s="219"/>
    </row>
    <row r="251" spans="4:7" x14ac:dyDescent="0.25">
      <c r="D251" s="219"/>
      <c r="E251" s="219"/>
      <c r="F251" s="219"/>
      <c r="G251" s="219"/>
    </row>
    <row r="252" spans="4:7" x14ac:dyDescent="0.25">
      <c r="D252" s="219"/>
      <c r="E252" s="219"/>
      <c r="F252" s="219"/>
      <c r="G252" s="219"/>
    </row>
    <row r="253" spans="4:7" x14ac:dyDescent="0.25">
      <c r="D253" s="219"/>
      <c r="E253" s="219"/>
      <c r="F253" s="219"/>
      <c r="G253" s="219"/>
    </row>
    <row r="254" spans="4:7" x14ac:dyDescent="0.25">
      <c r="D254" s="219"/>
      <c r="E254" s="219"/>
      <c r="F254" s="219"/>
      <c r="G254" s="219"/>
    </row>
    <row r="255" spans="4:7" x14ac:dyDescent="0.25">
      <c r="D255" s="219"/>
      <c r="E255" s="219"/>
      <c r="F255" s="219"/>
      <c r="G255" s="219"/>
    </row>
    <row r="256" spans="4:7" x14ac:dyDescent="0.25">
      <c r="D256" s="219"/>
      <c r="E256" s="219"/>
      <c r="F256" s="219"/>
      <c r="G256" s="219"/>
    </row>
    <row r="257" spans="4:7" x14ac:dyDescent="0.25">
      <c r="D257" s="219"/>
      <c r="E257" s="219"/>
      <c r="F257" s="219"/>
      <c r="G257" s="219"/>
    </row>
    <row r="258" spans="4:7" x14ac:dyDescent="0.25">
      <c r="D258" s="219"/>
      <c r="E258" s="219"/>
      <c r="F258" s="219"/>
      <c r="G258" s="219"/>
    </row>
    <row r="259" spans="4:7" x14ac:dyDescent="0.25">
      <c r="D259" s="219"/>
      <c r="E259" s="219"/>
      <c r="F259" s="219"/>
      <c r="G259" s="219"/>
    </row>
    <row r="260" spans="4:7" x14ac:dyDescent="0.25">
      <c r="D260" s="219"/>
      <c r="E260" s="219"/>
      <c r="F260" s="219"/>
      <c r="G260" s="219"/>
    </row>
    <row r="261" spans="4:7" x14ac:dyDescent="0.25">
      <c r="D261" s="219"/>
      <c r="E261" s="219"/>
      <c r="F261" s="219"/>
      <c r="G261" s="219"/>
    </row>
    <row r="262" spans="4:7" x14ac:dyDescent="0.25">
      <c r="D262" s="219"/>
      <c r="E262" s="219"/>
      <c r="F262" s="219"/>
      <c r="G262" s="219"/>
    </row>
    <row r="263" spans="4:7" x14ac:dyDescent="0.25">
      <c r="D263" s="219"/>
      <c r="E263" s="219"/>
      <c r="F263" s="219"/>
      <c r="G263" s="219"/>
    </row>
    <row r="264" spans="4:7" x14ac:dyDescent="0.25">
      <c r="D264" s="219"/>
      <c r="E264" s="219"/>
      <c r="F264" s="219"/>
      <c r="G264" s="219"/>
    </row>
    <row r="265" spans="4:7" x14ac:dyDescent="0.25">
      <c r="D265" s="219"/>
      <c r="E265" s="219"/>
      <c r="F265" s="219"/>
      <c r="G265" s="219"/>
    </row>
    <row r="266" spans="4:7" x14ac:dyDescent="0.25">
      <c r="D266" s="219"/>
      <c r="E266" s="219"/>
      <c r="F266" s="219"/>
      <c r="G266" s="219"/>
    </row>
    <row r="267" spans="4:7" x14ac:dyDescent="0.25">
      <c r="D267" s="219"/>
      <c r="E267" s="219"/>
      <c r="F267" s="219"/>
      <c r="G267" s="219"/>
    </row>
    <row r="268" spans="4:7" x14ac:dyDescent="0.25">
      <c r="D268" s="219"/>
      <c r="E268" s="219"/>
      <c r="F268" s="219"/>
      <c r="G268" s="219"/>
    </row>
    <row r="269" spans="4:7" x14ac:dyDescent="0.25">
      <c r="D269" s="219"/>
      <c r="E269" s="219"/>
      <c r="F269" s="219"/>
      <c r="G269" s="219"/>
    </row>
    <row r="270" spans="4:7" x14ac:dyDescent="0.25">
      <c r="D270" s="219"/>
      <c r="E270" s="219"/>
      <c r="F270" s="219"/>
      <c r="G270" s="219"/>
    </row>
    <row r="271" spans="4:7" x14ac:dyDescent="0.25">
      <c r="D271" s="219"/>
      <c r="E271" s="219"/>
      <c r="F271" s="219"/>
      <c r="G271" s="219"/>
    </row>
    <row r="272" spans="4:7" x14ac:dyDescent="0.25">
      <c r="D272" s="219"/>
      <c r="E272" s="219"/>
      <c r="F272" s="219"/>
      <c r="G272" s="219"/>
    </row>
    <row r="273" spans="4:7" x14ac:dyDescent="0.25">
      <c r="D273" s="219"/>
      <c r="E273" s="219"/>
      <c r="F273" s="219"/>
      <c r="G273" s="219"/>
    </row>
    <row r="274" spans="4:7" x14ac:dyDescent="0.25">
      <c r="D274" s="219"/>
      <c r="E274" s="219"/>
      <c r="F274" s="219"/>
      <c r="G274" s="219"/>
    </row>
    <row r="275" spans="4:7" x14ac:dyDescent="0.25">
      <c r="D275" s="219"/>
      <c r="E275" s="219"/>
      <c r="F275" s="219"/>
      <c r="G275" s="219"/>
    </row>
    <row r="276" spans="4:7" x14ac:dyDescent="0.25">
      <c r="D276" s="219"/>
      <c r="E276" s="219"/>
      <c r="F276" s="219"/>
      <c r="G276" s="219"/>
    </row>
    <row r="277" spans="4:7" x14ac:dyDescent="0.25">
      <c r="D277" s="219"/>
      <c r="E277" s="219"/>
      <c r="F277" s="219"/>
      <c r="G277" s="219"/>
    </row>
    <row r="278" spans="4:7" x14ac:dyDescent="0.25">
      <c r="D278" s="219"/>
      <c r="E278" s="219"/>
      <c r="F278" s="219"/>
      <c r="G278" s="219"/>
    </row>
    <row r="279" spans="4:7" x14ac:dyDescent="0.25">
      <c r="D279" s="219"/>
      <c r="E279" s="219"/>
      <c r="F279" s="219"/>
      <c r="G279" s="219"/>
    </row>
    <row r="280" spans="4:7" x14ac:dyDescent="0.25">
      <c r="D280" s="219"/>
      <c r="E280" s="219"/>
      <c r="F280" s="219"/>
      <c r="G280" s="219"/>
    </row>
    <row r="281" spans="4:7" x14ac:dyDescent="0.25">
      <c r="D281" s="219"/>
      <c r="E281" s="219"/>
      <c r="F281" s="219"/>
      <c r="G281" s="219"/>
    </row>
    <row r="282" spans="4:7" x14ac:dyDescent="0.25">
      <c r="D282" s="219"/>
      <c r="E282" s="219"/>
      <c r="F282" s="219"/>
      <c r="G282" s="219"/>
    </row>
    <row r="283" spans="4:7" x14ac:dyDescent="0.25">
      <c r="D283" s="219"/>
      <c r="E283" s="219"/>
      <c r="F283" s="219"/>
      <c r="G283" s="219"/>
    </row>
    <row r="284" spans="4:7" x14ac:dyDescent="0.25">
      <c r="D284" s="219"/>
      <c r="E284" s="219"/>
      <c r="F284" s="219"/>
      <c r="G284" s="219"/>
    </row>
    <row r="285" spans="4:7" x14ac:dyDescent="0.25">
      <c r="D285" s="219"/>
      <c r="E285" s="219"/>
      <c r="F285" s="219"/>
      <c r="G285" s="219"/>
    </row>
    <row r="286" spans="4:7" x14ac:dyDescent="0.25">
      <c r="D286" s="219"/>
      <c r="E286" s="219"/>
      <c r="F286" s="219"/>
      <c r="G286" s="219"/>
    </row>
    <row r="287" spans="4:7" x14ac:dyDescent="0.25">
      <c r="D287" s="219"/>
      <c r="E287" s="219"/>
      <c r="F287" s="219"/>
      <c r="G287" s="219"/>
    </row>
    <row r="288" spans="4:7" x14ac:dyDescent="0.25">
      <c r="D288" s="219"/>
      <c r="E288" s="219"/>
      <c r="F288" s="219"/>
      <c r="G288" s="219"/>
    </row>
    <row r="289" spans="4:7" x14ac:dyDescent="0.25">
      <c r="D289" s="219"/>
      <c r="E289" s="219"/>
      <c r="F289" s="219"/>
      <c r="G289" s="219"/>
    </row>
    <row r="290" spans="4:7" x14ac:dyDescent="0.25">
      <c r="D290" s="219"/>
      <c r="E290" s="219"/>
      <c r="F290" s="219"/>
      <c r="G290" s="219"/>
    </row>
    <row r="291" spans="4:7" x14ac:dyDescent="0.25">
      <c r="D291" s="219"/>
      <c r="E291" s="219"/>
      <c r="F291" s="219"/>
      <c r="G291" s="219"/>
    </row>
    <row r="292" spans="4:7" x14ac:dyDescent="0.25">
      <c r="D292" s="219"/>
      <c r="E292" s="219"/>
      <c r="F292" s="219"/>
      <c r="G292" s="219"/>
    </row>
    <row r="293" spans="4:7" x14ac:dyDescent="0.25">
      <c r="D293" s="219"/>
      <c r="E293" s="219"/>
      <c r="F293" s="219"/>
      <c r="G293" s="219"/>
    </row>
    <row r="294" spans="4:7" x14ac:dyDescent="0.25">
      <c r="D294" s="219"/>
      <c r="E294" s="219"/>
      <c r="F294" s="219"/>
      <c r="G294" s="219"/>
    </row>
    <row r="295" spans="4:7" x14ac:dyDescent="0.25">
      <c r="D295" s="219"/>
      <c r="E295" s="219"/>
      <c r="F295" s="219"/>
      <c r="G295" s="219"/>
    </row>
    <row r="296" spans="4:7" x14ac:dyDescent="0.25">
      <c r="D296" s="219"/>
      <c r="E296" s="219"/>
      <c r="F296" s="219"/>
      <c r="G296" s="219"/>
    </row>
    <row r="297" spans="4:7" x14ac:dyDescent="0.25">
      <c r="D297" s="219"/>
      <c r="E297" s="219"/>
      <c r="F297" s="219"/>
      <c r="G297" s="219"/>
    </row>
    <row r="298" spans="4:7" x14ac:dyDescent="0.25">
      <c r="D298" s="219"/>
      <c r="E298" s="219"/>
      <c r="F298" s="219"/>
      <c r="G298" s="219"/>
    </row>
    <row r="299" spans="4:7" x14ac:dyDescent="0.25">
      <c r="D299" s="219"/>
      <c r="E299" s="219"/>
      <c r="F299" s="219"/>
      <c r="G299" s="219"/>
    </row>
    <row r="300" spans="4:7" x14ac:dyDescent="0.25">
      <c r="D300" s="219"/>
      <c r="E300" s="219"/>
      <c r="F300" s="219"/>
      <c r="G300" s="219"/>
    </row>
    <row r="301" spans="4:7" x14ac:dyDescent="0.25">
      <c r="D301" s="219"/>
      <c r="E301" s="219"/>
      <c r="F301" s="219"/>
      <c r="G301" s="219"/>
    </row>
    <row r="302" spans="4:7" x14ac:dyDescent="0.25">
      <c r="D302" s="219"/>
      <c r="E302" s="219"/>
      <c r="F302" s="219"/>
      <c r="G302" s="219"/>
    </row>
    <row r="303" spans="4:7" x14ac:dyDescent="0.25">
      <c r="D303" s="219"/>
      <c r="E303" s="219"/>
      <c r="F303" s="219"/>
      <c r="G303" s="219"/>
    </row>
    <row r="304" spans="4:7" x14ac:dyDescent="0.25">
      <c r="D304" s="219"/>
      <c r="E304" s="219"/>
      <c r="F304" s="219"/>
      <c r="G304" s="219"/>
    </row>
    <row r="305" spans="4:7" x14ac:dyDescent="0.25">
      <c r="D305" s="219"/>
      <c r="E305" s="219"/>
      <c r="F305" s="219"/>
      <c r="G305" s="219"/>
    </row>
    <row r="306" spans="4:7" x14ac:dyDescent="0.25">
      <c r="D306" s="219"/>
      <c r="E306" s="219"/>
      <c r="F306" s="219"/>
      <c r="G306" s="219"/>
    </row>
    <row r="307" spans="4:7" x14ac:dyDescent="0.25">
      <c r="D307" s="219"/>
      <c r="E307" s="219"/>
      <c r="F307" s="219"/>
      <c r="G307" s="219"/>
    </row>
    <row r="308" spans="4:7" x14ac:dyDescent="0.25">
      <c r="D308" s="219"/>
      <c r="E308" s="219"/>
      <c r="F308" s="219"/>
      <c r="G308" s="219"/>
    </row>
    <row r="309" spans="4:7" x14ac:dyDescent="0.25">
      <c r="D309" s="219"/>
      <c r="E309" s="219"/>
      <c r="F309" s="219"/>
      <c r="G309" s="219"/>
    </row>
    <row r="310" spans="4:7" x14ac:dyDescent="0.25">
      <c r="D310" s="219"/>
      <c r="E310" s="219"/>
      <c r="F310" s="219"/>
      <c r="G310" s="219"/>
    </row>
    <row r="311" spans="4:7" x14ac:dyDescent="0.25">
      <c r="D311" s="219"/>
      <c r="E311" s="219"/>
      <c r="F311" s="219"/>
      <c r="G311" s="219"/>
    </row>
    <row r="312" spans="4:7" x14ac:dyDescent="0.25">
      <c r="D312" s="219"/>
      <c r="E312" s="219"/>
      <c r="F312" s="219"/>
      <c r="G312" s="219"/>
    </row>
    <row r="313" spans="4:7" x14ac:dyDescent="0.25">
      <c r="D313" s="219"/>
      <c r="E313" s="219"/>
      <c r="F313" s="219"/>
      <c r="G313" s="219"/>
    </row>
    <row r="314" spans="4:7" x14ac:dyDescent="0.25">
      <c r="D314" s="219"/>
      <c r="E314" s="219"/>
      <c r="F314" s="219"/>
      <c r="G314" s="219"/>
    </row>
    <row r="315" spans="4:7" x14ac:dyDescent="0.25">
      <c r="D315" s="219"/>
      <c r="E315" s="219"/>
      <c r="F315" s="219"/>
      <c r="G315" s="219"/>
    </row>
    <row r="316" spans="4:7" x14ac:dyDescent="0.25">
      <c r="D316" s="219"/>
      <c r="E316" s="219"/>
      <c r="F316" s="219"/>
      <c r="G316" s="219"/>
    </row>
    <row r="317" spans="4:7" x14ac:dyDescent="0.25">
      <c r="D317" s="219"/>
      <c r="E317" s="219"/>
      <c r="F317" s="219"/>
      <c r="G317" s="219"/>
    </row>
    <row r="318" spans="4:7" x14ac:dyDescent="0.25">
      <c r="D318" s="219"/>
      <c r="E318" s="219"/>
      <c r="F318" s="219"/>
      <c r="G318" s="219"/>
    </row>
    <row r="319" spans="4:7" x14ac:dyDescent="0.25">
      <c r="D319" s="219"/>
      <c r="E319" s="219"/>
      <c r="F319" s="219"/>
      <c r="G319" s="219"/>
    </row>
    <row r="320" spans="4:7" x14ac:dyDescent="0.25">
      <c r="D320" s="219"/>
      <c r="E320" s="219"/>
      <c r="F320" s="219"/>
      <c r="G320" s="219"/>
    </row>
    <row r="321" spans="4:7" x14ac:dyDescent="0.25">
      <c r="D321" s="219"/>
      <c r="E321" s="219"/>
      <c r="F321" s="219"/>
      <c r="G321" s="219"/>
    </row>
    <row r="322" spans="4:7" x14ac:dyDescent="0.25">
      <c r="D322" s="219"/>
      <c r="E322" s="219"/>
      <c r="F322" s="219"/>
      <c r="G322" s="219"/>
    </row>
    <row r="323" spans="4:7" x14ac:dyDescent="0.25">
      <c r="D323" s="219"/>
      <c r="E323" s="219"/>
      <c r="F323" s="219"/>
      <c r="G323" s="219"/>
    </row>
    <row r="324" spans="4:7" x14ac:dyDescent="0.25">
      <c r="D324" s="219"/>
      <c r="E324" s="219"/>
      <c r="F324" s="219"/>
      <c r="G324" s="219"/>
    </row>
    <row r="325" spans="4:7" x14ac:dyDescent="0.25">
      <c r="D325" s="219"/>
      <c r="E325" s="219"/>
      <c r="F325" s="219"/>
      <c r="G325" s="219"/>
    </row>
    <row r="326" spans="4:7" x14ac:dyDescent="0.25">
      <c r="D326" s="219"/>
      <c r="E326" s="219"/>
      <c r="F326" s="219"/>
      <c r="G326" s="219"/>
    </row>
    <row r="327" spans="4:7" x14ac:dyDescent="0.25">
      <c r="D327" s="219"/>
      <c r="E327" s="219"/>
      <c r="F327" s="219"/>
      <c r="G327" s="219"/>
    </row>
    <row r="328" spans="4:7" x14ac:dyDescent="0.25">
      <c r="D328" s="219"/>
      <c r="E328" s="219"/>
      <c r="F328" s="219"/>
      <c r="G328" s="219"/>
    </row>
    <row r="329" spans="4:7" x14ac:dyDescent="0.25">
      <c r="D329" s="219"/>
      <c r="E329" s="219"/>
      <c r="F329" s="219"/>
      <c r="G329" s="219"/>
    </row>
    <row r="330" spans="4:7" x14ac:dyDescent="0.25">
      <c r="D330" s="219"/>
      <c r="E330" s="219"/>
      <c r="F330" s="219"/>
      <c r="G330" s="219"/>
    </row>
    <row r="331" spans="4:7" x14ac:dyDescent="0.25">
      <c r="D331" s="219"/>
      <c r="E331" s="219"/>
      <c r="F331" s="219"/>
      <c r="G331" s="219"/>
    </row>
    <row r="332" spans="4:7" x14ac:dyDescent="0.25">
      <c r="D332" s="219"/>
      <c r="E332" s="219"/>
      <c r="F332" s="219"/>
      <c r="G332" s="219"/>
    </row>
    <row r="333" spans="4:7" x14ac:dyDescent="0.25">
      <c r="D333" s="219"/>
      <c r="E333" s="219"/>
      <c r="F333" s="219"/>
      <c r="G333" s="219"/>
    </row>
    <row r="334" spans="4:7" x14ac:dyDescent="0.25">
      <c r="D334" s="219"/>
      <c r="E334" s="219"/>
      <c r="F334" s="219"/>
      <c r="G334" s="219"/>
    </row>
    <row r="335" spans="4:7" x14ac:dyDescent="0.25">
      <c r="D335" s="219"/>
      <c r="E335" s="219"/>
      <c r="F335" s="219"/>
      <c r="G335" s="219"/>
    </row>
    <row r="336" spans="4:7" x14ac:dyDescent="0.25">
      <c r="D336" s="219"/>
      <c r="E336" s="219"/>
      <c r="F336" s="219"/>
      <c r="G336" s="219"/>
    </row>
    <row r="337" spans="4:7" x14ac:dyDescent="0.25">
      <c r="D337" s="219"/>
      <c r="E337" s="219"/>
      <c r="F337" s="219"/>
      <c r="G337" s="219"/>
    </row>
    <row r="338" spans="4:7" x14ac:dyDescent="0.25">
      <c r="D338" s="219"/>
      <c r="E338" s="219"/>
      <c r="F338" s="219"/>
      <c r="G338" s="219"/>
    </row>
    <row r="339" spans="4:7" x14ac:dyDescent="0.25">
      <c r="D339" s="219"/>
      <c r="E339" s="219"/>
      <c r="F339" s="219"/>
      <c r="G339" s="219"/>
    </row>
    <row r="340" spans="4:7" x14ac:dyDescent="0.25">
      <c r="D340" s="219"/>
      <c r="E340" s="219"/>
      <c r="F340" s="219"/>
      <c r="G340" s="219"/>
    </row>
    <row r="341" spans="4:7" x14ac:dyDescent="0.25">
      <c r="D341" s="219"/>
      <c r="E341" s="219"/>
      <c r="F341" s="219"/>
      <c r="G341" s="219"/>
    </row>
    <row r="342" spans="4:7" x14ac:dyDescent="0.25">
      <c r="D342" s="219"/>
      <c r="E342" s="219"/>
      <c r="F342" s="219"/>
      <c r="G342" s="219"/>
    </row>
    <row r="343" spans="4:7" x14ac:dyDescent="0.25">
      <c r="D343" s="219"/>
      <c r="E343" s="219"/>
      <c r="F343" s="219"/>
      <c r="G343" s="219"/>
    </row>
    <row r="344" spans="4:7" x14ac:dyDescent="0.25">
      <c r="D344" s="219"/>
      <c r="E344" s="219"/>
      <c r="F344" s="219"/>
      <c r="G344" s="219"/>
    </row>
    <row r="345" spans="4:7" x14ac:dyDescent="0.25">
      <c r="D345" s="219"/>
      <c r="E345" s="219"/>
      <c r="F345" s="219"/>
      <c r="G345" s="219"/>
    </row>
    <row r="346" spans="4:7" x14ac:dyDescent="0.25">
      <c r="D346" s="219"/>
      <c r="E346" s="219"/>
      <c r="F346" s="219"/>
      <c r="G346" s="219"/>
    </row>
    <row r="347" spans="4:7" x14ac:dyDescent="0.25">
      <c r="D347" s="219"/>
      <c r="E347" s="219"/>
      <c r="F347" s="219"/>
      <c r="G347" s="219"/>
    </row>
    <row r="348" spans="4:7" x14ac:dyDescent="0.25">
      <c r="D348" s="219"/>
      <c r="E348" s="219"/>
      <c r="F348" s="219"/>
      <c r="G348" s="219"/>
    </row>
    <row r="349" spans="4:7" x14ac:dyDescent="0.25">
      <c r="D349" s="219"/>
      <c r="E349" s="219"/>
      <c r="F349" s="219"/>
      <c r="G349" s="219"/>
    </row>
    <row r="350" spans="4:7" x14ac:dyDescent="0.25">
      <c r="D350" s="219"/>
      <c r="E350" s="219"/>
      <c r="F350" s="219"/>
      <c r="G350" s="219"/>
    </row>
    <row r="351" spans="4:7" x14ac:dyDescent="0.25">
      <c r="D351" s="219"/>
      <c r="E351" s="219"/>
      <c r="F351" s="219"/>
      <c r="G351" s="219"/>
    </row>
    <row r="352" spans="4:7" x14ac:dyDescent="0.25">
      <c r="D352" s="219"/>
      <c r="E352" s="219"/>
      <c r="F352" s="219"/>
      <c r="G352" s="219"/>
    </row>
    <row r="353" spans="4:7" x14ac:dyDescent="0.25">
      <c r="D353" s="219"/>
      <c r="E353" s="219"/>
      <c r="F353" s="219"/>
      <c r="G353" s="219"/>
    </row>
    <row r="354" spans="4:7" x14ac:dyDescent="0.25">
      <c r="D354" s="219"/>
      <c r="E354" s="219"/>
      <c r="F354" s="219"/>
      <c r="G354" s="219"/>
    </row>
    <row r="355" spans="4:7" x14ac:dyDescent="0.25">
      <c r="D355" s="219"/>
      <c r="E355" s="219"/>
      <c r="F355" s="219"/>
      <c r="G355" s="219"/>
    </row>
    <row r="356" spans="4:7" x14ac:dyDescent="0.25">
      <c r="D356" s="219"/>
      <c r="E356" s="219"/>
      <c r="F356" s="219"/>
      <c r="G356" s="219"/>
    </row>
    <row r="357" spans="4:7" x14ac:dyDescent="0.25">
      <c r="D357" s="219"/>
      <c r="E357" s="219"/>
      <c r="F357" s="219"/>
      <c r="G357" s="219"/>
    </row>
    <row r="358" spans="4:7" x14ac:dyDescent="0.25">
      <c r="D358" s="219"/>
      <c r="E358" s="219"/>
      <c r="F358" s="219"/>
      <c r="G358" s="219"/>
    </row>
    <row r="359" spans="4:7" x14ac:dyDescent="0.25">
      <c r="D359" s="219"/>
      <c r="E359" s="219"/>
      <c r="F359" s="219"/>
      <c r="G359" s="219"/>
    </row>
    <row r="360" spans="4:7" x14ac:dyDescent="0.25">
      <c r="D360" s="219"/>
      <c r="E360" s="219"/>
      <c r="F360" s="219"/>
      <c r="G360" s="219"/>
    </row>
    <row r="361" spans="4:7" x14ac:dyDescent="0.25">
      <c r="D361" s="219"/>
      <c r="E361" s="219"/>
      <c r="F361" s="219"/>
      <c r="G361" s="219"/>
    </row>
    <row r="362" spans="4:7" x14ac:dyDescent="0.25">
      <c r="D362" s="219"/>
      <c r="E362" s="219"/>
      <c r="F362" s="219"/>
      <c r="G362" s="219"/>
    </row>
    <row r="363" spans="4:7" x14ac:dyDescent="0.25">
      <c r="D363" s="219"/>
      <c r="E363" s="219"/>
      <c r="F363" s="219"/>
      <c r="G363" s="219"/>
    </row>
    <row r="364" spans="4:7" x14ac:dyDescent="0.25">
      <c r="D364" s="219"/>
      <c r="E364" s="219"/>
      <c r="F364" s="219"/>
      <c r="G364" s="219"/>
    </row>
    <row r="365" spans="4:7" x14ac:dyDescent="0.25">
      <c r="D365" s="219"/>
      <c r="E365" s="219"/>
      <c r="F365" s="219"/>
      <c r="G365" s="219"/>
    </row>
    <row r="366" spans="4:7" x14ac:dyDescent="0.25">
      <c r="D366" s="219"/>
      <c r="E366" s="219"/>
      <c r="F366" s="219"/>
      <c r="G366" s="219"/>
    </row>
    <row r="367" spans="4:7" x14ac:dyDescent="0.25">
      <c r="D367" s="219"/>
      <c r="E367" s="219"/>
      <c r="F367" s="219"/>
      <c r="G367" s="219"/>
    </row>
    <row r="368" spans="4:7" x14ac:dyDescent="0.25">
      <c r="D368" s="219"/>
      <c r="E368" s="219"/>
      <c r="F368" s="219"/>
      <c r="G368" s="219"/>
    </row>
    <row r="369" spans="4:7" x14ac:dyDescent="0.25">
      <c r="D369" s="219"/>
      <c r="E369" s="219"/>
      <c r="F369" s="219"/>
      <c r="G369" s="219"/>
    </row>
    <row r="370" spans="4:7" x14ac:dyDescent="0.25">
      <c r="D370" s="219"/>
      <c r="E370" s="219"/>
      <c r="F370" s="219"/>
      <c r="G370" s="219"/>
    </row>
    <row r="371" spans="4:7" x14ac:dyDescent="0.25">
      <c r="D371" s="219"/>
      <c r="E371" s="219"/>
      <c r="F371" s="219"/>
      <c r="G371" s="219"/>
    </row>
    <row r="372" spans="4:7" x14ac:dyDescent="0.25">
      <c r="D372" s="219"/>
      <c r="E372" s="219"/>
      <c r="F372" s="219"/>
      <c r="G372" s="219"/>
    </row>
    <row r="373" spans="4:7" x14ac:dyDescent="0.25">
      <c r="D373" s="219"/>
      <c r="E373" s="219"/>
      <c r="F373" s="219"/>
      <c r="G373" s="219"/>
    </row>
    <row r="374" spans="4:7" x14ac:dyDescent="0.25">
      <c r="D374" s="219"/>
      <c r="E374" s="219"/>
      <c r="F374" s="219"/>
      <c r="G374" s="219"/>
    </row>
    <row r="375" spans="4:7" x14ac:dyDescent="0.25">
      <c r="D375" s="219"/>
      <c r="E375" s="219"/>
      <c r="F375" s="219"/>
      <c r="G375" s="219"/>
    </row>
    <row r="376" spans="4:7" x14ac:dyDescent="0.25">
      <c r="D376" s="219"/>
      <c r="E376" s="219"/>
      <c r="F376" s="219"/>
      <c r="G376" s="219"/>
    </row>
    <row r="377" spans="4:7" x14ac:dyDescent="0.25">
      <c r="D377" s="219"/>
      <c r="E377" s="219"/>
      <c r="F377" s="219"/>
      <c r="G377" s="219"/>
    </row>
    <row r="378" spans="4:7" x14ac:dyDescent="0.25">
      <c r="D378" s="219"/>
      <c r="E378" s="219"/>
      <c r="F378" s="219"/>
      <c r="G378" s="219"/>
    </row>
    <row r="379" spans="4:7" x14ac:dyDescent="0.25">
      <c r="D379" s="219"/>
      <c r="E379" s="219"/>
      <c r="F379" s="219"/>
      <c r="G379" s="219"/>
    </row>
    <row r="380" spans="4:7" x14ac:dyDescent="0.25">
      <c r="D380" s="219"/>
      <c r="E380" s="219"/>
      <c r="F380" s="219"/>
      <c r="G380" s="219"/>
    </row>
    <row r="381" spans="4:7" x14ac:dyDescent="0.25">
      <c r="D381" s="219"/>
      <c r="E381" s="219"/>
      <c r="F381" s="219"/>
      <c r="G381" s="219"/>
    </row>
    <row r="382" spans="4:7" x14ac:dyDescent="0.25">
      <c r="D382" s="219"/>
      <c r="E382" s="219"/>
      <c r="F382" s="219"/>
      <c r="G382" s="219"/>
    </row>
    <row r="383" spans="4:7" x14ac:dyDescent="0.25">
      <c r="D383" s="219"/>
      <c r="E383" s="219"/>
      <c r="F383" s="219"/>
      <c r="G383" s="219"/>
    </row>
    <row r="384" spans="4:7" x14ac:dyDescent="0.25">
      <c r="D384" s="219"/>
      <c r="E384" s="219"/>
      <c r="F384" s="219"/>
      <c r="G384" s="219"/>
    </row>
    <row r="385" spans="4:7" x14ac:dyDescent="0.25">
      <c r="D385" s="219"/>
      <c r="E385" s="219"/>
      <c r="F385" s="219"/>
      <c r="G385" s="219"/>
    </row>
    <row r="386" spans="4:7" x14ac:dyDescent="0.25">
      <c r="D386" s="219"/>
      <c r="E386" s="219"/>
      <c r="F386" s="219"/>
      <c r="G386" s="219"/>
    </row>
    <row r="387" spans="4:7" x14ac:dyDescent="0.25">
      <c r="D387" s="219"/>
      <c r="E387" s="219"/>
      <c r="F387" s="219"/>
      <c r="G387" s="219"/>
    </row>
    <row r="388" spans="4:7" x14ac:dyDescent="0.25">
      <c r="D388" s="219"/>
      <c r="E388" s="219"/>
      <c r="F388" s="219"/>
      <c r="G388" s="219"/>
    </row>
    <row r="389" spans="4:7" x14ac:dyDescent="0.25">
      <c r="D389" s="219"/>
      <c r="E389" s="219"/>
      <c r="F389" s="219"/>
      <c r="G389" s="219"/>
    </row>
    <row r="390" spans="4:7" x14ac:dyDescent="0.25">
      <c r="D390" s="219"/>
      <c r="E390" s="219"/>
      <c r="F390" s="219"/>
      <c r="G390" s="219"/>
    </row>
    <row r="391" spans="4:7" x14ac:dyDescent="0.25">
      <c r="D391" s="219"/>
      <c r="E391" s="219"/>
      <c r="F391" s="219"/>
      <c r="G391" s="219"/>
    </row>
    <row r="392" spans="4:7" x14ac:dyDescent="0.25">
      <c r="D392" s="219"/>
      <c r="E392" s="219"/>
      <c r="F392" s="219"/>
      <c r="G392" s="219"/>
    </row>
    <row r="393" spans="4:7" x14ac:dyDescent="0.25">
      <c r="D393" s="219"/>
      <c r="E393" s="219"/>
      <c r="F393" s="219"/>
      <c r="G393" s="219"/>
    </row>
    <row r="394" spans="4:7" x14ac:dyDescent="0.25">
      <c r="D394" s="219"/>
      <c r="E394" s="219"/>
      <c r="F394" s="219"/>
      <c r="G394" s="219"/>
    </row>
    <row r="395" spans="4:7" x14ac:dyDescent="0.25">
      <c r="D395" s="219"/>
      <c r="E395" s="219"/>
      <c r="F395" s="219"/>
      <c r="G395" s="219"/>
    </row>
    <row r="396" spans="4:7" x14ac:dyDescent="0.25">
      <c r="D396" s="219"/>
      <c r="E396" s="219"/>
      <c r="F396" s="219"/>
      <c r="G396" s="219"/>
    </row>
    <row r="397" spans="4:7" x14ac:dyDescent="0.25">
      <c r="D397" s="219"/>
      <c r="E397" s="219"/>
      <c r="F397" s="219"/>
      <c r="G397" s="219"/>
    </row>
    <row r="398" spans="4:7" x14ac:dyDescent="0.25">
      <c r="D398" s="219"/>
      <c r="E398" s="219"/>
      <c r="F398" s="219"/>
      <c r="G398" s="219"/>
    </row>
    <row r="399" spans="4:7" x14ac:dyDescent="0.25">
      <c r="D399" s="219"/>
      <c r="E399" s="219"/>
      <c r="F399" s="219"/>
      <c r="G399" s="219"/>
    </row>
    <row r="400" spans="4:7" x14ac:dyDescent="0.25">
      <c r="D400" s="219"/>
      <c r="E400" s="219"/>
      <c r="F400" s="219"/>
      <c r="G400" s="219"/>
    </row>
    <row r="401" spans="4:7" x14ac:dyDescent="0.25">
      <c r="D401" s="219"/>
      <c r="E401" s="219"/>
      <c r="F401" s="219"/>
      <c r="G401" s="219"/>
    </row>
    <row r="402" spans="4:7" x14ac:dyDescent="0.25">
      <c r="D402" s="219"/>
      <c r="E402" s="219"/>
      <c r="F402" s="219"/>
      <c r="G402" s="219"/>
    </row>
    <row r="403" spans="4:7" x14ac:dyDescent="0.25">
      <c r="D403" s="219"/>
      <c r="E403" s="219"/>
      <c r="F403" s="219"/>
      <c r="G403" s="219"/>
    </row>
    <row r="404" spans="4:7" x14ac:dyDescent="0.25">
      <c r="D404" s="219"/>
      <c r="E404" s="219"/>
      <c r="F404" s="219"/>
      <c r="G404" s="219"/>
    </row>
    <row r="405" spans="4:7" x14ac:dyDescent="0.25">
      <c r="D405" s="219"/>
      <c r="E405" s="219"/>
      <c r="F405" s="219"/>
      <c r="G405" s="219"/>
    </row>
    <row r="406" spans="4:7" x14ac:dyDescent="0.25">
      <c r="D406" s="219"/>
      <c r="E406" s="219"/>
      <c r="F406" s="219"/>
      <c r="G406" s="219"/>
    </row>
    <row r="407" spans="4:7" x14ac:dyDescent="0.25">
      <c r="D407" s="219"/>
      <c r="E407" s="219"/>
      <c r="F407" s="219"/>
      <c r="G407" s="219"/>
    </row>
    <row r="408" spans="4:7" x14ac:dyDescent="0.25">
      <c r="D408" s="219"/>
      <c r="E408" s="219"/>
      <c r="F408" s="219"/>
      <c r="G408" s="219"/>
    </row>
    <row r="409" spans="4:7" x14ac:dyDescent="0.25">
      <c r="D409" s="219"/>
      <c r="E409" s="219"/>
      <c r="F409" s="219"/>
      <c r="G409" s="219"/>
    </row>
    <row r="410" spans="4:7" x14ac:dyDescent="0.25">
      <c r="D410" s="219"/>
      <c r="E410" s="219"/>
      <c r="F410" s="219"/>
      <c r="G410" s="219"/>
    </row>
    <row r="411" spans="4:7" x14ac:dyDescent="0.25">
      <c r="D411" s="219"/>
      <c r="E411" s="219"/>
      <c r="F411" s="219"/>
      <c r="G411" s="219"/>
    </row>
    <row r="412" spans="4:7" x14ac:dyDescent="0.25">
      <c r="D412" s="219"/>
      <c r="E412" s="219"/>
      <c r="F412" s="219"/>
      <c r="G412" s="219"/>
    </row>
    <row r="413" spans="4:7" x14ac:dyDescent="0.25">
      <c r="D413" s="219"/>
      <c r="E413" s="219"/>
      <c r="F413" s="219"/>
      <c r="G413" s="219"/>
    </row>
    <row r="414" spans="4:7" x14ac:dyDescent="0.25">
      <c r="D414" s="219"/>
      <c r="E414" s="219"/>
      <c r="F414" s="219"/>
      <c r="G414" s="219"/>
    </row>
    <row r="415" spans="4:7" x14ac:dyDescent="0.25">
      <c r="D415" s="219"/>
      <c r="E415" s="219"/>
      <c r="F415" s="219"/>
      <c r="G415" s="219"/>
    </row>
    <row r="416" spans="4:7" x14ac:dyDescent="0.25">
      <c r="D416" s="219"/>
      <c r="E416" s="219"/>
      <c r="F416" s="219"/>
      <c r="G416" s="219"/>
    </row>
    <row r="417" spans="4:7" x14ac:dyDescent="0.25">
      <c r="D417" s="219"/>
      <c r="E417" s="219"/>
      <c r="F417" s="219"/>
      <c r="G417" s="219"/>
    </row>
    <row r="418" spans="4:7" x14ac:dyDescent="0.25">
      <c r="D418" s="219"/>
      <c r="E418" s="219"/>
      <c r="F418" s="219"/>
      <c r="G418" s="219"/>
    </row>
    <row r="419" spans="4:7" x14ac:dyDescent="0.25">
      <c r="D419" s="219"/>
      <c r="E419" s="219"/>
      <c r="F419" s="219"/>
      <c r="G419" s="219"/>
    </row>
    <row r="420" spans="4:7" x14ac:dyDescent="0.25">
      <c r="D420" s="219"/>
      <c r="E420" s="219"/>
      <c r="F420" s="219"/>
      <c r="G420" s="219"/>
    </row>
    <row r="421" spans="4:7" x14ac:dyDescent="0.25">
      <c r="D421" s="219"/>
      <c r="E421" s="219"/>
      <c r="F421" s="219"/>
      <c r="G421" s="219"/>
    </row>
    <row r="422" spans="4:7" x14ac:dyDescent="0.25">
      <c r="D422" s="219"/>
      <c r="E422" s="219"/>
      <c r="F422" s="219"/>
      <c r="G422" s="219"/>
    </row>
    <row r="423" spans="4:7" x14ac:dyDescent="0.25">
      <c r="D423" s="219"/>
      <c r="E423" s="219"/>
      <c r="F423" s="219"/>
      <c r="G423" s="219"/>
    </row>
    <row r="424" spans="4:7" x14ac:dyDescent="0.25">
      <c r="D424" s="219"/>
      <c r="E424" s="219"/>
      <c r="F424" s="219"/>
      <c r="G424" s="219"/>
    </row>
    <row r="425" spans="4:7" x14ac:dyDescent="0.25">
      <c r="D425" s="219"/>
      <c r="E425" s="219"/>
      <c r="F425" s="219"/>
      <c r="G425" s="219"/>
    </row>
    <row r="426" spans="4:7" x14ac:dyDescent="0.25">
      <c r="D426" s="219"/>
      <c r="E426" s="219"/>
      <c r="F426" s="219"/>
      <c r="G426" s="219"/>
    </row>
    <row r="427" spans="4:7" x14ac:dyDescent="0.25">
      <c r="D427" s="219"/>
      <c r="E427" s="219"/>
      <c r="F427" s="219"/>
      <c r="G427" s="219"/>
    </row>
    <row r="428" spans="4:7" x14ac:dyDescent="0.25">
      <c r="D428" s="219"/>
      <c r="E428" s="219"/>
      <c r="F428" s="219"/>
      <c r="G428" s="219"/>
    </row>
    <row r="429" spans="4:7" x14ac:dyDescent="0.25">
      <c r="D429" s="219"/>
      <c r="E429" s="219"/>
      <c r="F429" s="219"/>
      <c r="G429" s="219"/>
    </row>
    <row r="430" spans="4:7" x14ac:dyDescent="0.25">
      <c r="D430" s="219"/>
      <c r="E430" s="219"/>
      <c r="F430" s="219"/>
      <c r="G430" s="219"/>
    </row>
    <row r="431" spans="4:7" x14ac:dyDescent="0.25">
      <c r="D431" s="219"/>
      <c r="E431" s="219"/>
      <c r="F431" s="219"/>
      <c r="G431" s="219"/>
    </row>
    <row r="432" spans="4:7" x14ac:dyDescent="0.25">
      <c r="D432" s="219"/>
      <c r="E432" s="219"/>
      <c r="F432" s="219"/>
      <c r="G432" s="219"/>
    </row>
    <row r="433" spans="4:7" x14ac:dyDescent="0.25">
      <c r="D433" s="219"/>
      <c r="E433" s="219"/>
      <c r="F433" s="219"/>
      <c r="G433" s="219"/>
    </row>
    <row r="434" spans="4:7" x14ac:dyDescent="0.25">
      <c r="D434" s="219"/>
      <c r="E434" s="219"/>
      <c r="F434" s="219"/>
      <c r="G434" s="219"/>
    </row>
    <row r="435" spans="4:7" x14ac:dyDescent="0.25">
      <c r="D435" s="219"/>
      <c r="E435" s="219"/>
      <c r="F435" s="219"/>
      <c r="G435" s="219"/>
    </row>
    <row r="436" spans="4:7" x14ac:dyDescent="0.25">
      <c r="D436" s="219"/>
      <c r="E436" s="219"/>
      <c r="F436" s="219"/>
      <c r="G436" s="219"/>
    </row>
    <row r="437" spans="4:7" x14ac:dyDescent="0.25">
      <c r="D437" s="219"/>
      <c r="E437" s="219"/>
      <c r="F437" s="219"/>
      <c r="G437" s="219"/>
    </row>
    <row r="438" spans="4:7" x14ac:dyDescent="0.25">
      <c r="D438" s="219"/>
      <c r="E438" s="219"/>
      <c r="F438" s="219"/>
      <c r="G438" s="219"/>
    </row>
    <row r="439" spans="4:7" x14ac:dyDescent="0.25">
      <c r="D439" s="219"/>
      <c r="E439" s="219"/>
      <c r="F439" s="219"/>
      <c r="G439" s="219"/>
    </row>
    <row r="440" spans="4:7" x14ac:dyDescent="0.25">
      <c r="D440" s="219"/>
      <c r="E440" s="219"/>
      <c r="F440" s="219"/>
      <c r="G440" s="219"/>
    </row>
    <row r="441" spans="4:7" x14ac:dyDescent="0.25">
      <c r="D441" s="219"/>
      <c r="E441" s="219"/>
      <c r="F441" s="219"/>
      <c r="G441" s="219"/>
    </row>
    <row r="442" spans="4:7" x14ac:dyDescent="0.25">
      <c r="D442" s="219"/>
      <c r="E442" s="219"/>
      <c r="F442" s="219"/>
      <c r="G442" s="219"/>
    </row>
    <row r="443" spans="4:7" x14ac:dyDescent="0.25">
      <c r="D443" s="219"/>
      <c r="E443" s="219"/>
      <c r="F443" s="219"/>
      <c r="G443" s="219"/>
    </row>
    <row r="444" spans="4:7" x14ac:dyDescent="0.25">
      <c r="D444" s="219"/>
      <c r="E444" s="219"/>
      <c r="F444" s="219"/>
      <c r="G444" s="219"/>
    </row>
    <row r="445" spans="4:7" x14ac:dyDescent="0.25">
      <c r="D445" s="219"/>
      <c r="E445" s="219"/>
      <c r="F445" s="219"/>
      <c r="G445" s="219"/>
    </row>
    <row r="446" spans="4:7" x14ac:dyDescent="0.25">
      <c r="D446" s="219"/>
      <c r="E446" s="219"/>
      <c r="F446" s="219"/>
      <c r="G446" s="219"/>
    </row>
    <row r="447" spans="4:7" x14ac:dyDescent="0.25">
      <c r="D447" s="219"/>
      <c r="E447" s="219"/>
      <c r="F447" s="219"/>
      <c r="G447" s="219"/>
    </row>
    <row r="448" spans="4:7" x14ac:dyDescent="0.25">
      <c r="D448" s="219"/>
      <c r="E448" s="219"/>
      <c r="F448" s="219"/>
      <c r="G448" s="219"/>
    </row>
    <row r="449" spans="4:7" x14ac:dyDescent="0.25">
      <c r="D449" s="219"/>
      <c r="E449" s="219"/>
      <c r="F449" s="219"/>
      <c r="G449" s="219"/>
    </row>
    <row r="450" spans="4:7" x14ac:dyDescent="0.25">
      <c r="D450" s="219"/>
      <c r="E450" s="219"/>
      <c r="F450" s="219"/>
      <c r="G450" s="219"/>
    </row>
    <row r="451" spans="4:7" x14ac:dyDescent="0.25">
      <c r="D451" s="219"/>
      <c r="E451" s="219"/>
      <c r="F451" s="219"/>
      <c r="G451" s="219"/>
    </row>
    <row r="452" spans="4:7" x14ac:dyDescent="0.25">
      <c r="D452" s="219"/>
      <c r="E452" s="219"/>
      <c r="F452" s="219"/>
      <c r="G452" s="219"/>
    </row>
    <row r="453" spans="4:7" x14ac:dyDescent="0.25">
      <c r="D453" s="219"/>
      <c r="E453" s="219"/>
      <c r="F453" s="219"/>
      <c r="G453" s="219"/>
    </row>
    <row r="454" spans="4:7" x14ac:dyDescent="0.25">
      <c r="D454" s="219"/>
      <c r="E454" s="219"/>
      <c r="F454" s="219"/>
      <c r="G454" s="219"/>
    </row>
    <row r="455" spans="4:7" x14ac:dyDescent="0.25">
      <c r="D455" s="219"/>
      <c r="E455" s="219"/>
      <c r="F455" s="219"/>
      <c r="G455" s="219"/>
    </row>
    <row r="456" spans="4:7" x14ac:dyDescent="0.25">
      <c r="D456" s="219"/>
      <c r="E456" s="219"/>
      <c r="F456" s="219"/>
      <c r="G456" s="219"/>
    </row>
    <row r="457" spans="4:7" x14ac:dyDescent="0.25">
      <c r="D457" s="219"/>
      <c r="E457" s="219"/>
      <c r="F457" s="219"/>
      <c r="G457" s="219"/>
    </row>
    <row r="458" spans="4:7" x14ac:dyDescent="0.25">
      <c r="D458" s="219"/>
      <c r="E458" s="219"/>
      <c r="F458" s="219"/>
      <c r="G458" s="219"/>
    </row>
    <row r="459" spans="4:7" x14ac:dyDescent="0.25">
      <c r="D459" s="219"/>
      <c r="E459" s="219"/>
      <c r="F459" s="219"/>
      <c r="G459" s="219"/>
    </row>
    <row r="460" spans="4:7" x14ac:dyDescent="0.25">
      <c r="D460" s="219"/>
      <c r="E460" s="219"/>
      <c r="F460" s="219"/>
      <c r="G460" s="219"/>
    </row>
    <row r="461" spans="4:7" x14ac:dyDescent="0.25">
      <c r="D461" s="219"/>
      <c r="E461" s="219"/>
      <c r="F461" s="219"/>
      <c r="G461" s="219"/>
    </row>
    <row r="462" spans="4:7" x14ac:dyDescent="0.25">
      <c r="D462" s="219"/>
      <c r="E462" s="219"/>
      <c r="F462" s="219"/>
      <c r="G462" s="219"/>
    </row>
    <row r="463" spans="4:7" x14ac:dyDescent="0.25">
      <c r="D463" s="219"/>
      <c r="E463" s="219"/>
      <c r="F463" s="219"/>
      <c r="G463" s="219"/>
    </row>
    <row r="464" spans="4:7" x14ac:dyDescent="0.25">
      <c r="D464" s="219"/>
      <c r="E464" s="219"/>
      <c r="F464" s="219"/>
      <c r="G464" s="219"/>
    </row>
    <row r="465" spans="4:7" x14ac:dyDescent="0.25">
      <c r="D465" s="219"/>
      <c r="E465" s="219"/>
      <c r="F465" s="219"/>
      <c r="G465" s="219"/>
    </row>
    <row r="466" spans="4:7" x14ac:dyDescent="0.25">
      <c r="D466" s="219"/>
      <c r="E466" s="219"/>
      <c r="F466" s="219"/>
      <c r="G466" s="219"/>
    </row>
    <row r="467" spans="4:7" x14ac:dyDescent="0.25">
      <c r="D467" s="219"/>
      <c r="E467" s="219"/>
      <c r="F467" s="219"/>
      <c r="G467" s="219"/>
    </row>
    <row r="468" spans="4:7" x14ac:dyDescent="0.25">
      <c r="D468" s="219"/>
      <c r="E468" s="219"/>
      <c r="F468" s="219"/>
      <c r="G468" s="219"/>
    </row>
    <row r="469" spans="4:7" x14ac:dyDescent="0.25">
      <c r="D469" s="219"/>
      <c r="E469" s="219"/>
      <c r="F469" s="219"/>
      <c r="G469" s="219"/>
    </row>
    <row r="470" spans="4:7" x14ac:dyDescent="0.25">
      <c r="D470" s="219"/>
      <c r="E470" s="219"/>
      <c r="F470" s="219"/>
      <c r="G470" s="219"/>
    </row>
    <row r="471" spans="4:7" x14ac:dyDescent="0.25">
      <c r="D471" s="219"/>
      <c r="E471" s="219"/>
      <c r="F471" s="219"/>
      <c r="G471" s="219"/>
    </row>
    <row r="472" spans="4:7" x14ac:dyDescent="0.25">
      <c r="D472" s="219"/>
      <c r="E472" s="219"/>
      <c r="F472" s="219"/>
      <c r="G472" s="219"/>
    </row>
    <row r="473" spans="4:7" x14ac:dyDescent="0.25">
      <c r="D473" s="219"/>
      <c r="E473" s="219"/>
      <c r="F473" s="219"/>
      <c r="G473" s="219"/>
    </row>
    <row r="474" spans="4:7" x14ac:dyDescent="0.25">
      <c r="D474" s="219"/>
      <c r="E474" s="219"/>
      <c r="F474" s="219"/>
      <c r="G474" s="219"/>
    </row>
    <row r="475" spans="4:7" x14ac:dyDescent="0.25">
      <c r="D475" s="219"/>
      <c r="E475" s="219"/>
      <c r="F475" s="219"/>
      <c r="G475" s="219"/>
    </row>
    <row r="476" spans="4:7" x14ac:dyDescent="0.25">
      <c r="D476" s="219"/>
      <c r="E476" s="219"/>
      <c r="F476" s="219"/>
      <c r="G476" s="219"/>
    </row>
    <row r="477" spans="4:7" x14ac:dyDescent="0.25">
      <c r="D477" s="219"/>
      <c r="E477" s="219"/>
      <c r="F477" s="219"/>
      <c r="G477" s="219"/>
    </row>
    <row r="478" spans="4:7" x14ac:dyDescent="0.25">
      <c r="D478" s="219"/>
      <c r="E478" s="219"/>
      <c r="F478" s="219"/>
      <c r="G478" s="219"/>
    </row>
    <row r="479" spans="4:7" x14ac:dyDescent="0.25">
      <c r="D479" s="219"/>
      <c r="E479" s="219"/>
      <c r="F479" s="219"/>
      <c r="G479" s="219"/>
    </row>
    <row r="480" spans="4:7" x14ac:dyDescent="0.25">
      <c r="D480" s="219"/>
      <c r="E480" s="219"/>
      <c r="F480" s="219"/>
      <c r="G480" s="219"/>
    </row>
    <row r="481" spans="4:7" x14ac:dyDescent="0.25">
      <c r="D481" s="219"/>
      <c r="E481" s="219"/>
      <c r="F481" s="219"/>
      <c r="G481" s="219"/>
    </row>
    <row r="482" spans="4:7" x14ac:dyDescent="0.25">
      <c r="D482" s="219"/>
      <c r="E482" s="219"/>
      <c r="F482" s="219"/>
      <c r="G482" s="219"/>
    </row>
    <row r="483" spans="4:7" x14ac:dyDescent="0.25">
      <c r="D483" s="219"/>
      <c r="E483" s="219"/>
      <c r="F483" s="219"/>
      <c r="G483" s="219"/>
    </row>
    <row r="484" spans="4:7" x14ac:dyDescent="0.25">
      <c r="D484" s="219"/>
      <c r="E484" s="219"/>
      <c r="F484" s="219"/>
      <c r="G484" s="219"/>
    </row>
    <row r="485" spans="4:7" x14ac:dyDescent="0.25">
      <c r="D485" s="219"/>
      <c r="E485" s="219"/>
      <c r="F485" s="219"/>
      <c r="G485" s="219"/>
    </row>
    <row r="486" spans="4:7" x14ac:dyDescent="0.25">
      <c r="D486" s="219"/>
      <c r="E486" s="219"/>
      <c r="F486" s="219"/>
      <c r="G486" s="219"/>
    </row>
    <row r="487" spans="4:7" x14ac:dyDescent="0.25">
      <c r="D487" s="219"/>
      <c r="E487" s="219"/>
      <c r="F487" s="219"/>
      <c r="G487" s="219"/>
    </row>
    <row r="488" spans="4:7" x14ac:dyDescent="0.25">
      <c r="D488" s="219"/>
      <c r="E488" s="219"/>
      <c r="F488" s="219"/>
      <c r="G488" s="219"/>
    </row>
    <row r="489" spans="4:7" x14ac:dyDescent="0.25">
      <c r="D489" s="219"/>
      <c r="E489" s="219"/>
      <c r="F489" s="219"/>
      <c r="G489" s="219"/>
    </row>
    <row r="490" spans="4:7" x14ac:dyDescent="0.25">
      <c r="D490" s="219"/>
      <c r="E490" s="219"/>
      <c r="F490" s="219"/>
      <c r="G490" s="219"/>
    </row>
    <row r="491" spans="4:7" x14ac:dyDescent="0.25">
      <c r="D491" s="219"/>
      <c r="E491" s="219"/>
      <c r="F491" s="219"/>
      <c r="G491" s="219"/>
    </row>
    <row r="492" spans="4:7" x14ac:dyDescent="0.25">
      <c r="D492" s="219"/>
      <c r="E492" s="219"/>
      <c r="F492" s="219"/>
      <c r="G492" s="219"/>
    </row>
    <row r="493" spans="4:7" x14ac:dyDescent="0.25">
      <c r="D493" s="219"/>
      <c r="E493" s="219"/>
      <c r="F493" s="219"/>
      <c r="G493" s="219"/>
    </row>
    <row r="494" spans="4:7" x14ac:dyDescent="0.25">
      <c r="D494" s="219"/>
      <c r="E494" s="219"/>
      <c r="F494" s="219"/>
      <c r="G494" s="219"/>
    </row>
    <row r="495" spans="4:7" x14ac:dyDescent="0.25">
      <c r="D495" s="219"/>
      <c r="E495" s="219"/>
      <c r="F495" s="219"/>
      <c r="G495" s="219"/>
    </row>
    <row r="496" spans="4:7" x14ac:dyDescent="0.25">
      <c r="D496" s="219"/>
      <c r="E496" s="219"/>
      <c r="F496" s="219"/>
      <c r="G496" s="219"/>
    </row>
    <row r="497" spans="4:7" x14ac:dyDescent="0.25">
      <c r="D497" s="219"/>
      <c r="E497" s="219"/>
      <c r="F497" s="219"/>
      <c r="G497" s="219"/>
    </row>
    <row r="498" spans="4:7" x14ac:dyDescent="0.25">
      <c r="D498" s="219"/>
      <c r="E498" s="219"/>
      <c r="F498" s="219"/>
      <c r="G498" s="219"/>
    </row>
    <row r="499" spans="4:7" x14ac:dyDescent="0.25">
      <c r="D499" s="219"/>
      <c r="E499" s="219"/>
      <c r="F499" s="219"/>
      <c r="G499" s="219"/>
    </row>
    <row r="500" spans="4:7" x14ac:dyDescent="0.25">
      <c r="D500" s="219"/>
      <c r="E500" s="219"/>
      <c r="F500" s="219"/>
      <c r="G500" s="219"/>
    </row>
    <row r="501" spans="4:7" x14ac:dyDescent="0.25">
      <c r="D501" s="219"/>
      <c r="E501" s="219"/>
      <c r="F501" s="219"/>
      <c r="G501" s="219"/>
    </row>
    <row r="502" spans="4:7" x14ac:dyDescent="0.25">
      <c r="D502" s="219"/>
      <c r="E502" s="219"/>
      <c r="F502" s="219"/>
      <c r="G502" s="219"/>
    </row>
    <row r="503" spans="4:7" x14ac:dyDescent="0.25">
      <c r="D503" s="219"/>
      <c r="E503" s="219"/>
      <c r="F503" s="219"/>
      <c r="G503" s="219"/>
    </row>
    <row r="504" spans="4:7" x14ac:dyDescent="0.25">
      <c r="D504" s="219"/>
      <c r="E504" s="219"/>
      <c r="F504" s="219"/>
      <c r="G504" s="219"/>
    </row>
    <row r="505" spans="4:7" x14ac:dyDescent="0.25">
      <c r="D505" s="219"/>
      <c r="E505" s="219"/>
      <c r="F505" s="219"/>
      <c r="G505" s="219"/>
    </row>
    <row r="506" spans="4:7" x14ac:dyDescent="0.25">
      <c r="D506" s="219"/>
      <c r="E506" s="219"/>
      <c r="F506" s="219"/>
      <c r="G506" s="219"/>
    </row>
    <row r="507" spans="4:7" x14ac:dyDescent="0.25">
      <c r="D507" s="219"/>
      <c r="E507" s="219"/>
      <c r="F507" s="219"/>
      <c r="G507" s="219"/>
    </row>
    <row r="508" spans="4:7" x14ac:dyDescent="0.25">
      <c r="D508" s="219"/>
      <c r="E508" s="219"/>
      <c r="F508" s="219"/>
      <c r="G508" s="219"/>
    </row>
    <row r="509" spans="4:7" x14ac:dyDescent="0.25">
      <c r="D509" s="219"/>
      <c r="E509" s="219"/>
      <c r="F509" s="219"/>
      <c r="G509" s="219"/>
    </row>
    <row r="510" spans="4:7" x14ac:dyDescent="0.25">
      <c r="D510" s="219"/>
      <c r="E510" s="219"/>
      <c r="F510" s="219"/>
      <c r="G510" s="219"/>
    </row>
    <row r="511" spans="4:7" x14ac:dyDescent="0.25">
      <c r="D511" s="219"/>
      <c r="E511" s="219"/>
      <c r="F511" s="219"/>
      <c r="G511" s="219"/>
    </row>
  </sheetData>
  <mergeCells count="30">
    <mergeCell ref="A40:G40"/>
    <mergeCell ref="C33:C36"/>
    <mergeCell ref="A27:A29"/>
    <mergeCell ref="B27:B29"/>
    <mergeCell ref="C27:C29"/>
    <mergeCell ref="A30:A32"/>
    <mergeCell ref="B30:B32"/>
    <mergeCell ref="C30:C32"/>
    <mergeCell ref="A39:G39"/>
    <mergeCell ref="A3:G3"/>
    <mergeCell ref="A4:G4"/>
    <mergeCell ref="A5:G5"/>
    <mergeCell ref="A6:G6"/>
    <mergeCell ref="A18:A20"/>
    <mergeCell ref="B18:B20"/>
    <mergeCell ref="C18:C20"/>
    <mergeCell ref="A15:A17"/>
    <mergeCell ref="B15:B17"/>
    <mergeCell ref="C15:C17"/>
    <mergeCell ref="A12:A14"/>
    <mergeCell ref="B12:B14"/>
    <mergeCell ref="C12:C14"/>
    <mergeCell ref="F7:G7"/>
    <mergeCell ref="F8:G8"/>
    <mergeCell ref="A21:A23"/>
    <mergeCell ref="B21:B23"/>
    <mergeCell ref="C21:C23"/>
    <mergeCell ref="A24:A26"/>
    <mergeCell ref="B24:B26"/>
    <mergeCell ref="C24:C26"/>
  </mergeCells>
  <printOptions horizontalCentered="1"/>
  <pageMargins left="0.39370078740157483" right="0.39370078740157483" top="0.39370078740157483" bottom="0.39370078740157483" header="0.31496062992125984" footer="0.31496062992125984"/>
  <pageSetup paperSize="9" scale="61" orientation="landscape" r:id="rId1"/>
  <headerFooter>
    <oddHeader>&amp;F</oddHeader>
    <oddFooter>Página &amp;P de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sheetPr>
  <dimension ref="A1:X243"/>
  <sheetViews>
    <sheetView showGridLines="0" view="pageBreakPreview" topLeftCell="A99" zoomScale="90" zoomScaleNormal="100" zoomScaleSheetLayoutView="90" workbookViewId="0">
      <selection activeCell="A119" sqref="A119:XFD119"/>
    </sheetView>
  </sheetViews>
  <sheetFormatPr defaultRowHeight="12.75" x14ac:dyDescent="0.2"/>
  <cols>
    <col min="1" max="1" width="13.7109375" style="243" customWidth="1"/>
    <col min="2" max="2" width="51" style="66" customWidth="1"/>
    <col min="3" max="3" width="5.140625" style="252" customWidth="1"/>
    <col min="4" max="4" width="10.42578125" style="247" customWidth="1"/>
    <col min="5" max="5" width="12.140625" style="247" customWidth="1"/>
    <col min="6" max="6" width="12.85546875" style="247" customWidth="1"/>
    <col min="7" max="7" width="14.7109375" style="247" customWidth="1"/>
    <col min="8" max="8" width="12.5703125" style="247" customWidth="1"/>
    <col min="9" max="9" width="9.7109375" style="247" customWidth="1"/>
    <col min="10" max="10" width="15" style="247" customWidth="1"/>
    <col min="11" max="11" width="16" style="356" customWidth="1"/>
    <col min="12" max="12" width="18.42578125" style="363" customWidth="1"/>
    <col min="13" max="13" width="23.28515625" style="66" customWidth="1"/>
    <col min="14" max="14" width="9.5703125" style="66" bestFit="1" customWidth="1"/>
    <col min="15" max="15" width="9.140625" style="67"/>
    <col min="16" max="16" width="9.140625" style="68"/>
    <col min="17" max="255" width="9.140625" style="67"/>
    <col min="256" max="256" width="13.140625" style="67" customWidth="1"/>
    <col min="257" max="257" width="12.85546875" style="67" customWidth="1"/>
    <col min="258" max="258" width="43.85546875" style="67" customWidth="1"/>
    <col min="259" max="259" width="9.140625" style="67" customWidth="1"/>
    <col min="260" max="260" width="7.140625" style="67" customWidth="1"/>
    <col min="261" max="261" width="10.42578125" style="67" customWidth="1"/>
    <col min="262" max="262" width="10" style="67" customWidth="1"/>
    <col min="263" max="264" width="15.42578125" style="67" customWidth="1"/>
    <col min="265" max="265" width="10" style="67" customWidth="1"/>
    <col min="266" max="266" width="13" style="67" customWidth="1"/>
    <col min="267" max="268" width="0" style="67" hidden="1" customWidth="1"/>
    <col min="269" max="269" width="9.140625" style="67"/>
    <col min="270" max="270" width="9.5703125" style="67" bestFit="1" customWidth="1"/>
    <col min="271" max="511" width="9.140625" style="67"/>
    <col min="512" max="512" width="13.140625" style="67" customWidth="1"/>
    <col min="513" max="513" width="12.85546875" style="67" customWidth="1"/>
    <col min="514" max="514" width="43.85546875" style="67" customWidth="1"/>
    <col min="515" max="515" width="9.140625" style="67" customWidth="1"/>
    <col min="516" max="516" width="7.140625" style="67" customWidth="1"/>
    <col min="517" max="517" width="10.42578125" style="67" customWidth="1"/>
    <col min="518" max="518" width="10" style="67" customWidth="1"/>
    <col min="519" max="520" width="15.42578125" style="67" customWidth="1"/>
    <col min="521" max="521" width="10" style="67" customWidth="1"/>
    <col min="522" max="522" width="13" style="67" customWidth="1"/>
    <col min="523" max="524" width="0" style="67" hidden="1" customWidth="1"/>
    <col min="525" max="525" width="9.140625" style="67"/>
    <col min="526" max="526" width="9.5703125" style="67" bestFit="1" customWidth="1"/>
    <col min="527" max="767" width="9.140625" style="67"/>
    <col min="768" max="768" width="13.140625" style="67" customWidth="1"/>
    <col min="769" max="769" width="12.85546875" style="67" customWidth="1"/>
    <col min="770" max="770" width="43.85546875" style="67" customWidth="1"/>
    <col min="771" max="771" width="9.140625" style="67" customWidth="1"/>
    <col min="772" max="772" width="7.140625" style="67" customWidth="1"/>
    <col min="773" max="773" width="10.42578125" style="67" customWidth="1"/>
    <col min="774" max="774" width="10" style="67" customWidth="1"/>
    <col min="775" max="776" width="15.42578125" style="67" customWidth="1"/>
    <col min="777" max="777" width="10" style="67" customWidth="1"/>
    <col min="778" max="778" width="13" style="67" customWidth="1"/>
    <col min="779" max="780" width="0" style="67" hidden="1" customWidth="1"/>
    <col min="781" max="781" width="9.140625" style="67"/>
    <col min="782" max="782" width="9.5703125" style="67" bestFit="1" customWidth="1"/>
    <col min="783" max="1023" width="9.140625" style="67"/>
    <col min="1024" max="1024" width="13.140625" style="67" customWidth="1"/>
    <col min="1025" max="1025" width="12.85546875" style="67" customWidth="1"/>
    <col min="1026" max="1026" width="43.85546875" style="67" customWidth="1"/>
    <col min="1027" max="1027" width="9.140625" style="67" customWidth="1"/>
    <col min="1028" max="1028" width="7.140625" style="67" customWidth="1"/>
    <col min="1029" max="1029" width="10.42578125" style="67" customWidth="1"/>
    <col min="1030" max="1030" width="10" style="67" customWidth="1"/>
    <col min="1031" max="1032" width="15.42578125" style="67" customWidth="1"/>
    <col min="1033" max="1033" width="10" style="67" customWidth="1"/>
    <col min="1034" max="1034" width="13" style="67" customWidth="1"/>
    <col min="1035" max="1036" width="0" style="67" hidden="1" customWidth="1"/>
    <col min="1037" max="1037" width="9.140625" style="67"/>
    <col min="1038" max="1038" width="9.5703125" style="67" bestFit="1" customWidth="1"/>
    <col min="1039" max="1279" width="9.140625" style="67"/>
    <col min="1280" max="1280" width="13.140625" style="67" customWidth="1"/>
    <col min="1281" max="1281" width="12.85546875" style="67" customWidth="1"/>
    <col min="1282" max="1282" width="43.85546875" style="67" customWidth="1"/>
    <col min="1283" max="1283" width="9.140625" style="67" customWidth="1"/>
    <col min="1284" max="1284" width="7.140625" style="67" customWidth="1"/>
    <col min="1285" max="1285" width="10.42578125" style="67" customWidth="1"/>
    <col min="1286" max="1286" width="10" style="67" customWidth="1"/>
    <col min="1287" max="1288" width="15.42578125" style="67" customWidth="1"/>
    <col min="1289" max="1289" width="10" style="67" customWidth="1"/>
    <col min="1290" max="1290" width="13" style="67" customWidth="1"/>
    <col min="1291" max="1292" width="0" style="67" hidden="1" customWidth="1"/>
    <col min="1293" max="1293" width="9.140625" style="67"/>
    <col min="1294" max="1294" width="9.5703125" style="67" bestFit="1" customWidth="1"/>
    <col min="1295" max="1535" width="9.140625" style="67"/>
    <col min="1536" max="1536" width="13.140625" style="67" customWidth="1"/>
    <col min="1537" max="1537" width="12.85546875" style="67" customWidth="1"/>
    <col min="1538" max="1538" width="43.85546875" style="67" customWidth="1"/>
    <col min="1539" max="1539" width="9.140625" style="67" customWidth="1"/>
    <col min="1540" max="1540" width="7.140625" style="67" customWidth="1"/>
    <col min="1541" max="1541" width="10.42578125" style="67" customWidth="1"/>
    <col min="1542" max="1542" width="10" style="67" customWidth="1"/>
    <col min="1543" max="1544" width="15.42578125" style="67" customWidth="1"/>
    <col min="1545" max="1545" width="10" style="67" customWidth="1"/>
    <col min="1546" max="1546" width="13" style="67" customWidth="1"/>
    <col min="1547" max="1548" width="0" style="67" hidden="1" customWidth="1"/>
    <col min="1549" max="1549" width="9.140625" style="67"/>
    <col min="1550" max="1550" width="9.5703125" style="67" bestFit="1" customWidth="1"/>
    <col min="1551" max="1791" width="9.140625" style="67"/>
    <col min="1792" max="1792" width="13.140625" style="67" customWidth="1"/>
    <col min="1793" max="1793" width="12.85546875" style="67" customWidth="1"/>
    <col min="1794" max="1794" width="43.85546875" style="67" customWidth="1"/>
    <col min="1795" max="1795" width="9.140625" style="67" customWidth="1"/>
    <col min="1796" max="1796" width="7.140625" style="67" customWidth="1"/>
    <col min="1797" max="1797" width="10.42578125" style="67" customWidth="1"/>
    <col min="1798" max="1798" width="10" style="67" customWidth="1"/>
    <col min="1799" max="1800" width="15.42578125" style="67" customWidth="1"/>
    <col min="1801" max="1801" width="10" style="67" customWidth="1"/>
    <col min="1802" max="1802" width="13" style="67" customWidth="1"/>
    <col min="1803" max="1804" width="0" style="67" hidden="1" customWidth="1"/>
    <col min="1805" max="1805" width="9.140625" style="67"/>
    <col min="1806" max="1806" width="9.5703125" style="67" bestFit="1" customWidth="1"/>
    <col min="1807" max="2047" width="9.140625" style="67"/>
    <col min="2048" max="2048" width="13.140625" style="67" customWidth="1"/>
    <col min="2049" max="2049" width="12.85546875" style="67" customWidth="1"/>
    <col min="2050" max="2050" width="43.85546875" style="67" customWidth="1"/>
    <col min="2051" max="2051" width="9.140625" style="67" customWidth="1"/>
    <col min="2052" max="2052" width="7.140625" style="67" customWidth="1"/>
    <col min="2053" max="2053" width="10.42578125" style="67" customWidth="1"/>
    <col min="2054" max="2054" width="10" style="67" customWidth="1"/>
    <col min="2055" max="2056" width="15.42578125" style="67" customWidth="1"/>
    <col min="2057" max="2057" width="10" style="67" customWidth="1"/>
    <col min="2058" max="2058" width="13" style="67" customWidth="1"/>
    <col min="2059" max="2060" width="0" style="67" hidden="1" customWidth="1"/>
    <col min="2061" max="2061" width="9.140625" style="67"/>
    <col min="2062" max="2062" width="9.5703125" style="67" bestFit="1" customWidth="1"/>
    <col min="2063" max="2303" width="9.140625" style="67"/>
    <col min="2304" max="2304" width="13.140625" style="67" customWidth="1"/>
    <col min="2305" max="2305" width="12.85546875" style="67" customWidth="1"/>
    <col min="2306" max="2306" width="43.85546875" style="67" customWidth="1"/>
    <col min="2307" max="2307" width="9.140625" style="67" customWidth="1"/>
    <col min="2308" max="2308" width="7.140625" style="67" customWidth="1"/>
    <col min="2309" max="2309" width="10.42578125" style="67" customWidth="1"/>
    <col min="2310" max="2310" width="10" style="67" customWidth="1"/>
    <col min="2311" max="2312" width="15.42578125" style="67" customWidth="1"/>
    <col min="2313" max="2313" width="10" style="67" customWidth="1"/>
    <col min="2314" max="2314" width="13" style="67" customWidth="1"/>
    <col min="2315" max="2316" width="0" style="67" hidden="1" customWidth="1"/>
    <col min="2317" max="2317" width="9.140625" style="67"/>
    <col min="2318" max="2318" width="9.5703125" style="67" bestFit="1" customWidth="1"/>
    <col min="2319" max="2559" width="9.140625" style="67"/>
    <col min="2560" max="2560" width="13.140625" style="67" customWidth="1"/>
    <col min="2561" max="2561" width="12.85546875" style="67" customWidth="1"/>
    <col min="2562" max="2562" width="43.85546875" style="67" customWidth="1"/>
    <col min="2563" max="2563" width="9.140625" style="67" customWidth="1"/>
    <col min="2564" max="2564" width="7.140625" style="67" customWidth="1"/>
    <col min="2565" max="2565" width="10.42578125" style="67" customWidth="1"/>
    <col min="2566" max="2566" width="10" style="67" customWidth="1"/>
    <col min="2567" max="2568" width="15.42578125" style="67" customWidth="1"/>
    <col min="2569" max="2569" width="10" style="67" customWidth="1"/>
    <col min="2570" max="2570" width="13" style="67" customWidth="1"/>
    <col min="2571" max="2572" width="0" style="67" hidden="1" customWidth="1"/>
    <col min="2573" max="2573" width="9.140625" style="67"/>
    <col min="2574" max="2574" width="9.5703125" style="67" bestFit="1" customWidth="1"/>
    <col min="2575" max="2815" width="9.140625" style="67"/>
    <col min="2816" max="2816" width="13.140625" style="67" customWidth="1"/>
    <col min="2817" max="2817" width="12.85546875" style="67" customWidth="1"/>
    <col min="2818" max="2818" width="43.85546875" style="67" customWidth="1"/>
    <col min="2819" max="2819" width="9.140625" style="67" customWidth="1"/>
    <col min="2820" max="2820" width="7.140625" style="67" customWidth="1"/>
    <col min="2821" max="2821" width="10.42578125" style="67" customWidth="1"/>
    <col min="2822" max="2822" width="10" style="67" customWidth="1"/>
    <col min="2823" max="2824" width="15.42578125" style="67" customWidth="1"/>
    <col min="2825" max="2825" width="10" style="67" customWidth="1"/>
    <col min="2826" max="2826" width="13" style="67" customWidth="1"/>
    <col min="2827" max="2828" width="0" style="67" hidden="1" customWidth="1"/>
    <col min="2829" max="2829" width="9.140625" style="67"/>
    <col min="2830" max="2830" width="9.5703125" style="67" bestFit="1" customWidth="1"/>
    <col min="2831" max="3071" width="9.140625" style="67"/>
    <col min="3072" max="3072" width="13.140625" style="67" customWidth="1"/>
    <col min="3073" max="3073" width="12.85546875" style="67" customWidth="1"/>
    <col min="3074" max="3074" width="43.85546875" style="67" customWidth="1"/>
    <col min="3075" max="3075" width="9.140625" style="67" customWidth="1"/>
    <col min="3076" max="3076" width="7.140625" style="67" customWidth="1"/>
    <col min="3077" max="3077" width="10.42578125" style="67" customWidth="1"/>
    <col min="3078" max="3078" width="10" style="67" customWidth="1"/>
    <col min="3079" max="3080" width="15.42578125" style="67" customWidth="1"/>
    <col min="3081" max="3081" width="10" style="67" customWidth="1"/>
    <col min="3082" max="3082" width="13" style="67" customWidth="1"/>
    <col min="3083" max="3084" width="0" style="67" hidden="1" customWidth="1"/>
    <col min="3085" max="3085" width="9.140625" style="67"/>
    <col min="3086" max="3086" width="9.5703125" style="67" bestFit="1" customWidth="1"/>
    <col min="3087" max="3327" width="9.140625" style="67"/>
    <col min="3328" max="3328" width="13.140625" style="67" customWidth="1"/>
    <col min="3329" max="3329" width="12.85546875" style="67" customWidth="1"/>
    <col min="3330" max="3330" width="43.85546875" style="67" customWidth="1"/>
    <col min="3331" max="3331" width="9.140625" style="67" customWidth="1"/>
    <col min="3332" max="3332" width="7.140625" style="67" customWidth="1"/>
    <col min="3333" max="3333" width="10.42578125" style="67" customWidth="1"/>
    <col min="3334" max="3334" width="10" style="67" customWidth="1"/>
    <col min="3335" max="3336" width="15.42578125" style="67" customWidth="1"/>
    <col min="3337" max="3337" width="10" style="67" customWidth="1"/>
    <col min="3338" max="3338" width="13" style="67" customWidth="1"/>
    <col min="3339" max="3340" width="0" style="67" hidden="1" customWidth="1"/>
    <col min="3341" max="3341" width="9.140625" style="67"/>
    <col min="3342" max="3342" width="9.5703125" style="67" bestFit="1" customWidth="1"/>
    <col min="3343" max="3583" width="9.140625" style="67"/>
    <col min="3584" max="3584" width="13.140625" style="67" customWidth="1"/>
    <col min="3585" max="3585" width="12.85546875" style="67" customWidth="1"/>
    <col min="3586" max="3586" width="43.85546875" style="67" customWidth="1"/>
    <col min="3587" max="3587" width="9.140625" style="67" customWidth="1"/>
    <col min="3588" max="3588" width="7.140625" style="67" customWidth="1"/>
    <col min="3589" max="3589" width="10.42578125" style="67" customWidth="1"/>
    <col min="3590" max="3590" width="10" style="67" customWidth="1"/>
    <col min="3591" max="3592" width="15.42578125" style="67" customWidth="1"/>
    <col min="3593" max="3593" width="10" style="67" customWidth="1"/>
    <col min="3594" max="3594" width="13" style="67" customWidth="1"/>
    <col min="3595" max="3596" width="0" style="67" hidden="1" customWidth="1"/>
    <col min="3597" max="3597" width="9.140625" style="67"/>
    <col min="3598" max="3598" width="9.5703125" style="67" bestFit="1" customWidth="1"/>
    <col min="3599" max="3839" width="9.140625" style="67"/>
    <col min="3840" max="3840" width="13.140625" style="67" customWidth="1"/>
    <col min="3841" max="3841" width="12.85546875" style="67" customWidth="1"/>
    <col min="3842" max="3842" width="43.85546875" style="67" customWidth="1"/>
    <col min="3843" max="3843" width="9.140625" style="67" customWidth="1"/>
    <col min="3844" max="3844" width="7.140625" style="67" customWidth="1"/>
    <col min="3845" max="3845" width="10.42578125" style="67" customWidth="1"/>
    <col min="3846" max="3846" width="10" style="67" customWidth="1"/>
    <col min="3847" max="3848" width="15.42578125" style="67" customWidth="1"/>
    <col min="3849" max="3849" width="10" style="67" customWidth="1"/>
    <col min="3850" max="3850" width="13" style="67" customWidth="1"/>
    <col min="3851" max="3852" width="0" style="67" hidden="1" customWidth="1"/>
    <col min="3853" max="3853" width="9.140625" style="67"/>
    <col min="3854" max="3854" width="9.5703125" style="67" bestFit="1" customWidth="1"/>
    <col min="3855" max="4095" width="9.140625" style="67"/>
    <col min="4096" max="4096" width="13.140625" style="67" customWidth="1"/>
    <col min="4097" max="4097" width="12.85546875" style="67" customWidth="1"/>
    <col min="4098" max="4098" width="43.85546875" style="67" customWidth="1"/>
    <col min="4099" max="4099" width="9.140625" style="67" customWidth="1"/>
    <col min="4100" max="4100" width="7.140625" style="67" customWidth="1"/>
    <col min="4101" max="4101" width="10.42578125" style="67" customWidth="1"/>
    <col min="4102" max="4102" width="10" style="67" customWidth="1"/>
    <col min="4103" max="4104" width="15.42578125" style="67" customWidth="1"/>
    <col min="4105" max="4105" width="10" style="67" customWidth="1"/>
    <col min="4106" max="4106" width="13" style="67" customWidth="1"/>
    <col min="4107" max="4108" width="0" style="67" hidden="1" customWidth="1"/>
    <col min="4109" max="4109" width="9.140625" style="67"/>
    <col min="4110" max="4110" width="9.5703125" style="67" bestFit="1" customWidth="1"/>
    <col min="4111" max="4351" width="9.140625" style="67"/>
    <col min="4352" max="4352" width="13.140625" style="67" customWidth="1"/>
    <col min="4353" max="4353" width="12.85546875" style="67" customWidth="1"/>
    <col min="4354" max="4354" width="43.85546875" style="67" customWidth="1"/>
    <col min="4355" max="4355" width="9.140625" style="67" customWidth="1"/>
    <col min="4356" max="4356" width="7.140625" style="67" customWidth="1"/>
    <col min="4357" max="4357" width="10.42578125" style="67" customWidth="1"/>
    <col min="4358" max="4358" width="10" style="67" customWidth="1"/>
    <col min="4359" max="4360" width="15.42578125" style="67" customWidth="1"/>
    <col min="4361" max="4361" width="10" style="67" customWidth="1"/>
    <col min="4362" max="4362" width="13" style="67" customWidth="1"/>
    <col min="4363" max="4364" width="0" style="67" hidden="1" customWidth="1"/>
    <col min="4365" max="4365" width="9.140625" style="67"/>
    <col min="4366" max="4366" width="9.5703125" style="67" bestFit="1" customWidth="1"/>
    <col min="4367" max="4607" width="9.140625" style="67"/>
    <col min="4608" max="4608" width="13.140625" style="67" customWidth="1"/>
    <col min="4609" max="4609" width="12.85546875" style="67" customWidth="1"/>
    <col min="4610" max="4610" width="43.85546875" style="67" customWidth="1"/>
    <col min="4611" max="4611" width="9.140625" style="67" customWidth="1"/>
    <col min="4612" max="4612" width="7.140625" style="67" customWidth="1"/>
    <col min="4613" max="4613" width="10.42578125" style="67" customWidth="1"/>
    <col min="4614" max="4614" width="10" style="67" customWidth="1"/>
    <col min="4615" max="4616" width="15.42578125" style="67" customWidth="1"/>
    <col min="4617" max="4617" width="10" style="67" customWidth="1"/>
    <col min="4618" max="4618" width="13" style="67" customWidth="1"/>
    <col min="4619" max="4620" width="0" style="67" hidden="1" customWidth="1"/>
    <col min="4621" max="4621" width="9.140625" style="67"/>
    <col min="4622" max="4622" width="9.5703125" style="67" bestFit="1" customWidth="1"/>
    <col min="4623" max="4863" width="9.140625" style="67"/>
    <col min="4864" max="4864" width="13.140625" style="67" customWidth="1"/>
    <col min="4865" max="4865" width="12.85546875" style="67" customWidth="1"/>
    <col min="4866" max="4866" width="43.85546875" style="67" customWidth="1"/>
    <col min="4867" max="4867" width="9.140625" style="67" customWidth="1"/>
    <col min="4868" max="4868" width="7.140625" style="67" customWidth="1"/>
    <col min="4869" max="4869" width="10.42578125" style="67" customWidth="1"/>
    <col min="4870" max="4870" width="10" style="67" customWidth="1"/>
    <col min="4871" max="4872" width="15.42578125" style="67" customWidth="1"/>
    <col min="4873" max="4873" width="10" style="67" customWidth="1"/>
    <col min="4874" max="4874" width="13" style="67" customWidth="1"/>
    <col min="4875" max="4876" width="0" style="67" hidden="1" customWidth="1"/>
    <col min="4877" max="4877" width="9.140625" style="67"/>
    <col min="4878" max="4878" width="9.5703125" style="67" bestFit="1" customWidth="1"/>
    <col min="4879" max="5119" width="9.140625" style="67"/>
    <col min="5120" max="5120" width="13.140625" style="67" customWidth="1"/>
    <col min="5121" max="5121" width="12.85546875" style="67" customWidth="1"/>
    <col min="5122" max="5122" width="43.85546875" style="67" customWidth="1"/>
    <col min="5123" max="5123" width="9.140625" style="67" customWidth="1"/>
    <col min="5124" max="5124" width="7.140625" style="67" customWidth="1"/>
    <col min="5125" max="5125" width="10.42578125" style="67" customWidth="1"/>
    <col min="5126" max="5126" width="10" style="67" customWidth="1"/>
    <col min="5127" max="5128" width="15.42578125" style="67" customWidth="1"/>
    <col min="5129" max="5129" width="10" style="67" customWidth="1"/>
    <col min="5130" max="5130" width="13" style="67" customWidth="1"/>
    <col min="5131" max="5132" width="0" style="67" hidden="1" customWidth="1"/>
    <col min="5133" max="5133" width="9.140625" style="67"/>
    <col min="5134" max="5134" width="9.5703125" style="67" bestFit="1" customWidth="1"/>
    <col min="5135" max="5375" width="9.140625" style="67"/>
    <col min="5376" max="5376" width="13.140625" style="67" customWidth="1"/>
    <col min="5377" max="5377" width="12.85546875" style="67" customWidth="1"/>
    <col min="5378" max="5378" width="43.85546875" style="67" customWidth="1"/>
    <col min="5379" max="5379" width="9.140625" style="67" customWidth="1"/>
    <col min="5380" max="5380" width="7.140625" style="67" customWidth="1"/>
    <col min="5381" max="5381" width="10.42578125" style="67" customWidth="1"/>
    <col min="5382" max="5382" width="10" style="67" customWidth="1"/>
    <col min="5383" max="5384" width="15.42578125" style="67" customWidth="1"/>
    <col min="5385" max="5385" width="10" style="67" customWidth="1"/>
    <col min="5386" max="5386" width="13" style="67" customWidth="1"/>
    <col min="5387" max="5388" width="0" style="67" hidden="1" customWidth="1"/>
    <col min="5389" max="5389" width="9.140625" style="67"/>
    <col min="5390" max="5390" width="9.5703125" style="67" bestFit="1" customWidth="1"/>
    <col min="5391" max="5631" width="9.140625" style="67"/>
    <col min="5632" max="5632" width="13.140625" style="67" customWidth="1"/>
    <col min="5633" max="5633" width="12.85546875" style="67" customWidth="1"/>
    <col min="5634" max="5634" width="43.85546875" style="67" customWidth="1"/>
    <col min="5635" max="5635" width="9.140625" style="67" customWidth="1"/>
    <col min="5636" max="5636" width="7.140625" style="67" customWidth="1"/>
    <col min="5637" max="5637" width="10.42578125" style="67" customWidth="1"/>
    <col min="5638" max="5638" width="10" style="67" customWidth="1"/>
    <col min="5639" max="5640" width="15.42578125" style="67" customWidth="1"/>
    <col min="5641" max="5641" width="10" style="67" customWidth="1"/>
    <col min="5642" max="5642" width="13" style="67" customWidth="1"/>
    <col min="5643" max="5644" width="0" style="67" hidden="1" customWidth="1"/>
    <col min="5645" max="5645" width="9.140625" style="67"/>
    <col min="5646" max="5646" width="9.5703125" style="67" bestFit="1" customWidth="1"/>
    <col min="5647" max="5887" width="9.140625" style="67"/>
    <col min="5888" max="5888" width="13.140625" style="67" customWidth="1"/>
    <col min="5889" max="5889" width="12.85546875" style="67" customWidth="1"/>
    <col min="5890" max="5890" width="43.85546875" style="67" customWidth="1"/>
    <col min="5891" max="5891" width="9.140625" style="67" customWidth="1"/>
    <col min="5892" max="5892" width="7.140625" style="67" customWidth="1"/>
    <col min="5893" max="5893" width="10.42578125" style="67" customWidth="1"/>
    <col min="5894" max="5894" width="10" style="67" customWidth="1"/>
    <col min="5895" max="5896" width="15.42578125" style="67" customWidth="1"/>
    <col min="5897" max="5897" width="10" style="67" customWidth="1"/>
    <col min="5898" max="5898" width="13" style="67" customWidth="1"/>
    <col min="5899" max="5900" width="0" style="67" hidden="1" customWidth="1"/>
    <col min="5901" max="5901" width="9.140625" style="67"/>
    <col min="5902" max="5902" width="9.5703125" style="67" bestFit="1" customWidth="1"/>
    <col min="5903" max="6143" width="9.140625" style="67"/>
    <col min="6144" max="6144" width="13.140625" style="67" customWidth="1"/>
    <col min="6145" max="6145" width="12.85546875" style="67" customWidth="1"/>
    <col min="6146" max="6146" width="43.85546875" style="67" customWidth="1"/>
    <col min="6147" max="6147" width="9.140625" style="67" customWidth="1"/>
    <col min="6148" max="6148" width="7.140625" style="67" customWidth="1"/>
    <col min="6149" max="6149" width="10.42578125" style="67" customWidth="1"/>
    <col min="6150" max="6150" width="10" style="67" customWidth="1"/>
    <col min="6151" max="6152" width="15.42578125" style="67" customWidth="1"/>
    <col min="6153" max="6153" width="10" style="67" customWidth="1"/>
    <col min="6154" max="6154" width="13" style="67" customWidth="1"/>
    <col min="6155" max="6156" width="0" style="67" hidden="1" customWidth="1"/>
    <col min="6157" max="6157" width="9.140625" style="67"/>
    <col min="6158" max="6158" width="9.5703125" style="67" bestFit="1" customWidth="1"/>
    <col min="6159" max="6399" width="9.140625" style="67"/>
    <col min="6400" max="6400" width="13.140625" style="67" customWidth="1"/>
    <col min="6401" max="6401" width="12.85546875" style="67" customWidth="1"/>
    <col min="6402" max="6402" width="43.85546875" style="67" customWidth="1"/>
    <col min="6403" max="6403" width="9.140625" style="67" customWidth="1"/>
    <col min="6404" max="6404" width="7.140625" style="67" customWidth="1"/>
    <col min="6405" max="6405" width="10.42578125" style="67" customWidth="1"/>
    <col min="6406" max="6406" width="10" style="67" customWidth="1"/>
    <col min="6407" max="6408" width="15.42578125" style="67" customWidth="1"/>
    <col min="6409" max="6409" width="10" style="67" customWidth="1"/>
    <col min="6410" max="6410" width="13" style="67" customWidth="1"/>
    <col min="6411" max="6412" width="0" style="67" hidden="1" customWidth="1"/>
    <col min="6413" max="6413" width="9.140625" style="67"/>
    <col min="6414" max="6414" width="9.5703125" style="67" bestFit="1" customWidth="1"/>
    <col min="6415" max="6655" width="9.140625" style="67"/>
    <col min="6656" max="6656" width="13.140625" style="67" customWidth="1"/>
    <col min="6657" max="6657" width="12.85546875" style="67" customWidth="1"/>
    <col min="6658" max="6658" width="43.85546875" style="67" customWidth="1"/>
    <col min="6659" max="6659" width="9.140625" style="67" customWidth="1"/>
    <col min="6660" max="6660" width="7.140625" style="67" customWidth="1"/>
    <col min="6661" max="6661" width="10.42578125" style="67" customWidth="1"/>
    <col min="6662" max="6662" width="10" style="67" customWidth="1"/>
    <col min="6663" max="6664" width="15.42578125" style="67" customWidth="1"/>
    <col min="6665" max="6665" width="10" style="67" customWidth="1"/>
    <col min="6666" max="6666" width="13" style="67" customWidth="1"/>
    <col min="6667" max="6668" width="0" style="67" hidden="1" customWidth="1"/>
    <col min="6669" max="6669" width="9.140625" style="67"/>
    <col min="6670" max="6670" width="9.5703125" style="67" bestFit="1" customWidth="1"/>
    <col min="6671" max="6911" width="9.140625" style="67"/>
    <col min="6912" max="6912" width="13.140625" style="67" customWidth="1"/>
    <col min="6913" max="6913" width="12.85546875" style="67" customWidth="1"/>
    <col min="6914" max="6914" width="43.85546875" style="67" customWidth="1"/>
    <col min="6915" max="6915" width="9.140625" style="67" customWidth="1"/>
    <col min="6916" max="6916" width="7.140625" style="67" customWidth="1"/>
    <col min="6917" max="6917" width="10.42578125" style="67" customWidth="1"/>
    <col min="6918" max="6918" width="10" style="67" customWidth="1"/>
    <col min="6919" max="6920" width="15.42578125" style="67" customWidth="1"/>
    <col min="6921" max="6921" width="10" style="67" customWidth="1"/>
    <col min="6922" max="6922" width="13" style="67" customWidth="1"/>
    <col min="6923" max="6924" width="0" style="67" hidden="1" customWidth="1"/>
    <col min="6925" max="6925" width="9.140625" style="67"/>
    <col min="6926" max="6926" width="9.5703125" style="67" bestFit="1" customWidth="1"/>
    <col min="6927" max="7167" width="9.140625" style="67"/>
    <col min="7168" max="7168" width="13.140625" style="67" customWidth="1"/>
    <col min="7169" max="7169" width="12.85546875" style="67" customWidth="1"/>
    <col min="7170" max="7170" width="43.85546875" style="67" customWidth="1"/>
    <col min="7171" max="7171" width="9.140625" style="67" customWidth="1"/>
    <col min="7172" max="7172" width="7.140625" style="67" customWidth="1"/>
    <col min="7173" max="7173" width="10.42578125" style="67" customWidth="1"/>
    <col min="7174" max="7174" width="10" style="67" customWidth="1"/>
    <col min="7175" max="7176" width="15.42578125" style="67" customWidth="1"/>
    <col min="7177" max="7177" width="10" style="67" customWidth="1"/>
    <col min="7178" max="7178" width="13" style="67" customWidth="1"/>
    <col min="7179" max="7180" width="0" style="67" hidden="1" customWidth="1"/>
    <col min="7181" max="7181" width="9.140625" style="67"/>
    <col min="7182" max="7182" width="9.5703125" style="67" bestFit="1" customWidth="1"/>
    <col min="7183" max="7423" width="9.140625" style="67"/>
    <col min="7424" max="7424" width="13.140625" style="67" customWidth="1"/>
    <col min="7425" max="7425" width="12.85546875" style="67" customWidth="1"/>
    <col min="7426" max="7426" width="43.85546875" style="67" customWidth="1"/>
    <col min="7427" max="7427" width="9.140625" style="67" customWidth="1"/>
    <col min="7428" max="7428" width="7.140625" style="67" customWidth="1"/>
    <col min="7429" max="7429" width="10.42578125" style="67" customWidth="1"/>
    <col min="7430" max="7430" width="10" style="67" customWidth="1"/>
    <col min="7431" max="7432" width="15.42578125" style="67" customWidth="1"/>
    <col min="7433" max="7433" width="10" style="67" customWidth="1"/>
    <col min="7434" max="7434" width="13" style="67" customWidth="1"/>
    <col min="7435" max="7436" width="0" style="67" hidden="1" customWidth="1"/>
    <col min="7437" max="7437" width="9.140625" style="67"/>
    <col min="7438" max="7438" width="9.5703125" style="67" bestFit="1" customWidth="1"/>
    <col min="7439" max="7679" width="9.140625" style="67"/>
    <col min="7680" max="7680" width="13.140625" style="67" customWidth="1"/>
    <col min="7681" max="7681" width="12.85546875" style="67" customWidth="1"/>
    <col min="7682" max="7682" width="43.85546875" style="67" customWidth="1"/>
    <col min="7683" max="7683" width="9.140625" style="67" customWidth="1"/>
    <col min="7684" max="7684" width="7.140625" style="67" customWidth="1"/>
    <col min="7685" max="7685" width="10.42578125" style="67" customWidth="1"/>
    <col min="7686" max="7686" width="10" style="67" customWidth="1"/>
    <col min="7687" max="7688" width="15.42578125" style="67" customWidth="1"/>
    <col min="7689" max="7689" width="10" style="67" customWidth="1"/>
    <col min="7690" max="7690" width="13" style="67" customWidth="1"/>
    <col min="7691" max="7692" width="0" style="67" hidden="1" customWidth="1"/>
    <col min="7693" max="7693" width="9.140625" style="67"/>
    <col min="7694" max="7694" width="9.5703125" style="67" bestFit="1" customWidth="1"/>
    <col min="7695" max="7935" width="9.140625" style="67"/>
    <col min="7936" max="7936" width="13.140625" style="67" customWidth="1"/>
    <col min="7937" max="7937" width="12.85546875" style="67" customWidth="1"/>
    <col min="7938" max="7938" width="43.85546875" style="67" customWidth="1"/>
    <col min="7939" max="7939" width="9.140625" style="67" customWidth="1"/>
    <col min="7940" max="7940" width="7.140625" style="67" customWidth="1"/>
    <col min="7941" max="7941" width="10.42578125" style="67" customWidth="1"/>
    <col min="7942" max="7942" width="10" style="67" customWidth="1"/>
    <col min="7943" max="7944" width="15.42578125" style="67" customWidth="1"/>
    <col min="7945" max="7945" width="10" style="67" customWidth="1"/>
    <col min="7946" max="7946" width="13" style="67" customWidth="1"/>
    <col min="7947" max="7948" width="0" style="67" hidden="1" customWidth="1"/>
    <col min="7949" max="7949" width="9.140625" style="67"/>
    <col min="7950" max="7950" width="9.5703125" style="67" bestFit="1" customWidth="1"/>
    <col min="7951" max="8191" width="9.140625" style="67"/>
    <col min="8192" max="8192" width="13.140625" style="67" customWidth="1"/>
    <col min="8193" max="8193" width="12.85546875" style="67" customWidth="1"/>
    <col min="8194" max="8194" width="43.85546875" style="67" customWidth="1"/>
    <col min="8195" max="8195" width="9.140625" style="67" customWidth="1"/>
    <col min="8196" max="8196" width="7.140625" style="67" customWidth="1"/>
    <col min="8197" max="8197" width="10.42578125" style="67" customWidth="1"/>
    <col min="8198" max="8198" width="10" style="67" customWidth="1"/>
    <col min="8199" max="8200" width="15.42578125" style="67" customWidth="1"/>
    <col min="8201" max="8201" width="10" style="67" customWidth="1"/>
    <col min="8202" max="8202" width="13" style="67" customWidth="1"/>
    <col min="8203" max="8204" width="0" style="67" hidden="1" customWidth="1"/>
    <col min="8205" max="8205" width="9.140625" style="67"/>
    <col min="8206" max="8206" width="9.5703125" style="67" bestFit="1" customWidth="1"/>
    <col min="8207" max="8447" width="9.140625" style="67"/>
    <col min="8448" max="8448" width="13.140625" style="67" customWidth="1"/>
    <col min="8449" max="8449" width="12.85546875" style="67" customWidth="1"/>
    <col min="8450" max="8450" width="43.85546875" style="67" customWidth="1"/>
    <col min="8451" max="8451" width="9.140625" style="67" customWidth="1"/>
    <col min="8452" max="8452" width="7.140625" style="67" customWidth="1"/>
    <col min="8453" max="8453" width="10.42578125" style="67" customWidth="1"/>
    <col min="8454" max="8454" width="10" style="67" customWidth="1"/>
    <col min="8455" max="8456" width="15.42578125" style="67" customWidth="1"/>
    <col min="8457" max="8457" width="10" style="67" customWidth="1"/>
    <col min="8458" max="8458" width="13" style="67" customWidth="1"/>
    <col min="8459" max="8460" width="0" style="67" hidden="1" customWidth="1"/>
    <col min="8461" max="8461" width="9.140625" style="67"/>
    <col min="8462" max="8462" width="9.5703125" style="67" bestFit="1" customWidth="1"/>
    <col min="8463" max="8703" width="9.140625" style="67"/>
    <col min="8704" max="8704" width="13.140625" style="67" customWidth="1"/>
    <col min="8705" max="8705" width="12.85546875" style="67" customWidth="1"/>
    <col min="8706" max="8706" width="43.85546875" style="67" customWidth="1"/>
    <col min="8707" max="8707" width="9.140625" style="67" customWidth="1"/>
    <col min="8708" max="8708" width="7.140625" style="67" customWidth="1"/>
    <col min="8709" max="8709" width="10.42578125" style="67" customWidth="1"/>
    <col min="8710" max="8710" width="10" style="67" customWidth="1"/>
    <col min="8711" max="8712" width="15.42578125" style="67" customWidth="1"/>
    <col min="8713" max="8713" width="10" style="67" customWidth="1"/>
    <col min="8714" max="8714" width="13" style="67" customWidth="1"/>
    <col min="8715" max="8716" width="0" style="67" hidden="1" customWidth="1"/>
    <col min="8717" max="8717" width="9.140625" style="67"/>
    <col min="8718" max="8718" width="9.5703125" style="67" bestFit="1" customWidth="1"/>
    <col min="8719" max="8959" width="9.140625" style="67"/>
    <col min="8960" max="8960" width="13.140625" style="67" customWidth="1"/>
    <col min="8961" max="8961" width="12.85546875" style="67" customWidth="1"/>
    <col min="8962" max="8962" width="43.85546875" style="67" customWidth="1"/>
    <col min="8963" max="8963" width="9.140625" style="67" customWidth="1"/>
    <col min="8964" max="8964" width="7.140625" style="67" customWidth="1"/>
    <col min="8965" max="8965" width="10.42578125" style="67" customWidth="1"/>
    <col min="8966" max="8966" width="10" style="67" customWidth="1"/>
    <col min="8967" max="8968" width="15.42578125" style="67" customWidth="1"/>
    <col min="8969" max="8969" width="10" style="67" customWidth="1"/>
    <col min="8970" max="8970" width="13" style="67" customWidth="1"/>
    <col min="8971" max="8972" width="0" style="67" hidden="1" customWidth="1"/>
    <col min="8973" max="8973" width="9.140625" style="67"/>
    <col min="8974" max="8974" width="9.5703125" style="67" bestFit="1" customWidth="1"/>
    <col min="8975" max="9215" width="9.140625" style="67"/>
    <col min="9216" max="9216" width="13.140625" style="67" customWidth="1"/>
    <col min="9217" max="9217" width="12.85546875" style="67" customWidth="1"/>
    <col min="9218" max="9218" width="43.85546875" style="67" customWidth="1"/>
    <col min="9219" max="9219" width="9.140625" style="67" customWidth="1"/>
    <col min="9220" max="9220" width="7.140625" style="67" customWidth="1"/>
    <col min="9221" max="9221" width="10.42578125" style="67" customWidth="1"/>
    <col min="9222" max="9222" width="10" style="67" customWidth="1"/>
    <col min="9223" max="9224" width="15.42578125" style="67" customWidth="1"/>
    <col min="9225" max="9225" width="10" style="67" customWidth="1"/>
    <col min="9226" max="9226" width="13" style="67" customWidth="1"/>
    <col min="9227" max="9228" width="0" style="67" hidden="1" customWidth="1"/>
    <col min="9229" max="9229" width="9.140625" style="67"/>
    <col min="9230" max="9230" width="9.5703125" style="67" bestFit="1" customWidth="1"/>
    <col min="9231" max="9471" width="9.140625" style="67"/>
    <col min="9472" max="9472" width="13.140625" style="67" customWidth="1"/>
    <col min="9473" max="9473" width="12.85546875" style="67" customWidth="1"/>
    <col min="9474" max="9474" width="43.85546875" style="67" customWidth="1"/>
    <col min="9475" max="9475" width="9.140625" style="67" customWidth="1"/>
    <col min="9476" max="9476" width="7.140625" style="67" customWidth="1"/>
    <col min="9477" max="9477" width="10.42578125" style="67" customWidth="1"/>
    <col min="9478" max="9478" width="10" style="67" customWidth="1"/>
    <col min="9479" max="9480" width="15.42578125" style="67" customWidth="1"/>
    <col min="9481" max="9481" width="10" style="67" customWidth="1"/>
    <col min="9482" max="9482" width="13" style="67" customWidth="1"/>
    <col min="9483" max="9484" width="0" style="67" hidden="1" customWidth="1"/>
    <col min="9485" max="9485" width="9.140625" style="67"/>
    <col min="9486" max="9486" width="9.5703125" style="67" bestFit="1" customWidth="1"/>
    <col min="9487" max="9727" width="9.140625" style="67"/>
    <col min="9728" max="9728" width="13.140625" style="67" customWidth="1"/>
    <col min="9729" max="9729" width="12.85546875" style="67" customWidth="1"/>
    <col min="9730" max="9730" width="43.85546875" style="67" customWidth="1"/>
    <col min="9731" max="9731" width="9.140625" style="67" customWidth="1"/>
    <col min="9732" max="9732" width="7.140625" style="67" customWidth="1"/>
    <col min="9733" max="9733" width="10.42578125" style="67" customWidth="1"/>
    <col min="9734" max="9734" width="10" style="67" customWidth="1"/>
    <col min="9735" max="9736" width="15.42578125" style="67" customWidth="1"/>
    <col min="9737" max="9737" width="10" style="67" customWidth="1"/>
    <col min="9738" max="9738" width="13" style="67" customWidth="1"/>
    <col min="9739" max="9740" width="0" style="67" hidden="1" customWidth="1"/>
    <col min="9741" max="9741" width="9.140625" style="67"/>
    <col min="9742" max="9742" width="9.5703125" style="67" bestFit="1" customWidth="1"/>
    <col min="9743" max="9983" width="9.140625" style="67"/>
    <col min="9984" max="9984" width="13.140625" style="67" customWidth="1"/>
    <col min="9985" max="9985" width="12.85546875" style="67" customWidth="1"/>
    <col min="9986" max="9986" width="43.85546875" style="67" customWidth="1"/>
    <col min="9987" max="9987" width="9.140625" style="67" customWidth="1"/>
    <col min="9988" max="9988" width="7.140625" style="67" customWidth="1"/>
    <col min="9989" max="9989" width="10.42578125" style="67" customWidth="1"/>
    <col min="9990" max="9990" width="10" style="67" customWidth="1"/>
    <col min="9991" max="9992" width="15.42578125" style="67" customWidth="1"/>
    <col min="9993" max="9993" width="10" style="67" customWidth="1"/>
    <col min="9994" max="9994" width="13" style="67" customWidth="1"/>
    <col min="9995" max="9996" width="0" style="67" hidden="1" customWidth="1"/>
    <col min="9997" max="9997" width="9.140625" style="67"/>
    <col min="9998" max="9998" width="9.5703125" style="67" bestFit="1" customWidth="1"/>
    <col min="9999" max="10239" width="9.140625" style="67"/>
    <col min="10240" max="10240" width="13.140625" style="67" customWidth="1"/>
    <col min="10241" max="10241" width="12.85546875" style="67" customWidth="1"/>
    <col min="10242" max="10242" width="43.85546875" style="67" customWidth="1"/>
    <col min="10243" max="10243" width="9.140625" style="67" customWidth="1"/>
    <col min="10244" max="10244" width="7.140625" style="67" customWidth="1"/>
    <col min="10245" max="10245" width="10.42578125" style="67" customWidth="1"/>
    <col min="10246" max="10246" width="10" style="67" customWidth="1"/>
    <col min="10247" max="10248" width="15.42578125" style="67" customWidth="1"/>
    <col min="10249" max="10249" width="10" style="67" customWidth="1"/>
    <col min="10250" max="10250" width="13" style="67" customWidth="1"/>
    <col min="10251" max="10252" width="0" style="67" hidden="1" customWidth="1"/>
    <col min="10253" max="10253" width="9.140625" style="67"/>
    <col min="10254" max="10254" width="9.5703125" style="67" bestFit="1" customWidth="1"/>
    <col min="10255" max="10495" width="9.140625" style="67"/>
    <col min="10496" max="10496" width="13.140625" style="67" customWidth="1"/>
    <col min="10497" max="10497" width="12.85546875" style="67" customWidth="1"/>
    <col min="10498" max="10498" width="43.85546875" style="67" customWidth="1"/>
    <col min="10499" max="10499" width="9.140625" style="67" customWidth="1"/>
    <col min="10500" max="10500" width="7.140625" style="67" customWidth="1"/>
    <col min="10501" max="10501" width="10.42578125" style="67" customWidth="1"/>
    <col min="10502" max="10502" width="10" style="67" customWidth="1"/>
    <col min="10503" max="10504" width="15.42578125" style="67" customWidth="1"/>
    <col min="10505" max="10505" width="10" style="67" customWidth="1"/>
    <col min="10506" max="10506" width="13" style="67" customWidth="1"/>
    <col min="10507" max="10508" width="0" style="67" hidden="1" customWidth="1"/>
    <col min="10509" max="10509" width="9.140625" style="67"/>
    <col min="10510" max="10510" width="9.5703125" style="67" bestFit="1" customWidth="1"/>
    <col min="10511" max="10751" width="9.140625" style="67"/>
    <col min="10752" max="10752" width="13.140625" style="67" customWidth="1"/>
    <col min="10753" max="10753" width="12.85546875" style="67" customWidth="1"/>
    <col min="10754" max="10754" width="43.85546875" style="67" customWidth="1"/>
    <col min="10755" max="10755" width="9.140625" style="67" customWidth="1"/>
    <col min="10756" max="10756" width="7.140625" style="67" customWidth="1"/>
    <col min="10757" max="10757" width="10.42578125" style="67" customWidth="1"/>
    <col min="10758" max="10758" width="10" style="67" customWidth="1"/>
    <col min="10759" max="10760" width="15.42578125" style="67" customWidth="1"/>
    <col min="10761" max="10761" width="10" style="67" customWidth="1"/>
    <col min="10762" max="10762" width="13" style="67" customWidth="1"/>
    <col min="10763" max="10764" width="0" style="67" hidden="1" customWidth="1"/>
    <col min="10765" max="10765" width="9.140625" style="67"/>
    <col min="10766" max="10766" width="9.5703125" style="67" bestFit="1" customWidth="1"/>
    <col min="10767" max="11007" width="9.140625" style="67"/>
    <col min="11008" max="11008" width="13.140625" style="67" customWidth="1"/>
    <col min="11009" max="11009" width="12.85546875" style="67" customWidth="1"/>
    <col min="11010" max="11010" width="43.85546875" style="67" customWidth="1"/>
    <col min="11011" max="11011" width="9.140625" style="67" customWidth="1"/>
    <col min="11012" max="11012" width="7.140625" style="67" customWidth="1"/>
    <col min="11013" max="11013" width="10.42578125" style="67" customWidth="1"/>
    <col min="11014" max="11014" width="10" style="67" customWidth="1"/>
    <col min="11015" max="11016" width="15.42578125" style="67" customWidth="1"/>
    <col min="11017" max="11017" width="10" style="67" customWidth="1"/>
    <col min="11018" max="11018" width="13" style="67" customWidth="1"/>
    <col min="11019" max="11020" width="0" style="67" hidden="1" customWidth="1"/>
    <col min="11021" max="11021" width="9.140625" style="67"/>
    <col min="11022" max="11022" width="9.5703125" style="67" bestFit="1" customWidth="1"/>
    <col min="11023" max="11263" width="9.140625" style="67"/>
    <col min="11264" max="11264" width="13.140625" style="67" customWidth="1"/>
    <col min="11265" max="11265" width="12.85546875" style="67" customWidth="1"/>
    <col min="11266" max="11266" width="43.85546875" style="67" customWidth="1"/>
    <col min="11267" max="11267" width="9.140625" style="67" customWidth="1"/>
    <col min="11268" max="11268" width="7.140625" style="67" customWidth="1"/>
    <col min="11269" max="11269" width="10.42578125" style="67" customWidth="1"/>
    <col min="11270" max="11270" width="10" style="67" customWidth="1"/>
    <col min="11271" max="11272" width="15.42578125" style="67" customWidth="1"/>
    <col min="11273" max="11273" width="10" style="67" customWidth="1"/>
    <col min="11274" max="11274" width="13" style="67" customWidth="1"/>
    <col min="11275" max="11276" width="0" style="67" hidden="1" customWidth="1"/>
    <col min="11277" max="11277" width="9.140625" style="67"/>
    <col min="11278" max="11278" width="9.5703125" style="67" bestFit="1" customWidth="1"/>
    <col min="11279" max="11519" width="9.140625" style="67"/>
    <col min="11520" max="11520" width="13.140625" style="67" customWidth="1"/>
    <col min="11521" max="11521" width="12.85546875" style="67" customWidth="1"/>
    <col min="11522" max="11522" width="43.85546875" style="67" customWidth="1"/>
    <col min="11523" max="11523" width="9.140625" style="67" customWidth="1"/>
    <col min="11524" max="11524" width="7.140625" style="67" customWidth="1"/>
    <col min="11525" max="11525" width="10.42578125" style="67" customWidth="1"/>
    <col min="11526" max="11526" width="10" style="67" customWidth="1"/>
    <col min="11527" max="11528" width="15.42578125" style="67" customWidth="1"/>
    <col min="11529" max="11529" width="10" style="67" customWidth="1"/>
    <col min="11530" max="11530" width="13" style="67" customWidth="1"/>
    <col min="11531" max="11532" width="0" style="67" hidden="1" customWidth="1"/>
    <col min="11533" max="11533" width="9.140625" style="67"/>
    <col min="11534" max="11534" width="9.5703125" style="67" bestFit="1" customWidth="1"/>
    <col min="11535" max="11775" width="9.140625" style="67"/>
    <col min="11776" max="11776" width="13.140625" style="67" customWidth="1"/>
    <col min="11777" max="11777" width="12.85546875" style="67" customWidth="1"/>
    <col min="11778" max="11778" width="43.85546875" style="67" customWidth="1"/>
    <col min="11779" max="11779" width="9.140625" style="67" customWidth="1"/>
    <col min="11780" max="11780" width="7.140625" style="67" customWidth="1"/>
    <col min="11781" max="11781" width="10.42578125" style="67" customWidth="1"/>
    <col min="11782" max="11782" width="10" style="67" customWidth="1"/>
    <col min="11783" max="11784" width="15.42578125" style="67" customWidth="1"/>
    <col min="11785" max="11785" width="10" style="67" customWidth="1"/>
    <col min="11786" max="11786" width="13" style="67" customWidth="1"/>
    <col min="11787" max="11788" width="0" style="67" hidden="1" customWidth="1"/>
    <col min="11789" max="11789" width="9.140625" style="67"/>
    <col min="11790" max="11790" width="9.5703125" style="67" bestFit="1" customWidth="1"/>
    <col min="11791" max="12031" width="9.140625" style="67"/>
    <col min="12032" max="12032" width="13.140625" style="67" customWidth="1"/>
    <col min="12033" max="12033" width="12.85546875" style="67" customWidth="1"/>
    <col min="12034" max="12034" width="43.85546875" style="67" customWidth="1"/>
    <col min="12035" max="12035" width="9.140625" style="67" customWidth="1"/>
    <col min="12036" max="12036" width="7.140625" style="67" customWidth="1"/>
    <col min="12037" max="12037" width="10.42578125" style="67" customWidth="1"/>
    <col min="12038" max="12038" width="10" style="67" customWidth="1"/>
    <col min="12039" max="12040" width="15.42578125" style="67" customWidth="1"/>
    <col min="12041" max="12041" width="10" style="67" customWidth="1"/>
    <col min="12042" max="12042" width="13" style="67" customWidth="1"/>
    <col min="12043" max="12044" width="0" style="67" hidden="1" customWidth="1"/>
    <col min="12045" max="12045" width="9.140625" style="67"/>
    <col min="12046" max="12046" width="9.5703125" style="67" bestFit="1" customWidth="1"/>
    <col min="12047" max="12287" width="9.140625" style="67"/>
    <col min="12288" max="12288" width="13.140625" style="67" customWidth="1"/>
    <col min="12289" max="12289" width="12.85546875" style="67" customWidth="1"/>
    <col min="12290" max="12290" width="43.85546875" style="67" customWidth="1"/>
    <col min="12291" max="12291" width="9.140625" style="67" customWidth="1"/>
    <col min="12292" max="12292" width="7.140625" style="67" customWidth="1"/>
    <col min="12293" max="12293" width="10.42578125" style="67" customWidth="1"/>
    <col min="12294" max="12294" width="10" style="67" customWidth="1"/>
    <col min="12295" max="12296" width="15.42578125" style="67" customWidth="1"/>
    <col min="12297" max="12297" width="10" style="67" customWidth="1"/>
    <col min="12298" max="12298" width="13" style="67" customWidth="1"/>
    <col min="12299" max="12300" width="0" style="67" hidden="1" customWidth="1"/>
    <col min="12301" max="12301" width="9.140625" style="67"/>
    <col min="12302" max="12302" width="9.5703125" style="67" bestFit="1" customWidth="1"/>
    <col min="12303" max="12543" width="9.140625" style="67"/>
    <col min="12544" max="12544" width="13.140625" style="67" customWidth="1"/>
    <col min="12545" max="12545" width="12.85546875" style="67" customWidth="1"/>
    <col min="12546" max="12546" width="43.85546875" style="67" customWidth="1"/>
    <col min="12547" max="12547" width="9.140625" style="67" customWidth="1"/>
    <col min="12548" max="12548" width="7.140625" style="67" customWidth="1"/>
    <col min="12549" max="12549" width="10.42578125" style="67" customWidth="1"/>
    <col min="12550" max="12550" width="10" style="67" customWidth="1"/>
    <col min="12551" max="12552" width="15.42578125" style="67" customWidth="1"/>
    <col min="12553" max="12553" width="10" style="67" customWidth="1"/>
    <col min="12554" max="12554" width="13" style="67" customWidth="1"/>
    <col min="12555" max="12556" width="0" style="67" hidden="1" customWidth="1"/>
    <col min="12557" max="12557" width="9.140625" style="67"/>
    <col min="12558" max="12558" width="9.5703125" style="67" bestFit="1" customWidth="1"/>
    <col min="12559" max="12799" width="9.140625" style="67"/>
    <col min="12800" max="12800" width="13.140625" style="67" customWidth="1"/>
    <col min="12801" max="12801" width="12.85546875" style="67" customWidth="1"/>
    <col min="12802" max="12802" width="43.85546875" style="67" customWidth="1"/>
    <col min="12803" max="12803" width="9.140625" style="67" customWidth="1"/>
    <col min="12804" max="12804" width="7.140625" style="67" customWidth="1"/>
    <col min="12805" max="12805" width="10.42578125" style="67" customWidth="1"/>
    <col min="12806" max="12806" width="10" style="67" customWidth="1"/>
    <col min="12807" max="12808" width="15.42578125" style="67" customWidth="1"/>
    <col min="12809" max="12809" width="10" style="67" customWidth="1"/>
    <col min="12810" max="12810" width="13" style="67" customWidth="1"/>
    <col min="12811" max="12812" width="0" style="67" hidden="1" customWidth="1"/>
    <col min="12813" max="12813" width="9.140625" style="67"/>
    <col min="12814" max="12814" width="9.5703125" style="67" bestFit="1" customWidth="1"/>
    <col min="12815" max="13055" width="9.140625" style="67"/>
    <col min="13056" max="13056" width="13.140625" style="67" customWidth="1"/>
    <col min="13057" max="13057" width="12.85546875" style="67" customWidth="1"/>
    <col min="13058" max="13058" width="43.85546875" style="67" customWidth="1"/>
    <col min="13059" max="13059" width="9.140625" style="67" customWidth="1"/>
    <col min="13060" max="13060" width="7.140625" style="67" customWidth="1"/>
    <col min="13061" max="13061" width="10.42578125" style="67" customWidth="1"/>
    <col min="13062" max="13062" width="10" style="67" customWidth="1"/>
    <col min="13063" max="13064" width="15.42578125" style="67" customWidth="1"/>
    <col min="13065" max="13065" width="10" style="67" customWidth="1"/>
    <col min="13066" max="13066" width="13" style="67" customWidth="1"/>
    <col min="13067" max="13068" width="0" style="67" hidden="1" customWidth="1"/>
    <col min="13069" max="13069" width="9.140625" style="67"/>
    <col min="13070" max="13070" width="9.5703125" style="67" bestFit="1" customWidth="1"/>
    <col min="13071" max="13311" width="9.140625" style="67"/>
    <col min="13312" max="13312" width="13.140625" style="67" customWidth="1"/>
    <col min="13313" max="13313" width="12.85546875" style="67" customWidth="1"/>
    <col min="13314" max="13314" width="43.85546875" style="67" customWidth="1"/>
    <col min="13315" max="13315" width="9.140625" style="67" customWidth="1"/>
    <col min="13316" max="13316" width="7.140625" style="67" customWidth="1"/>
    <col min="13317" max="13317" width="10.42578125" style="67" customWidth="1"/>
    <col min="13318" max="13318" width="10" style="67" customWidth="1"/>
    <col min="13319" max="13320" width="15.42578125" style="67" customWidth="1"/>
    <col min="13321" max="13321" width="10" style="67" customWidth="1"/>
    <col min="13322" max="13322" width="13" style="67" customWidth="1"/>
    <col min="13323" max="13324" width="0" style="67" hidden="1" customWidth="1"/>
    <col min="13325" max="13325" width="9.140625" style="67"/>
    <col min="13326" max="13326" width="9.5703125" style="67" bestFit="1" customWidth="1"/>
    <col min="13327" max="13567" width="9.140625" style="67"/>
    <col min="13568" max="13568" width="13.140625" style="67" customWidth="1"/>
    <col min="13569" max="13569" width="12.85546875" style="67" customWidth="1"/>
    <col min="13570" max="13570" width="43.85546875" style="67" customWidth="1"/>
    <col min="13571" max="13571" width="9.140625" style="67" customWidth="1"/>
    <col min="13572" max="13572" width="7.140625" style="67" customWidth="1"/>
    <col min="13573" max="13573" width="10.42578125" style="67" customWidth="1"/>
    <col min="13574" max="13574" width="10" style="67" customWidth="1"/>
    <col min="13575" max="13576" width="15.42578125" style="67" customWidth="1"/>
    <col min="13577" max="13577" width="10" style="67" customWidth="1"/>
    <col min="13578" max="13578" width="13" style="67" customWidth="1"/>
    <col min="13579" max="13580" width="0" style="67" hidden="1" customWidth="1"/>
    <col min="13581" max="13581" width="9.140625" style="67"/>
    <col min="13582" max="13582" width="9.5703125" style="67" bestFit="1" customWidth="1"/>
    <col min="13583" max="13823" width="9.140625" style="67"/>
    <col min="13824" max="13824" width="13.140625" style="67" customWidth="1"/>
    <col min="13825" max="13825" width="12.85546875" style="67" customWidth="1"/>
    <col min="13826" max="13826" width="43.85546875" style="67" customWidth="1"/>
    <col min="13827" max="13827" width="9.140625" style="67" customWidth="1"/>
    <col min="13828" max="13828" width="7.140625" style="67" customWidth="1"/>
    <col min="13829" max="13829" width="10.42578125" style="67" customWidth="1"/>
    <col min="13830" max="13830" width="10" style="67" customWidth="1"/>
    <col min="13831" max="13832" width="15.42578125" style="67" customWidth="1"/>
    <col min="13833" max="13833" width="10" style="67" customWidth="1"/>
    <col min="13834" max="13834" width="13" style="67" customWidth="1"/>
    <col min="13835" max="13836" width="0" style="67" hidden="1" customWidth="1"/>
    <col min="13837" max="13837" width="9.140625" style="67"/>
    <col min="13838" max="13838" width="9.5703125" style="67" bestFit="1" customWidth="1"/>
    <col min="13839" max="14079" width="9.140625" style="67"/>
    <col min="14080" max="14080" width="13.140625" style="67" customWidth="1"/>
    <col min="14081" max="14081" width="12.85546875" style="67" customWidth="1"/>
    <col min="14082" max="14082" width="43.85546875" style="67" customWidth="1"/>
    <col min="14083" max="14083" width="9.140625" style="67" customWidth="1"/>
    <col min="14084" max="14084" width="7.140625" style="67" customWidth="1"/>
    <col min="14085" max="14085" width="10.42578125" style="67" customWidth="1"/>
    <col min="14086" max="14086" width="10" style="67" customWidth="1"/>
    <col min="14087" max="14088" width="15.42578125" style="67" customWidth="1"/>
    <col min="14089" max="14089" width="10" style="67" customWidth="1"/>
    <col min="14090" max="14090" width="13" style="67" customWidth="1"/>
    <col min="14091" max="14092" width="0" style="67" hidden="1" customWidth="1"/>
    <col min="14093" max="14093" width="9.140625" style="67"/>
    <col min="14094" max="14094" width="9.5703125" style="67" bestFit="1" customWidth="1"/>
    <col min="14095" max="14335" width="9.140625" style="67"/>
    <col min="14336" max="14336" width="13.140625" style="67" customWidth="1"/>
    <col min="14337" max="14337" width="12.85546875" style="67" customWidth="1"/>
    <col min="14338" max="14338" width="43.85546875" style="67" customWidth="1"/>
    <col min="14339" max="14339" width="9.140625" style="67" customWidth="1"/>
    <col min="14340" max="14340" width="7.140625" style="67" customWidth="1"/>
    <col min="14341" max="14341" width="10.42578125" style="67" customWidth="1"/>
    <col min="14342" max="14342" width="10" style="67" customWidth="1"/>
    <col min="14343" max="14344" width="15.42578125" style="67" customWidth="1"/>
    <col min="14345" max="14345" width="10" style="67" customWidth="1"/>
    <col min="14346" max="14346" width="13" style="67" customWidth="1"/>
    <col min="14347" max="14348" width="0" style="67" hidden="1" customWidth="1"/>
    <col min="14349" max="14349" width="9.140625" style="67"/>
    <col min="14350" max="14350" width="9.5703125" style="67" bestFit="1" customWidth="1"/>
    <col min="14351" max="14591" width="9.140625" style="67"/>
    <col min="14592" max="14592" width="13.140625" style="67" customWidth="1"/>
    <col min="14593" max="14593" width="12.85546875" style="67" customWidth="1"/>
    <col min="14594" max="14594" width="43.85546875" style="67" customWidth="1"/>
    <col min="14595" max="14595" width="9.140625" style="67" customWidth="1"/>
    <col min="14596" max="14596" width="7.140625" style="67" customWidth="1"/>
    <col min="14597" max="14597" width="10.42578125" style="67" customWidth="1"/>
    <col min="14598" max="14598" width="10" style="67" customWidth="1"/>
    <col min="14599" max="14600" width="15.42578125" style="67" customWidth="1"/>
    <col min="14601" max="14601" width="10" style="67" customWidth="1"/>
    <col min="14602" max="14602" width="13" style="67" customWidth="1"/>
    <col min="14603" max="14604" width="0" style="67" hidden="1" customWidth="1"/>
    <col min="14605" max="14605" width="9.140625" style="67"/>
    <col min="14606" max="14606" width="9.5703125" style="67" bestFit="1" customWidth="1"/>
    <col min="14607" max="14847" width="9.140625" style="67"/>
    <col min="14848" max="14848" width="13.140625" style="67" customWidth="1"/>
    <col min="14849" max="14849" width="12.85546875" style="67" customWidth="1"/>
    <col min="14850" max="14850" width="43.85546875" style="67" customWidth="1"/>
    <col min="14851" max="14851" width="9.140625" style="67" customWidth="1"/>
    <col min="14852" max="14852" width="7.140625" style="67" customWidth="1"/>
    <col min="14853" max="14853" width="10.42578125" style="67" customWidth="1"/>
    <col min="14854" max="14854" width="10" style="67" customWidth="1"/>
    <col min="14855" max="14856" width="15.42578125" style="67" customWidth="1"/>
    <col min="14857" max="14857" width="10" style="67" customWidth="1"/>
    <col min="14858" max="14858" width="13" style="67" customWidth="1"/>
    <col min="14859" max="14860" width="0" style="67" hidden="1" customWidth="1"/>
    <col min="14861" max="14861" width="9.140625" style="67"/>
    <col min="14862" max="14862" width="9.5703125" style="67" bestFit="1" customWidth="1"/>
    <col min="14863" max="15103" width="9.140625" style="67"/>
    <col min="15104" max="15104" width="13.140625" style="67" customWidth="1"/>
    <col min="15105" max="15105" width="12.85546875" style="67" customWidth="1"/>
    <col min="15106" max="15106" width="43.85546875" style="67" customWidth="1"/>
    <col min="15107" max="15107" width="9.140625" style="67" customWidth="1"/>
    <col min="15108" max="15108" width="7.140625" style="67" customWidth="1"/>
    <col min="15109" max="15109" width="10.42578125" style="67" customWidth="1"/>
    <col min="15110" max="15110" width="10" style="67" customWidth="1"/>
    <col min="15111" max="15112" width="15.42578125" style="67" customWidth="1"/>
    <col min="15113" max="15113" width="10" style="67" customWidth="1"/>
    <col min="15114" max="15114" width="13" style="67" customWidth="1"/>
    <col min="15115" max="15116" width="0" style="67" hidden="1" customWidth="1"/>
    <col min="15117" max="15117" width="9.140625" style="67"/>
    <col min="15118" max="15118" width="9.5703125" style="67" bestFit="1" customWidth="1"/>
    <col min="15119" max="15359" width="9.140625" style="67"/>
    <col min="15360" max="15360" width="13.140625" style="67" customWidth="1"/>
    <col min="15361" max="15361" width="12.85546875" style="67" customWidth="1"/>
    <col min="15362" max="15362" width="43.85546875" style="67" customWidth="1"/>
    <col min="15363" max="15363" width="9.140625" style="67" customWidth="1"/>
    <col min="15364" max="15364" width="7.140625" style="67" customWidth="1"/>
    <col min="15365" max="15365" width="10.42578125" style="67" customWidth="1"/>
    <col min="15366" max="15366" width="10" style="67" customWidth="1"/>
    <col min="15367" max="15368" width="15.42578125" style="67" customWidth="1"/>
    <col min="15369" max="15369" width="10" style="67" customWidth="1"/>
    <col min="15370" max="15370" width="13" style="67" customWidth="1"/>
    <col min="15371" max="15372" width="0" style="67" hidden="1" customWidth="1"/>
    <col min="15373" max="15373" width="9.140625" style="67"/>
    <col min="15374" max="15374" width="9.5703125" style="67" bestFit="1" customWidth="1"/>
    <col min="15375" max="15615" width="9.140625" style="67"/>
    <col min="15616" max="15616" width="13.140625" style="67" customWidth="1"/>
    <col min="15617" max="15617" width="12.85546875" style="67" customWidth="1"/>
    <col min="15618" max="15618" width="43.85546875" style="67" customWidth="1"/>
    <col min="15619" max="15619" width="9.140625" style="67" customWidth="1"/>
    <col min="15620" max="15620" width="7.140625" style="67" customWidth="1"/>
    <col min="15621" max="15621" width="10.42578125" style="67" customWidth="1"/>
    <col min="15622" max="15622" width="10" style="67" customWidth="1"/>
    <col min="15623" max="15624" width="15.42578125" style="67" customWidth="1"/>
    <col min="15625" max="15625" width="10" style="67" customWidth="1"/>
    <col min="15626" max="15626" width="13" style="67" customWidth="1"/>
    <col min="15627" max="15628" width="0" style="67" hidden="1" customWidth="1"/>
    <col min="15629" max="15629" width="9.140625" style="67"/>
    <col min="15630" max="15630" width="9.5703125" style="67" bestFit="1" customWidth="1"/>
    <col min="15631" max="15871" width="9.140625" style="67"/>
    <col min="15872" max="15872" width="13.140625" style="67" customWidth="1"/>
    <col min="15873" max="15873" width="12.85546875" style="67" customWidth="1"/>
    <col min="15874" max="15874" width="43.85546875" style="67" customWidth="1"/>
    <col min="15875" max="15875" width="9.140625" style="67" customWidth="1"/>
    <col min="15876" max="15876" width="7.140625" style="67" customWidth="1"/>
    <col min="15877" max="15877" width="10.42578125" style="67" customWidth="1"/>
    <col min="15878" max="15878" width="10" style="67" customWidth="1"/>
    <col min="15879" max="15880" width="15.42578125" style="67" customWidth="1"/>
    <col min="15881" max="15881" width="10" style="67" customWidth="1"/>
    <col min="15882" max="15882" width="13" style="67" customWidth="1"/>
    <col min="15883" max="15884" width="0" style="67" hidden="1" customWidth="1"/>
    <col min="15885" max="15885" width="9.140625" style="67"/>
    <col min="15886" max="15886" width="9.5703125" style="67" bestFit="1" customWidth="1"/>
    <col min="15887" max="16127" width="9.140625" style="67"/>
    <col min="16128" max="16128" width="13.140625" style="67" customWidth="1"/>
    <col min="16129" max="16129" width="12.85546875" style="67" customWidth="1"/>
    <col min="16130" max="16130" width="43.85546875" style="67" customWidth="1"/>
    <col min="16131" max="16131" width="9.140625" style="67" customWidth="1"/>
    <col min="16132" max="16132" width="7.140625" style="67" customWidth="1"/>
    <col min="16133" max="16133" width="10.42578125" style="67" customWidth="1"/>
    <col min="16134" max="16134" width="10" style="67" customWidth="1"/>
    <col min="16135" max="16136" width="15.42578125" style="67" customWidth="1"/>
    <col min="16137" max="16137" width="10" style="67" customWidth="1"/>
    <col min="16138" max="16138" width="13" style="67" customWidth="1"/>
    <col min="16139" max="16140" width="0" style="67" hidden="1" customWidth="1"/>
    <col min="16141" max="16141" width="9.140625" style="67"/>
    <col min="16142" max="16142" width="9.5703125" style="67" bestFit="1" customWidth="1"/>
    <col min="16143" max="16384" width="9.140625" style="67"/>
  </cols>
  <sheetData>
    <row r="1" spans="1:24" s="30" customFormat="1" ht="15.75" x14ac:dyDescent="0.25">
      <c r="A1" s="628"/>
      <c r="B1" s="628"/>
      <c r="C1" s="628"/>
      <c r="D1" s="628"/>
      <c r="E1" s="628"/>
      <c r="F1" s="628"/>
      <c r="G1" s="628"/>
      <c r="H1" s="628"/>
      <c r="I1" s="628"/>
      <c r="J1" s="628"/>
      <c r="K1" s="92"/>
      <c r="L1" s="357"/>
    </row>
    <row r="2" spans="1:24" s="56" customFormat="1" ht="18.75" x14ac:dyDescent="0.2">
      <c r="A2" s="633" t="s">
        <v>1151</v>
      </c>
      <c r="B2" s="633"/>
      <c r="C2" s="633"/>
      <c r="D2" s="633"/>
      <c r="E2" s="633"/>
      <c r="F2" s="633"/>
      <c r="G2" s="633"/>
      <c r="H2" s="633"/>
      <c r="I2" s="633"/>
      <c r="J2" s="633"/>
      <c r="K2" s="353"/>
      <c r="L2" s="358"/>
      <c r="M2" s="11"/>
      <c r="N2" s="11"/>
      <c r="O2" s="55"/>
      <c r="P2" s="11"/>
      <c r="Q2" s="11"/>
      <c r="R2" s="11"/>
      <c r="S2" s="11"/>
      <c r="T2" s="11"/>
      <c r="U2" s="11"/>
      <c r="V2" s="11"/>
      <c r="W2" s="11"/>
      <c r="X2" s="11"/>
    </row>
    <row r="3" spans="1:24" s="56" customFormat="1" ht="18.75" x14ac:dyDescent="0.2">
      <c r="A3" s="633" t="s">
        <v>1152</v>
      </c>
      <c r="B3" s="633"/>
      <c r="C3" s="633"/>
      <c r="D3" s="633"/>
      <c r="E3" s="633"/>
      <c r="F3" s="633"/>
      <c r="G3" s="633"/>
      <c r="H3" s="633"/>
      <c r="I3" s="633"/>
      <c r="J3" s="633"/>
      <c r="K3" s="353"/>
      <c r="L3" s="358"/>
      <c r="M3" s="11"/>
      <c r="N3" s="11"/>
      <c r="O3" s="55"/>
      <c r="P3" s="11"/>
      <c r="Q3" s="11"/>
      <c r="R3" s="11"/>
      <c r="S3" s="11"/>
      <c r="T3" s="11"/>
      <c r="U3" s="11"/>
      <c r="V3" s="11"/>
      <c r="W3" s="11"/>
      <c r="X3" s="11"/>
    </row>
    <row r="4" spans="1:24" s="56" customFormat="1" ht="18.75" x14ac:dyDescent="0.2">
      <c r="A4" s="633" t="s">
        <v>1154</v>
      </c>
      <c r="B4" s="633"/>
      <c r="C4" s="633"/>
      <c r="D4" s="633"/>
      <c r="E4" s="633"/>
      <c r="F4" s="633"/>
      <c r="G4" s="633"/>
      <c r="H4" s="633"/>
      <c r="I4" s="633"/>
      <c r="J4" s="633"/>
      <c r="K4" s="353"/>
      <c r="L4" s="359"/>
      <c r="M4" s="57"/>
      <c r="N4" s="55"/>
      <c r="O4" s="11"/>
      <c r="P4" s="11"/>
      <c r="Q4" s="11"/>
      <c r="R4" s="11"/>
      <c r="S4" s="11"/>
      <c r="T4" s="11"/>
      <c r="U4" s="11"/>
      <c r="V4" s="11"/>
      <c r="W4" s="11"/>
      <c r="X4" s="11"/>
    </row>
    <row r="5" spans="1:24" s="56" customFormat="1" ht="18.75" x14ac:dyDescent="0.2">
      <c r="A5" s="633" t="s">
        <v>153</v>
      </c>
      <c r="B5" s="633"/>
      <c r="C5" s="633"/>
      <c r="D5" s="633"/>
      <c r="E5" s="633"/>
      <c r="F5" s="633"/>
      <c r="G5" s="633"/>
      <c r="H5" s="633"/>
      <c r="I5" s="633"/>
      <c r="J5" s="633"/>
      <c r="K5" s="353"/>
      <c r="L5" s="360"/>
      <c r="M5" s="11"/>
      <c r="N5" s="55"/>
      <c r="O5" s="11"/>
      <c r="P5" s="11"/>
      <c r="Q5" s="11"/>
      <c r="R5" s="11"/>
      <c r="S5" s="11"/>
      <c r="T5" s="11"/>
      <c r="U5" s="11"/>
      <c r="V5" s="11"/>
      <c r="W5" s="11"/>
      <c r="X5" s="11"/>
    </row>
    <row r="6" spans="1:24" s="50" customFormat="1" ht="25.5" x14ac:dyDescent="0.2">
      <c r="A6" s="221" t="s">
        <v>99</v>
      </c>
      <c r="B6" s="209" t="str">
        <f>'014-22-CCU''s'!C6</f>
        <v>014/2022-SEORÇA-SDS-R02</v>
      </c>
      <c r="C6" s="93"/>
      <c r="D6" s="93"/>
      <c r="E6" s="364"/>
      <c r="F6" s="234"/>
      <c r="G6" s="234"/>
      <c r="H6" s="234"/>
      <c r="I6" s="233" t="s">
        <v>60</v>
      </c>
      <c r="J6" s="234">
        <f>'014-22-CAPA'!E20</f>
        <v>45478</v>
      </c>
      <c r="K6" s="95"/>
      <c r="L6" s="361"/>
      <c r="M6" s="49"/>
      <c r="N6" s="49"/>
      <c r="O6" s="49"/>
      <c r="P6" s="49"/>
      <c r="Q6" s="49"/>
      <c r="R6" s="49"/>
      <c r="S6" s="49"/>
      <c r="T6" s="49"/>
      <c r="U6" s="49"/>
    </row>
    <row r="7" spans="1:24" s="50" customFormat="1" ht="25.5" x14ac:dyDescent="0.2">
      <c r="A7" s="221" t="s">
        <v>13</v>
      </c>
      <c r="B7" s="622" t="s">
        <v>4273</v>
      </c>
      <c r="C7" s="622"/>
      <c r="D7" s="622"/>
      <c r="E7" s="622"/>
      <c r="F7" s="622"/>
      <c r="G7" s="211"/>
      <c r="H7" s="211"/>
      <c r="I7" s="221" t="s">
        <v>16</v>
      </c>
      <c r="J7" s="93" t="str">
        <f>'014-22-CCU''s'!H7</f>
        <v>PROJ-DE-034-20</v>
      </c>
      <c r="K7" s="95"/>
      <c r="L7" s="361"/>
      <c r="M7" s="49"/>
      <c r="N7" s="49"/>
      <c r="O7" s="49"/>
      <c r="P7" s="49"/>
      <c r="Q7" s="49"/>
      <c r="R7" s="49"/>
      <c r="S7" s="49"/>
      <c r="T7" s="49"/>
      <c r="U7" s="49"/>
    </row>
    <row r="8" spans="1:24" s="50" customFormat="1" ht="38.25" x14ac:dyDescent="0.2">
      <c r="A8" s="221" t="s">
        <v>100</v>
      </c>
      <c r="B8" s="210" t="str">
        <f>'014-22-CCU''s'!C8</f>
        <v>horista=110,14% / mensalista=70,04%</v>
      </c>
      <c r="C8" s="244"/>
      <c r="D8" s="244" t="s">
        <v>65</v>
      </c>
      <c r="E8" s="365" t="s">
        <v>12740</v>
      </c>
      <c r="F8" s="244" t="s">
        <v>65</v>
      </c>
      <c r="G8" s="211"/>
      <c r="H8" s="211"/>
      <c r="I8" s="233" t="s">
        <v>67</v>
      </c>
      <c r="J8" s="212" t="str">
        <f>'014-22-CCU''s'!H8</f>
        <v>SINAPI MAIO 2024</v>
      </c>
      <c r="K8" s="95"/>
      <c r="L8" s="361"/>
      <c r="M8" s="49"/>
      <c r="N8" s="49"/>
      <c r="O8" s="49"/>
      <c r="P8" s="49"/>
      <c r="Q8" s="49"/>
      <c r="R8" s="49"/>
      <c r="S8" s="49"/>
      <c r="T8" s="49"/>
      <c r="U8" s="49"/>
    </row>
    <row r="9" spans="1:24" x14ac:dyDescent="0.2">
      <c r="A9" s="241"/>
      <c r="B9" s="69"/>
      <c r="C9" s="245"/>
      <c r="D9" s="245"/>
      <c r="E9" s="245"/>
      <c r="F9" s="246"/>
      <c r="G9" s="246"/>
      <c r="H9" s="246"/>
      <c r="K9" s="355"/>
      <c r="L9" s="362"/>
    </row>
    <row r="10" spans="1:24" ht="22.5" x14ac:dyDescent="0.2">
      <c r="A10" s="137" t="s">
        <v>0</v>
      </c>
      <c r="B10" s="138" t="s">
        <v>1</v>
      </c>
      <c r="C10" s="135" t="s">
        <v>157</v>
      </c>
      <c r="D10" s="135" t="s">
        <v>2</v>
      </c>
      <c r="E10" s="135" t="s">
        <v>1926</v>
      </c>
      <c r="F10" s="136" t="s">
        <v>30</v>
      </c>
      <c r="G10" s="136" t="s">
        <v>1513</v>
      </c>
      <c r="H10" s="136" t="s">
        <v>1514</v>
      </c>
      <c r="I10" s="136" t="s">
        <v>133</v>
      </c>
      <c r="J10" s="136" t="s">
        <v>134</v>
      </c>
      <c r="K10" s="355"/>
      <c r="L10" s="362"/>
    </row>
    <row r="11" spans="1:24" ht="63.75" x14ac:dyDescent="0.2">
      <c r="A11" s="242" t="s">
        <v>1507</v>
      </c>
      <c r="B11" s="589" t="s">
        <v>3665</v>
      </c>
      <c r="C11" s="248" t="s">
        <v>10</v>
      </c>
      <c r="D11" s="248">
        <v>1</v>
      </c>
      <c r="E11" s="248">
        <v>148847.69999999998</v>
      </c>
      <c r="F11" s="249">
        <v>0.18559999999999999</v>
      </c>
      <c r="G11" s="250">
        <f t="shared" ref="G11:G42" si="0">E11*(1+F11)</f>
        <v>176473.83311999997</v>
      </c>
      <c r="H11" s="250">
        <f t="shared" ref="H11:H42" si="1">G11*D11</f>
        <v>176473.83311999997</v>
      </c>
      <c r="I11" s="251">
        <f t="shared" ref="I11:I42" si="2">H11/$F$117</f>
        <v>9.2834215554907812E-2</v>
      </c>
      <c r="J11" s="251">
        <f>I11</f>
        <v>9.2834215554907812E-2</v>
      </c>
      <c r="K11" s="355">
        <f>'014-22-CAPA'!$F$32</f>
        <v>1900956.793017834</v>
      </c>
      <c r="L11" s="362">
        <f t="shared" ref="L11:L42" si="3">K11-$F$117</f>
        <v>-4.7010264825075865E-3</v>
      </c>
      <c r="M11" s="396"/>
    </row>
    <row r="12" spans="1:24" ht="51" x14ac:dyDescent="0.2">
      <c r="A12" s="242" t="s">
        <v>3469</v>
      </c>
      <c r="B12" s="589" t="s">
        <v>4480</v>
      </c>
      <c r="C12" s="248" t="s">
        <v>1106</v>
      </c>
      <c r="D12" s="248">
        <v>801.81</v>
      </c>
      <c r="E12" s="248">
        <v>158.72999999999999</v>
      </c>
      <c r="F12" s="249">
        <v>0.18559999999999999</v>
      </c>
      <c r="G12" s="250">
        <f t="shared" si="0"/>
        <v>188.19028799999998</v>
      </c>
      <c r="H12" s="250">
        <f t="shared" si="1"/>
        <v>150892.85482127997</v>
      </c>
      <c r="I12" s="251">
        <f t="shared" si="2"/>
        <v>7.9377319359572346E-2</v>
      </c>
      <c r="J12" s="251">
        <f t="shared" ref="J12:J43" si="4">I12+J11</f>
        <v>0.17221153491448016</v>
      </c>
      <c r="K12" s="355">
        <f>'014-22-CAPA'!$F$32</f>
        <v>1900956.793017834</v>
      </c>
      <c r="L12" s="362">
        <f t="shared" si="3"/>
        <v>-4.7010264825075865E-3</v>
      </c>
      <c r="M12" s="396"/>
    </row>
    <row r="13" spans="1:24" ht="51" x14ac:dyDescent="0.2">
      <c r="A13" s="242" t="s">
        <v>3468</v>
      </c>
      <c r="B13" s="589" t="s">
        <v>4477</v>
      </c>
      <c r="C13" s="248" t="s">
        <v>1106</v>
      </c>
      <c r="D13" s="248">
        <v>867.8</v>
      </c>
      <c r="E13" s="248">
        <v>146.37</v>
      </c>
      <c r="F13" s="249">
        <v>0.18559999999999999</v>
      </c>
      <c r="G13" s="250">
        <f t="shared" si="0"/>
        <v>173.536272</v>
      </c>
      <c r="H13" s="250">
        <f t="shared" si="1"/>
        <v>150594.77684159999</v>
      </c>
      <c r="I13" s="251">
        <f t="shared" si="2"/>
        <v>7.9220515175470074E-2</v>
      </c>
      <c r="J13" s="251">
        <f t="shared" si="4"/>
        <v>0.25143205008995023</v>
      </c>
      <c r="K13" s="355">
        <f>'014-22-CAPA'!$F$32</f>
        <v>1900956.793017834</v>
      </c>
      <c r="L13" s="362">
        <f t="shared" si="3"/>
        <v>-4.7010264825075865E-3</v>
      </c>
      <c r="M13" s="396"/>
    </row>
    <row r="14" spans="1:24" ht="51" x14ac:dyDescent="0.2">
      <c r="A14" s="242" t="s">
        <v>3466</v>
      </c>
      <c r="B14" s="589" t="s">
        <v>4470</v>
      </c>
      <c r="C14" s="248" t="s">
        <v>1106</v>
      </c>
      <c r="D14" s="248">
        <v>748.01</v>
      </c>
      <c r="E14" s="248">
        <v>146.37</v>
      </c>
      <c r="F14" s="249">
        <v>0.18559999999999999</v>
      </c>
      <c r="G14" s="250">
        <f t="shared" si="0"/>
        <v>173.536272</v>
      </c>
      <c r="H14" s="250">
        <f t="shared" si="1"/>
        <v>129806.86681871999</v>
      </c>
      <c r="I14" s="251">
        <f t="shared" si="2"/>
        <v>6.8285016773914936E-2</v>
      </c>
      <c r="J14" s="251">
        <f t="shared" si="4"/>
        <v>0.31971706686386514</v>
      </c>
      <c r="K14" s="355">
        <f>'014-22-CAPA'!$F$32</f>
        <v>1900956.793017834</v>
      </c>
      <c r="L14" s="362">
        <f t="shared" si="3"/>
        <v>-4.7010264825075865E-3</v>
      </c>
      <c r="M14" s="396"/>
    </row>
    <row r="15" spans="1:24" ht="51" x14ac:dyDescent="0.2">
      <c r="A15" s="242" t="s">
        <v>3467</v>
      </c>
      <c r="B15" s="589" t="s">
        <v>4471</v>
      </c>
      <c r="C15" s="248" t="s">
        <v>1106</v>
      </c>
      <c r="D15" s="248">
        <v>729.01</v>
      </c>
      <c r="E15" s="248">
        <v>146.37</v>
      </c>
      <c r="F15" s="249">
        <v>0.18559999999999999</v>
      </c>
      <c r="G15" s="250">
        <f t="shared" si="0"/>
        <v>173.536272</v>
      </c>
      <c r="H15" s="250">
        <f t="shared" si="1"/>
        <v>126509.67765072</v>
      </c>
      <c r="I15" s="251">
        <f t="shared" si="2"/>
        <v>6.6550527504113208E-2</v>
      </c>
      <c r="J15" s="251">
        <f t="shared" si="4"/>
        <v>0.38626759436797836</v>
      </c>
      <c r="K15" s="355">
        <f>'014-22-CAPA'!$F$32</f>
        <v>1900956.793017834</v>
      </c>
      <c r="L15" s="362">
        <f t="shared" si="3"/>
        <v>-4.7010264825075865E-3</v>
      </c>
      <c r="M15" s="396"/>
    </row>
    <row r="16" spans="1:24" ht="51" x14ac:dyDescent="0.2">
      <c r="A16" s="242" t="s">
        <v>3465</v>
      </c>
      <c r="B16" s="589" t="s">
        <v>4295</v>
      </c>
      <c r="C16" s="248" t="s">
        <v>1106</v>
      </c>
      <c r="D16" s="248">
        <v>1021.08</v>
      </c>
      <c r="E16" s="248">
        <v>102.01</v>
      </c>
      <c r="F16" s="249">
        <v>0.18559999999999999</v>
      </c>
      <c r="G16" s="250">
        <f t="shared" si="0"/>
        <v>120.943056</v>
      </c>
      <c r="H16" s="250">
        <f t="shared" si="1"/>
        <v>123492.53562048</v>
      </c>
      <c r="I16" s="251">
        <f t="shared" si="2"/>
        <v>6.496335727811936E-2</v>
      </c>
      <c r="J16" s="251">
        <f t="shared" si="4"/>
        <v>0.45123095164609772</v>
      </c>
      <c r="K16" s="355">
        <f>'014-22-CAPA'!$F$32</f>
        <v>1900956.793017834</v>
      </c>
      <c r="L16" s="362">
        <f t="shared" si="3"/>
        <v>-4.7010264825075865E-3</v>
      </c>
      <c r="M16" s="396"/>
    </row>
    <row r="17" spans="1:13" ht="25.5" x14ac:dyDescent="0.2">
      <c r="A17" s="242">
        <v>98504</v>
      </c>
      <c r="B17" s="589" t="s">
        <v>8305</v>
      </c>
      <c r="C17" s="248" t="s">
        <v>150</v>
      </c>
      <c r="D17" s="248">
        <v>5514.2</v>
      </c>
      <c r="E17" s="248">
        <v>17.940000000000001</v>
      </c>
      <c r="F17" s="249">
        <v>0.18559999999999999</v>
      </c>
      <c r="G17" s="250">
        <f t="shared" si="0"/>
        <v>21.269664000000002</v>
      </c>
      <c r="H17" s="250">
        <f t="shared" si="1"/>
        <v>117285.18122880001</v>
      </c>
      <c r="I17" s="251">
        <f t="shared" si="2"/>
        <v>6.1697973025763499E-2</v>
      </c>
      <c r="J17" s="251">
        <f t="shared" si="4"/>
        <v>0.51292892467186124</v>
      </c>
      <c r="K17" s="355">
        <f>'014-22-CAPA'!$F$32</f>
        <v>1900956.793017834</v>
      </c>
      <c r="L17" s="362">
        <f t="shared" si="3"/>
        <v>-4.7010264825075865E-3</v>
      </c>
      <c r="M17" s="396"/>
    </row>
    <row r="18" spans="1:13" x14ac:dyDescent="0.2">
      <c r="A18" s="242">
        <v>98459</v>
      </c>
      <c r="B18" s="589" t="s">
        <v>4953</v>
      </c>
      <c r="C18" s="248" t="s">
        <v>150</v>
      </c>
      <c r="D18" s="248">
        <v>1101.1199999999999</v>
      </c>
      <c r="E18" s="248">
        <v>86.12</v>
      </c>
      <c r="F18" s="249">
        <v>0.18559999999999999</v>
      </c>
      <c r="G18" s="250">
        <f t="shared" si="0"/>
        <v>102.10387200000001</v>
      </c>
      <c r="H18" s="250">
        <f t="shared" si="1"/>
        <v>112428.61553664001</v>
      </c>
      <c r="I18" s="251">
        <f t="shared" si="2"/>
        <v>5.9143172360126138E-2</v>
      </c>
      <c r="J18" s="251">
        <f t="shared" si="4"/>
        <v>0.57207209703198736</v>
      </c>
      <c r="K18" s="355">
        <f>'014-22-CAPA'!$F$32</f>
        <v>1900956.793017834</v>
      </c>
      <c r="L18" s="362">
        <f t="shared" si="3"/>
        <v>-4.7010264825075865E-3</v>
      </c>
      <c r="M18" s="396"/>
    </row>
    <row r="19" spans="1:13" ht="51" x14ac:dyDescent="0.2">
      <c r="A19" s="242">
        <v>100324</v>
      </c>
      <c r="B19" s="589" t="s">
        <v>5432</v>
      </c>
      <c r="C19" s="248" t="s">
        <v>163</v>
      </c>
      <c r="D19" s="248">
        <v>253.47200000000001</v>
      </c>
      <c r="E19" s="248">
        <v>275.94</v>
      </c>
      <c r="F19" s="249">
        <v>0.18559999999999999</v>
      </c>
      <c r="G19" s="250">
        <f t="shared" si="0"/>
        <v>327.15446400000002</v>
      </c>
      <c r="H19" s="250">
        <f t="shared" si="1"/>
        <v>82924.496299008009</v>
      </c>
      <c r="I19" s="251">
        <f t="shared" si="2"/>
        <v>4.3622504413838879E-2</v>
      </c>
      <c r="J19" s="251">
        <f t="shared" si="4"/>
        <v>0.61569460144582622</v>
      </c>
      <c r="K19" s="355">
        <f>'014-22-CAPA'!$F$32</f>
        <v>1900956.793017834</v>
      </c>
      <c r="L19" s="362">
        <f t="shared" si="3"/>
        <v>-4.7010264825075865E-3</v>
      </c>
      <c r="M19" s="396"/>
    </row>
    <row r="20" spans="1:13" ht="38.25" x14ac:dyDescent="0.2">
      <c r="A20" s="242" t="s">
        <v>3462</v>
      </c>
      <c r="B20" s="589" t="s">
        <v>4606</v>
      </c>
      <c r="C20" s="248" t="s">
        <v>163</v>
      </c>
      <c r="D20" s="248">
        <v>490.24</v>
      </c>
      <c r="E20" s="248">
        <v>141.74</v>
      </c>
      <c r="F20" s="249">
        <v>0.18559999999999999</v>
      </c>
      <c r="G20" s="250">
        <f t="shared" si="0"/>
        <v>168.046944</v>
      </c>
      <c r="H20" s="250">
        <f t="shared" si="1"/>
        <v>82383.333826560003</v>
      </c>
      <c r="I20" s="251">
        <f t="shared" si="2"/>
        <v>4.333782541792619E-2</v>
      </c>
      <c r="J20" s="251">
        <f t="shared" si="4"/>
        <v>0.65903242686375241</v>
      </c>
      <c r="K20" s="355">
        <f>'014-22-CAPA'!$F$32</f>
        <v>1900956.793017834</v>
      </c>
      <c r="L20" s="362">
        <f t="shared" si="3"/>
        <v>-4.7010264825075865E-3</v>
      </c>
      <c r="M20" s="396"/>
    </row>
    <row r="21" spans="1:13" ht="51" x14ac:dyDescent="0.2">
      <c r="A21" s="242" t="s">
        <v>4464</v>
      </c>
      <c r="B21" s="589" t="s">
        <v>4465</v>
      </c>
      <c r="C21" s="248" t="s">
        <v>1106</v>
      </c>
      <c r="D21" s="248">
        <v>380.75</v>
      </c>
      <c r="E21" s="248">
        <v>152.47</v>
      </c>
      <c r="F21" s="249">
        <v>0.18559999999999999</v>
      </c>
      <c r="G21" s="250">
        <f t="shared" si="0"/>
        <v>180.76843199999999</v>
      </c>
      <c r="H21" s="250">
        <f t="shared" si="1"/>
        <v>68827.580483999991</v>
      </c>
      <c r="I21" s="251">
        <f t="shared" si="2"/>
        <v>3.6206809416496351E-2</v>
      </c>
      <c r="J21" s="251">
        <f t="shared" si="4"/>
        <v>0.69523923628024875</v>
      </c>
      <c r="K21" s="355">
        <f>'014-22-CAPA'!$F$32</f>
        <v>1900956.793017834</v>
      </c>
      <c r="L21" s="362">
        <f t="shared" si="3"/>
        <v>-4.7010264825075865E-3</v>
      </c>
      <c r="M21" s="396"/>
    </row>
    <row r="22" spans="1:13" ht="25.5" x14ac:dyDescent="0.2">
      <c r="A22" s="242" t="s">
        <v>3494</v>
      </c>
      <c r="B22" s="589" t="s">
        <v>3495</v>
      </c>
      <c r="C22" s="248" t="s">
        <v>163</v>
      </c>
      <c r="D22" s="248">
        <v>275.70999999999998</v>
      </c>
      <c r="E22" s="248">
        <v>185.18</v>
      </c>
      <c r="F22" s="249">
        <v>0.18559999999999999</v>
      </c>
      <c r="G22" s="250">
        <f t="shared" si="0"/>
        <v>219.549408</v>
      </c>
      <c r="H22" s="250">
        <f t="shared" si="1"/>
        <v>60531.967279679993</v>
      </c>
      <c r="I22" s="251">
        <f t="shared" si="2"/>
        <v>3.1842894773999111E-2</v>
      </c>
      <c r="J22" s="251">
        <f t="shared" si="4"/>
        <v>0.7270821310542479</v>
      </c>
      <c r="K22" s="355">
        <f>'014-22-CAPA'!$F$32</f>
        <v>1900956.793017834</v>
      </c>
      <c r="L22" s="362">
        <f t="shared" si="3"/>
        <v>-4.7010264825075865E-3</v>
      </c>
      <c r="M22" s="396"/>
    </row>
    <row r="23" spans="1:13" ht="38.25" x14ac:dyDescent="0.2">
      <c r="A23" s="242">
        <v>95879</v>
      </c>
      <c r="B23" s="589" t="s">
        <v>3188</v>
      </c>
      <c r="C23" s="248" t="s">
        <v>922</v>
      </c>
      <c r="D23" s="248">
        <v>33631.883042664835</v>
      </c>
      <c r="E23" s="248">
        <v>1.43</v>
      </c>
      <c r="F23" s="249">
        <v>0.18559999999999999</v>
      </c>
      <c r="G23" s="250">
        <f t="shared" si="0"/>
        <v>1.6954079999999998</v>
      </c>
      <c r="H23" s="250">
        <f t="shared" si="1"/>
        <v>57019.763565598296</v>
      </c>
      <c r="I23" s="251">
        <f t="shared" si="2"/>
        <v>2.999529691259778E-2</v>
      </c>
      <c r="J23" s="251">
        <f t="shared" si="4"/>
        <v>0.75707742796684574</v>
      </c>
      <c r="K23" s="355">
        <f>'014-22-CAPA'!$F$32</f>
        <v>1900956.793017834</v>
      </c>
      <c r="L23" s="362">
        <f t="shared" si="3"/>
        <v>-4.7010264825075865E-3</v>
      </c>
      <c r="M23" s="396"/>
    </row>
    <row r="24" spans="1:13" ht="25.5" x14ac:dyDescent="0.2">
      <c r="A24" s="242" t="s">
        <v>3457</v>
      </c>
      <c r="B24" s="589" t="s">
        <v>4628</v>
      </c>
      <c r="C24" s="248" t="s">
        <v>1155</v>
      </c>
      <c r="D24" s="248">
        <v>4</v>
      </c>
      <c r="E24" s="248">
        <v>8285.44</v>
      </c>
      <c r="F24" s="249">
        <v>0.18559999999999999</v>
      </c>
      <c r="G24" s="250">
        <f t="shared" si="0"/>
        <v>9823.2176639999998</v>
      </c>
      <c r="H24" s="250">
        <f t="shared" si="1"/>
        <v>39292.870655999999</v>
      </c>
      <c r="I24" s="251">
        <f t="shared" si="2"/>
        <v>2.0670049263166457E-2</v>
      </c>
      <c r="J24" s="251">
        <f t="shared" si="4"/>
        <v>0.77774747723001214</v>
      </c>
      <c r="K24" s="355">
        <f>'014-22-CAPA'!$F$32</f>
        <v>1900956.793017834</v>
      </c>
      <c r="L24" s="362">
        <f t="shared" si="3"/>
        <v>-4.7010264825075865E-3</v>
      </c>
      <c r="M24" s="396"/>
    </row>
    <row r="25" spans="1:13" ht="51" x14ac:dyDescent="0.2">
      <c r="A25" s="242" t="s">
        <v>3464</v>
      </c>
      <c r="B25" s="589" t="s">
        <v>4292</v>
      </c>
      <c r="C25" s="248" t="s">
        <v>150</v>
      </c>
      <c r="D25" s="248">
        <v>340.27</v>
      </c>
      <c r="E25" s="248">
        <v>92.899999999999991</v>
      </c>
      <c r="F25" s="249">
        <v>0.18559999999999999</v>
      </c>
      <c r="G25" s="250">
        <f t="shared" si="0"/>
        <v>110.14223999999999</v>
      </c>
      <c r="H25" s="250">
        <f t="shared" si="1"/>
        <v>37478.100004799991</v>
      </c>
      <c r="I25" s="251">
        <f t="shared" si="2"/>
        <v>1.9715387561555078E-2</v>
      </c>
      <c r="J25" s="251">
        <f t="shared" si="4"/>
        <v>0.79746286479156725</v>
      </c>
      <c r="K25" s="355">
        <f>'014-22-CAPA'!$F$32</f>
        <v>1900956.793017834</v>
      </c>
      <c r="L25" s="362">
        <f t="shared" si="3"/>
        <v>-4.7010264825075865E-3</v>
      </c>
      <c r="M25" s="396"/>
    </row>
    <row r="26" spans="1:13" ht="25.5" x14ac:dyDescent="0.2">
      <c r="A26" s="242" t="s">
        <v>3536</v>
      </c>
      <c r="B26" s="589" t="s">
        <v>12732</v>
      </c>
      <c r="C26" s="248" t="s">
        <v>923</v>
      </c>
      <c r="D26" s="248">
        <v>1624.7270000000001</v>
      </c>
      <c r="E26" s="248">
        <v>15.25</v>
      </c>
      <c r="F26" s="249">
        <v>0.18559999999999999</v>
      </c>
      <c r="G26" s="250">
        <f t="shared" si="0"/>
        <v>18.080400000000001</v>
      </c>
      <c r="H26" s="250">
        <f t="shared" si="1"/>
        <v>29375.714050800005</v>
      </c>
      <c r="I26" s="251">
        <f t="shared" si="2"/>
        <v>1.5453120284506586E-2</v>
      </c>
      <c r="J26" s="251">
        <f t="shared" si="4"/>
        <v>0.81291598507607388</v>
      </c>
      <c r="K26" s="355">
        <f>'014-22-CAPA'!$F$32</f>
        <v>1900956.793017834</v>
      </c>
      <c r="L26" s="362">
        <f t="shared" si="3"/>
        <v>-4.7010264825075865E-3</v>
      </c>
      <c r="M26" s="396"/>
    </row>
    <row r="27" spans="1:13" ht="38.25" x14ac:dyDescent="0.2">
      <c r="A27" s="242" t="s">
        <v>12717</v>
      </c>
      <c r="B27" s="589" t="s">
        <v>12718</v>
      </c>
      <c r="C27" s="248" t="s">
        <v>107</v>
      </c>
      <c r="D27" s="248">
        <v>3</v>
      </c>
      <c r="E27" s="248">
        <v>6435.22</v>
      </c>
      <c r="F27" s="249">
        <v>0.18559999999999999</v>
      </c>
      <c r="G27" s="250">
        <f t="shared" si="0"/>
        <v>7629.5968320000002</v>
      </c>
      <c r="H27" s="250">
        <f t="shared" si="1"/>
        <v>22888.790496000001</v>
      </c>
      <c r="I27" s="251">
        <f t="shared" si="2"/>
        <v>1.2040668427323781E-2</v>
      </c>
      <c r="J27" s="251">
        <f t="shared" si="4"/>
        <v>0.82495665350339764</v>
      </c>
      <c r="K27" s="355">
        <f>'014-22-CAPA'!$F$32</f>
        <v>1900956.793017834</v>
      </c>
      <c r="L27" s="362">
        <f t="shared" si="3"/>
        <v>-4.7010264825075865E-3</v>
      </c>
      <c r="M27" s="396"/>
    </row>
    <row r="28" spans="1:13" ht="38.25" x14ac:dyDescent="0.2">
      <c r="A28" s="242" t="s">
        <v>12714</v>
      </c>
      <c r="B28" s="589" t="s">
        <v>12715</v>
      </c>
      <c r="C28" s="248" t="s">
        <v>150</v>
      </c>
      <c r="D28" s="248">
        <v>32</v>
      </c>
      <c r="E28" s="248">
        <v>577.20000000000005</v>
      </c>
      <c r="F28" s="249">
        <v>0.18559999999999999</v>
      </c>
      <c r="G28" s="250">
        <f t="shared" si="0"/>
        <v>684.32832000000008</v>
      </c>
      <c r="H28" s="250">
        <f t="shared" si="1"/>
        <v>21898.506240000002</v>
      </c>
      <c r="I28" s="251">
        <f t="shared" si="2"/>
        <v>1.1519728521067975E-2</v>
      </c>
      <c r="J28" s="251">
        <f t="shared" si="4"/>
        <v>0.83647638202446561</v>
      </c>
      <c r="K28" s="355">
        <f>'014-22-CAPA'!$F$32</f>
        <v>1900956.793017834</v>
      </c>
      <c r="L28" s="362">
        <f t="shared" si="3"/>
        <v>-4.7010264825075865E-3</v>
      </c>
      <c r="M28" s="396"/>
    </row>
    <row r="29" spans="1:13" ht="25.5" x14ac:dyDescent="0.2">
      <c r="A29" s="242">
        <v>98516</v>
      </c>
      <c r="B29" s="589" t="s">
        <v>1472</v>
      </c>
      <c r="C29" s="248" t="s">
        <v>107</v>
      </c>
      <c r="D29" s="248">
        <v>37</v>
      </c>
      <c r="E29" s="248">
        <v>396.49</v>
      </c>
      <c r="F29" s="249">
        <v>0.18559999999999999</v>
      </c>
      <c r="G29" s="250">
        <f t="shared" si="0"/>
        <v>470.07854400000002</v>
      </c>
      <c r="H29" s="250">
        <f t="shared" si="1"/>
        <v>17392.906128000002</v>
      </c>
      <c r="I29" s="251">
        <f t="shared" si="2"/>
        <v>9.14955360840994E-3</v>
      </c>
      <c r="J29" s="251">
        <f t="shared" si="4"/>
        <v>0.84562593563287558</v>
      </c>
      <c r="K29" s="355">
        <f>'014-22-CAPA'!$F$32</f>
        <v>1900956.793017834</v>
      </c>
      <c r="L29" s="362">
        <f t="shared" si="3"/>
        <v>-4.7010264825075865E-3</v>
      </c>
      <c r="M29" s="396"/>
    </row>
    <row r="30" spans="1:13" ht="76.5" x14ac:dyDescent="0.2">
      <c r="A30" s="242" t="s">
        <v>3474</v>
      </c>
      <c r="B30" s="589" t="s">
        <v>4502</v>
      </c>
      <c r="C30" s="248" t="s">
        <v>1104</v>
      </c>
      <c r="D30" s="248">
        <v>2</v>
      </c>
      <c r="E30" s="248">
        <v>6716.4900000000016</v>
      </c>
      <c r="F30" s="249">
        <v>0.18559999999999999</v>
      </c>
      <c r="G30" s="250">
        <f t="shared" si="0"/>
        <v>7963.070544000002</v>
      </c>
      <c r="H30" s="250">
        <f t="shared" si="1"/>
        <v>15926.141088000004</v>
      </c>
      <c r="I30" s="251">
        <f t="shared" si="2"/>
        <v>8.3779605654959125E-3</v>
      </c>
      <c r="J30" s="251">
        <f t="shared" si="4"/>
        <v>0.85400389619837147</v>
      </c>
      <c r="K30" s="355">
        <f>'014-22-CAPA'!$F$32</f>
        <v>1900956.793017834</v>
      </c>
      <c r="L30" s="362">
        <f t="shared" si="3"/>
        <v>-4.7010264825075865E-3</v>
      </c>
      <c r="M30" s="396"/>
    </row>
    <row r="31" spans="1:13" ht="63.75" x14ac:dyDescent="0.2">
      <c r="A31" s="242">
        <v>95567</v>
      </c>
      <c r="B31" s="589" t="s">
        <v>4934</v>
      </c>
      <c r="C31" s="248" t="s">
        <v>5</v>
      </c>
      <c r="D31" s="248">
        <v>168.2</v>
      </c>
      <c r="E31" s="248">
        <v>79.5</v>
      </c>
      <c r="F31" s="249">
        <v>0.18559999999999999</v>
      </c>
      <c r="G31" s="250">
        <f t="shared" si="0"/>
        <v>94.255200000000002</v>
      </c>
      <c r="H31" s="250">
        <f t="shared" si="1"/>
        <v>15853.724639999999</v>
      </c>
      <c r="I31" s="251">
        <f t="shared" si="2"/>
        <v>8.3398658291573991E-3</v>
      </c>
      <c r="J31" s="251">
        <f t="shared" si="4"/>
        <v>0.86234376202752883</v>
      </c>
      <c r="K31" s="355">
        <f>'014-22-CAPA'!$F$32</f>
        <v>1900956.793017834</v>
      </c>
      <c r="L31" s="362">
        <f t="shared" si="3"/>
        <v>-4.7010264825075865E-3</v>
      </c>
      <c r="M31" s="396"/>
    </row>
    <row r="32" spans="1:13" x14ac:dyDescent="0.2">
      <c r="A32" s="242" t="s">
        <v>1504</v>
      </c>
      <c r="B32" s="589" t="s">
        <v>1506</v>
      </c>
      <c r="C32" s="248" t="s">
        <v>150</v>
      </c>
      <c r="D32" s="248">
        <v>5069.4799999999996</v>
      </c>
      <c r="E32" s="248">
        <v>2.36</v>
      </c>
      <c r="F32" s="249">
        <v>0.18559999999999999</v>
      </c>
      <c r="G32" s="250">
        <f t="shared" si="0"/>
        <v>2.7980159999999996</v>
      </c>
      <c r="H32" s="250">
        <f t="shared" si="1"/>
        <v>14184.486151679997</v>
      </c>
      <c r="I32" s="251">
        <f t="shared" si="2"/>
        <v>7.4617614501819906E-3</v>
      </c>
      <c r="J32" s="251">
        <f t="shared" si="4"/>
        <v>0.86980552347771078</v>
      </c>
      <c r="K32" s="355">
        <f>'014-22-CAPA'!$F$32</f>
        <v>1900956.793017834</v>
      </c>
      <c r="L32" s="362">
        <f t="shared" si="3"/>
        <v>-4.7010264825075865E-3</v>
      </c>
      <c r="M32" s="396"/>
    </row>
    <row r="33" spans="1:13" ht="25.5" x14ac:dyDescent="0.2">
      <c r="A33" s="242" t="s">
        <v>3458</v>
      </c>
      <c r="B33" s="589" t="s">
        <v>4627</v>
      </c>
      <c r="C33" s="248" t="s">
        <v>163</v>
      </c>
      <c r="D33" s="248">
        <v>445.28</v>
      </c>
      <c r="E33" s="248">
        <v>22.9</v>
      </c>
      <c r="F33" s="249">
        <v>0.18559999999999999</v>
      </c>
      <c r="G33" s="250">
        <f t="shared" si="0"/>
        <v>27.150239999999997</v>
      </c>
      <c r="H33" s="250">
        <f t="shared" si="1"/>
        <v>12089.458867199997</v>
      </c>
      <c r="I33" s="251">
        <f t="shared" si="2"/>
        <v>6.3596704994596893E-3</v>
      </c>
      <c r="J33" s="251">
        <f t="shared" si="4"/>
        <v>0.87616519397717052</v>
      </c>
      <c r="K33" s="355">
        <f>'014-22-CAPA'!$F$32</f>
        <v>1900956.793017834</v>
      </c>
      <c r="L33" s="362">
        <f t="shared" si="3"/>
        <v>-4.7010264825075865E-3</v>
      </c>
      <c r="M33" s="396"/>
    </row>
    <row r="34" spans="1:13" ht="63.75" x14ac:dyDescent="0.2">
      <c r="A34" s="242">
        <v>94275</v>
      </c>
      <c r="B34" s="589" t="s">
        <v>5342</v>
      </c>
      <c r="C34" s="248" t="s">
        <v>5</v>
      </c>
      <c r="D34" s="248">
        <v>193.2</v>
      </c>
      <c r="E34" s="248">
        <v>43.42</v>
      </c>
      <c r="F34" s="249">
        <v>0.18559999999999999</v>
      </c>
      <c r="G34" s="250">
        <f t="shared" si="0"/>
        <v>51.478752</v>
      </c>
      <c r="H34" s="250">
        <f t="shared" si="1"/>
        <v>9945.6948863999987</v>
      </c>
      <c r="I34" s="251">
        <f t="shared" si="2"/>
        <v>5.2319415666546385E-3</v>
      </c>
      <c r="J34" s="251">
        <f t="shared" si="4"/>
        <v>0.88139713554382515</v>
      </c>
      <c r="K34" s="355">
        <f>'014-22-CAPA'!$F$32</f>
        <v>1900956.793017834</v>
      </c>
      <c r="L34" s="362">
        <f t="shared" si="3"/>
        <v>-4.7010264825075865E-3</v>
      </c>
      <c r="M34" s="396"/>
    </row>
    <row r="35" spans="1:13" ht="38.25" x14ac:dyDescent="0.2">
      <c r="A35" s="242" t="s">
        <v>3471</v>
      </c>
      <c r="B35" s="589" t="s">
        <v>3903</v>
      </c>
      <c r="C35" s="248" t="s">
        <v>1104</v>
      </c>
      <c r="D35" s="248">
        <v>8</v>
      </c>
      <c r="E35" s="248">
        <v>976.85</v>
      </c>
      <c r="F35" s="249">
        <v>0.18559999999999999</v>
      </c>
      <c r="G35" s="250">
        <f t="shared" si="0"/>
        <v>1158.15336</v>
      </c>
      <c r="H35" s="250">
        <f t="shared" si="1"/>
        <v>9265.2268800000002</v>
      </c>
      <c r="I35" s="251">
        <f t="shared" si="2"/>
        <v>4.8739807717451712E-3</v>
      </c>
      <c r="J35" s="251">
        <f t="shared" si="4"/>
        <v>0.88627111631557032</v>
      </c>
      <c r="K35" s="355">
        <f>'014-22-CAPA'!$F$32</f>
        <v>1900956.793017834</v>
      </c>
      <c r="L35" s="362">
        <f t="shared" si="3"/>
        <v>-4.7010264825075865E-3</v>
      </c>
      <c r="M35" s="396"/>
    </row>
    <row r="36" spans="1:13" ht="51" x14ac:dyDescent="0.2">
      <c r="A36" s="242">
        <v>10778</v>
      </c>
      <c r="B36" s="589" t="s">
        <v>10701</v>
      </c>
      <c r="C36" s="248" t="s">
        <v>1110</v>
      </c>
      <c r="D36" s="248">
        <v>4</v>
      </c>
      <c r="E36" s="248">
        <v>1750</v>
      </c>
      <c r="F36" s="249">
        <v>0.18559999999999999</v>
      </c>
      <c r="G36" s="250">
        <f t="shared" si="0"/>
        <v>2074.8000000000002</v>
      </c>
      <c r="H36" s="250">
        <f t="shared" si="1"/>
        <v>8299.2000000000007</v>
      </c>
      <c r="I36" s="251">
        <f t="shared" si="2"/>
        <v>4.3658014795281003E-3</v>
      </c>
      <c r="J36" s="251">
        <f t="shared" si="4"/>
        <v>0.89063691779509846</v>
      </c>
      <c r="K36" s="355">
        <f>'014-22-CAPA'!$F$32</f>
        <v>1900956.793017834</v>
      </c>
      <c r="L36" s="362">
        <f t="shared" si="3"/>
        <v>-4.7010264825075865E-3</v>
      </c>
      <c r="M36" s="396"/>
    </row>
    <row r="37" spans="1:13" ht="38.25" x14ac:dyDescent="0.2">
      <c r="A37" s="242" t="s">
        <v>3475</v>
      </c>
      <c r="B37" s="589" t="s">
        <v>4548</v>
      </c>
      <c r="C37" s="248" t="s">
        <v>1104</v>
      </c>
      <c r="D37" s="248">
        <v>1</v>
      </c>
      <c r="E37" s="248">
        <v>6493</v>
      </c>
      <c r="F37" s="249">
        <v>0.18559999999999999</v>
      </c>
      <c r="G37" s="250">
        <f t="shared" si="0"/>
        <v>7698.1008000000002</v>
      </c>
      <c r="H37" s="250">
        <f t="shared" si="1"/>
        <v>7698.1008000000002</v>
      </c>
      <c r="I37" s="251">
        <f t="shared" si="2"/>
        <v>4.0495927152251364E-3</v>
      </c>
      <c r="J37" s="251">
        <f t="shared" si="4"/>
        <v>0.89468651051032355</v>
      </c>
      <c r="K37" s="355">
        <f>'014-22-CAPA'!$F$32</f>
        <v>1900956.793017834</v>
      </c>
      <c r="L37" s="362">
        <f t="shared" si="3"/>
        <v>-4.7010264825075865E-3</v>
      </c>
      <c r="M37" s="396"/>
    </row>
    <row r="38" spans="1:13" x14ac:dyDescent="0.2">
      <c r="A38" s="242">
        <v>98509</v>
      </c>
      <c r="B38" s="589" t="s">
        <v>1469</v>
      </c>
      <c r="C38" s="248" t="s">
        <v>107</v>
      </c>
      <c r="D38" s="248">
        <v>120</v>
      </c>
      <c r="E38" s="248">
        <v>52.07</v>
      </c>
      <c r="F38" s="249">
        <v>0.18559999999999999</v>
      </c>
      <c r="G38" s="250">
        <f t="shared" si="0"/>
        <v>61.734192</v>
      </c>
      <c r="H38" s="250">
        <f t="shared" si="1"/>
        <v>7408.10304</v>
      </c>
      <c r="I38" s="251">
        <f t="shared" si="2"/>
        <v>3.8970391378119113E-3</v>
      </c>
      <c r="J38" s="251">
        <f t="shared" si="4"/>
        <v>0.89858354964813547</v>
      </c>
      <c r="K38" s="355">
        <f>'014-22-CAPA'!$F$32</f>
        <v>1900956.793017834</v>
      </c>
      <c r="L38" s="362">
        <f t="shared" si="3"/>
        <v>-4.7010264825075865E-3</v>
      </c>
      <c r="M38" s="396"/>
    </row>
    <row r="39" spans="1:13" ht="25.5" x14ac:dyDescent="0.2">
      <c r="A39" s="242">
        <v>93358</v>
      </c>
      <c r="B39" s="589" t="s">
        <v>3530</v>
      </c>
      <c r="C39" s="248" t="s">
        <v>163</v>
      </c>
      <c r="D39" s="248">
        <v>66.95</v>
      </c>
      <c r="E39" s="248">
        <v>92.57</v>
      </c>
      <c r="F39" s="249">
        <v>0.18559999999999999</v>
      </c>
      <c r="G39" s="250">
        <f t="shared" si="0"/>
        <v>109.750992</v>
      </c>
      <c r="H39" s="250">
        <f t="shared" si="1"/>
        <v>7347.8289144</v>
      </c>
      <c r="I39" s="251">
        <f t="shared" si="2"/>
        <v>3.865331880880913E-3</v>
      </c>
      <c r="J39" s="251">
        <f t="shared" si="4"/>
        <v>0.90244888152901637</v>
      </c>
      <c r="K39" s="355">
        <f>'014-22-CAPA'!$F$32</f>
        <v>1900956.793017834</v>
      </c>
      <c r="L39" s="362">
        <f t="shared" si="3"/>
        <v>-4.7010264825075865E-3</v>
      </c>
      <c r="M39" s="396"/>
    </row>
    <row r="40" spans="1:13" ht="25.5" x14ac:dyDescent="0.2">
      <c r="A40" s="242" t="s">
        <v>3482</v>
      </c>
      <c r="B40" s="589" t="s">
        <v>4564</v>
      </c>
      <c r="C40" s="248" t="s">
        <v>1104</v>
      </c>
      <c r="D40" s="248">
        <v>1</v>
      </c>
      <c r="E40" s="248">
        <v>6168.59</v>
      </c>
      <c r="F40" s="249">
        <v>0.18559999999999999</v>
      </c>
      <c r="G40" s="250">
        <f t="shared" si="0"/>
        <v>7313.4803039999997</v>
      </c>
      <c r="H40" s="250">
        <f t="shared" si="1"/>
        <v>7313.4803039999997</v>
      </c>
      <c r="I40" s="251">
        <f t="shared" si="2"/>
        <v>3.8472627640860346E-3</v>
      </c>
      <c r="J40" s="251">
        <f t="shared" si="4"/>
        <v>0.90629614429310235</v>
      </c>
      <c r="K40" s="355">
        <f>'014-22-CAPA'!$F$32</f>
        <v>1900956.793017834</v>
      </c>
      <c r="L40" s="362">
        <f t="shared" si="3"/>
        <v>-4.7010264825075865E-3</v>
      </c>
      <c r="M40" s="396"/>
    </row>
    <row r="41" spans="1:13" ht="25.5" x14ac:dyDescent="0.2">
      <c r="A41" s="242" t="s">
        <v>3460</v>
      </c>
      <c r="B41" s="589" t="s">
        <v>3461</v>
      </c>
      <c r="C41" s="248" t="s">
        <v>150</v>
      </c>
      <c r="D41" s="248">
        <v>14.4</v>
      </c>
      <c r="E41" s="248">
        <v>368.59</v>
      </c>
      <c r="F41" s="249">
        <v>0.18559999999999999</v>
      </c>
      <c r="G41" s="250">
        <f t="shared" si="0"/>
        <v>437.00030399999997</v>
      </c>
      <c r="H41" s="250">
        <f t="shared" si="1"/>
        <v>6292.8043775999995</v>
      </c>
      <c r="I41" s="251">
        <f t="shared" si="2"/>
        <v>3.3103352928121966E-3</v>
      </c>
      <c r="J41" s="251">
        <f t="shared" si="4"/>
        <v>0.90960647958591456</v>
      </c>
      <c r="K41" s="355">
        <f>'014-22-CAPA'!$F$32</f>
        <v>1900956.793017834</v>
      </c>
      <c r="L41" s="362">
        <f t="shared" si="3"/>
        <v>-4.7010264825075865E-3</v>
      </c>
      <c r="M41" s="396"/>
    </row>
    <row r="42" spans="1:13" ht="25.5" x14ac:dyDescent="0.2">
      <c r="A42" s="242" t="s">
        <v>1946</v>
      </c>
      <c r="B42" s="589" t="s">
        <v>3436</v>
      </c>
      <c r="C42" s="248" t="s">
        <v>107</v>
      </c>
      <c r="D42" s="248">
        <v>16</v>
      </c>
      <c r="E42" s="248">
        <v>330</v>
      </c>
      <c r="F42" s="249">
        <v>0.18559999999999999</v>
      </c>
      <c r="G42" s="250">
        <f t="shared" si="0"/>
        <v>391.24799999999999</v>
      </c>
      <c r="H42" s="250">
        <f t="shared" si="1"/>
        <v>6259.9679999999998</v>
      </c>
      <c r="I42" s="251">
        <f t="shared" si="2"/>
        <v>3.2930616874154812E-3</v>
      </c>
      <c r="J42" s="251">
        <f t="shared" si="4"/>
        <v>0.91289954127333006</v>
      </c>
      <c r="K42" s="355">
        <f>'014-22-CAPA'!$F$32</f>
        <v>1900956.793017834</v>
      </c>
      <c r="L42" s="362">
        <f t="shared" si="3"/>
        <v>-4.7010264825075865E-3</v>
      </c>
      <c r="M42" s="396"/>
    </row>
    <row r="43" spans="1:13" ht="38.25" x14ac:dyDescent="0.2">
      <c r="A43" s="242" t="s">
        <v>3480</v>
      </c>
      <c r="B43" s="589" t="s">
        <v>4561</v>
      </c>
      <c r="C43" s="248" t="s">
        <v>1104</v>
      </c>
      <c r="D43" s="248">
        <v>1</v>
      </c>
      <c r="E43" s="248">
        <v>5250.88</v>
      </c>
      <c r="F43" s="249">
        <v>0.18559999999999999</v>
      </c>
      <c r="G43" s="250">
        <f t="shared" ref="G43:G74" si="5">E43*(1+F43)</f>
        <v>6225.4433280000003</v>
      </c>
      <c r="H43" s="250">
        <f t="shared" ref="H43:H74" si="6">G43*D43</f>
        <v>6225.4433280000003</v>
      </c>
      <c r="I43" s="251">
        <f t="shared" ref="I43:I74" si="7">H43/$F$117</f>
        <v>3.2748999532606444E-3</v>
      </c>
      <c r="J43" s="251">
        <f t="shared" si="4"/>
        <v>0.91617444122659075</v>
      </c>
      <c r="K43" s="355">
        <f>'014-22-CAPA'!$F$32</f>
        <v>1900956.793017834</v>
      </c>
      <c r="L43" s="362">
        <f t="shared" ref="L43:L74" si="8">K43-$F$117</f>
        <v>-4.7010264825075865E-3</v>
      </c>
      <c r="M43" s="396"/>
    </row>
    <row r="44" spans="1:13" ht="63.75" x14ac:dyDescent="0.2">
      <c r="A44" s="242">
        <v>100983</v>
      </c>
      <c r="B44" s="589" t="s">
        <v>3242</v>
      </c>
      <c r="C44" s="248" t="s">
        <v>163</v>
      </c>
      <c r="D44" s="248">
        <v>583</v>
      </c>
      <c r="E44" s="248">
        <v>8.85</v>
      </c>
      <c r="F44" s="249">
        <v>0.18559999999999999</v>
      </c>
      <c r="G44" s="250">
        <f t="shared" si="5"/>
        <v>10.492559999999999</v>
      </c>
      <c r="H44" s="250">
        <f t="shared" si="6"/>
        <v>6117.16248</v>
      </c>
      <c r="I44" s="251">
        <f t="shared" si="7"/>
        <v>3.2179387176713157E-3</v>
      </c>
      <c r="J44" s="251">
        <f t="shared" ref="J44:J75" si="9">I44+J43</f>
        <v>0.91939237994426204</v>
      </c>
      <c r="K44" s="355">
        <f>'014-22-CAPA'!$F$32</f>
        <v>1900956.793017834</v>
      </c>
      <c r="L44" s="362">
        <f t="shared" si="8"/>
        <v>-4.7010264825075865E-3</v>
      </c>
      <c r="M44" s="396"/>
    </row>
    <row r="45" spans="1:13" ht="38.25" x14ac:dyDescent="0.2">
      <c r="A45" s="242" t="s">
        <v>3485</v>
      </c>
      <c r="B45" s="589" t="s">
        <v>4568</v>
      </c>
      <c r="C45" s="248" t="s">
        <v>1104</v>
      </c>
      <c r="D45" s="248">
        <v>1</v>
      </c>
      <c r="E45" s="248">
        <v>4887.33</v>
      </c>
      <c r="F45" s="249">
        <v>0.18559999999999999</v>
      </c>
      <c r="G45" s="250">
        <f t="shared" si="5"/>
        <v>5794.4184479999994</v>
      </c>
      <c r="H45" s="250">
        <f t="shared" si="6"/>
        <v>5794.4184479999994</v>
      </c>
      <c r="I45" s="251">
        <f t="shared" si="7"/>
        <v>3.0481589349917238E-3</v>
      </c>
      <c r="J45" s="251">
        <f t="shared" si="9"/>
        <v>0.92244053887925381</v>
      </c>
      <c r="K45" s="355">
        <f>'014-22-CAPA'!$F$32</f>
        <v>1900956.793017834</v>
      </c>
      <c r="L45" s="362">
        <f t="shared" si="8"/>
        <v>-4.7010264825075865E-3</v>
      </c>
      <c r="M45" s="396"/>
    </row>
    <row r="46" spans="1:13" ht="38.25" x14ac:dyDescent="0.2">
      <c r="A46" s="242" t="s">
        <v>3490</v>
      </c>
      <c r="B46" s="589" t="s">
        <v>4576</v>
      </c>
      <c r="C46" s="248" t="s">
        <v>10</v>
      </c>
      <c r="D46" s="248">
        <v>41</v>
      </c>
      <c r="E46" s="248">
        <v>111.68</v>
      </c>
      <c r="F46" s="249">
        <v>0.18559999999999999</v>
      </c>
      <c r="G46" s="250">
        <f t="shared" si="5"/>
        <v>132.40780800000002</v>
      </c>
      <c r="H46" s="250">
        <f t="shared" si="6"/>
        <v>5428.7201280000008</v>
      </c>
      <c r="I46" s="251">
        <f t="shared" si="7"/>
        <v>2.855783011225947E-3</v>
      </c>
      <c r="J46" s="251">
        <f t="shared" si="9"/>
        <v>0.92529632189047972</v>
      </c>
      <c r="K46" s="355">
        <f>'014-22-CAPA'!$F$32</f>
        <v>1900956.793017834</v>
      </c>
      <c r="L46" s="362">
        <f t="shared" si="8"/>
        <v>-4.7010264825075865E-3</v>
      </c>
      <c r="M46" s="396"/>
    </row>
    <row r="47" spans="1:13" ht="51" x14ac:dyDescent="0.2">
      <c r="A47" s="242">
        <v>10776</v>
      </c>
      <c r="B47" s="589" t="s">
        <v>10700</v>
      </c>
      <c r="C47" s="248" t="s">
        <v>1110</v>
      </c>
      <c r="D47" s="248">
        <v>4</v>
      </c>
      <c r="E47" s="248">
        <v>1093.75</v>
      </c>
      <c r="F47" s="249">
        <v>0.18559999999999999</v>
      </c>
      <c r="G47" s="250">
        <f t="shared" si="5"/>
        <v>1296.75</v>
      </c>
      <c r="H47" s="250">
        <f t="shared" si="6"/>
        <v>5187</v>
      </c>
      <c r="I47" s="251">
        <f t="shared" si="7"/>
        <v>2.7286259247050627E-3</v>
      </c>
      <c r="J47" s="251">
        <f t="shared" si="9"/>
        <v>0.92802494781518474</v>
      </c>
      <c r="K47" s="355">
        <f>'014-22-CAPA'!$F$32</f>
        <v>1900956.793017834</v>
      </c>
      <c r="L47" s="362">
        <f t="shared" si="8"/>
        <v>-4.7010264825075865E-3</v>
      </c>
      <c r="M47" s="396"/>
    </row>
    <row r="48" spans="1:13" ht="38.25" x14ac:dyDescent="0.2">
      <c r="A48" s="242" t="s">
        <v>1493</v>
      </c>
      <c r="B48" s="589" t="s">
        <v>4624</v>
      </c>
      <c r="C48" s="248" t="s">
        <v>10</v>
      </c>
      <c r="D48" s="248">
        <v>4</v>
      </c>
      <c r="E48" s="248">
        <v>1093.75</v>
      </c>
      <c r="F48" s="249">
        <v>0.18559999999999999</v>
      </c>
      <c r="G48" s="250">
        <f t="shared" si="5"/>
        <v>1296.75</v>
      </c>
      <c r="H48" s="250">
        <f t="shared" si="6"/>
        <v>5187</v>
      </c>
      <c r="I48" s="251">
        <f t="shared" si="7"/>
        <v>2.7286259247050627E-3</v>
      </c>
      <c r="J48" s="251">
        <f t="shared" si="9"/>
        <v>0.93075357373988976</v>
      </c>
      <c r="K48" s="355">
        <f>'014-22-CAPA'!$F$32</f>
        <v>1900956.793017834</v>
      </c>
      <c r="L48" s="362">
        <f t="shared" si="8"/>
        <v>-4.7010264825075865E-3</v>
      </c>
      <c r="M48" s="396"/>
    </row>
    <row r="49" spans="1:13" ht="63.75" x14ac:dyDescent="0.2">
      <c r="A49" s="242">
        <v>100991</v>
      </c>
      <c r="B49" s="589" t="s">
        <v>3250</v>
      </c>
      <c r="C49" s="248" t="s">
        <v>923</v>
      </c>
      <c r="D49" s="248">
        <v>750.23099999999999</v>
      </c>
      <c r="E49" s="248">
        <v>5.65</v>
      </c>
      <c r="F49" s="249">
        <v>0.18559999999999999</v>
      </c>
      <c r="G49" s="250">
        <f t="shared" si="5"/>
        <v>6.6986400000000001</v>
      </c>
      <c r="H49" s="250">
        <f t="shared" si="6"/>
        <v>5025.5273858399996</v>
      </c>
      <c r="I49" s="251">
        <f t="shared" si="7"/>
        <v>2.6436831136144754E-3</v>
      </c>
      <c r="J49" s="251">
        <f t="shared" si="9"/>
        <v>0.93339725685350428</v>
      </c>
      <c r="K49" s="355">
        <f>'014-22-CAPA'!$F$32</f>
        <v>1900956.793017834</v>
      </c>
      <c r="L49" s="362">
        <f t="shared" si="8"/>
        <v>-4.7010264825075865E-3</v>
      </c>
      <c r="M49" s="396"/>
    </row>
    <row r="50" spans="1:13" ht="63.75" x14ac:dyDescent="0.2">
      <c r="A50" s="242">
        <v>101134</v>
      </c>
      <c r="B50" s="589" t="s">
        <v>3060</v>
      </c>
      <c r="C50" s="248" t="s">
        <v>163</v>
      </c>
      <c r="D50" s="248">
        <v>270.42</v>
      </c>
      <c r="E50" s="248">
        <v>15.4</v>
      </c>
      <c r="F50" s="249">
        <v>0.18559999999999999</v>
      </c>
      <c r="G50" s="250">
        <f t="shared" si="5"/>
        <v>18.258240000000001</v>
      </c>
      <c r="H50" s="250">
        <f t="shared" si="6"/>
        <v>4937.3932608000005</v>
      </c>
      <c r="I50" s="251">
        <f t="shared" si="7"/>
        <v>2.5973200794067756E-3</v>
      </c>
      <c r="J50" s="251">
        <f t="shared" si="9"/>
        <v>0.9359945769329111</v>
      </c>
      <c r="K50" s="355">
        <f>'014-22-CAPA'!$F$32</f>
        <v>1900956.793017834</v>
      </c>
      <c r="L50" s="362">
        <f t="shared" si="8"/>
        <v>-4.7010264825075865E-3</v>
      </c>
      <c r="M50" s="396"/>
    </row>
    <row r="51" spans="1:13" ht="38.25" x14ac:dyDescent="0.2">
      <c r="A51" s="242" t="s">
        <v>3476</v>
      </c>
      <c r="B51" s="589" t="s">
        <v>4549</v>
      </c>
      <c r="C51" s="248" t="s">
        <v>1104</v>
      </c>
      <c r="D51" s="248">
        <v>1</v>
      </c>
      <c r="E51" s="248">
        <v>4126.78</v>
      </c>
      <c r="F51" s="249">
        <v>0.18559999999999999</v>
      </c>
      <c r="G51" s="250">
        <f t="shared" si="5"/>
        <v>4892.710368</v>
      </c>
      <c r="H51" s="250">
        <f t="shared" si="6"/>
        <v>4892.710368</v>
      </c>
      <c r="I51" s="251">
        <f t="shared" si="7"/>
        <v>2.573814604240996E-3</v>
      </c>
      <c r="J51" s="251">
        <f t="shared" si="9"/>
        <v>0.9385683915371521</v>
      </c>
      <c r="K51" s="355">
        <f>'014-22-CAPA'!$F$32</f>
        <v>1900956.793017834</v>
      </c>
      <c r="L51" s="362">
        <f t="shared" si="8"/>
        <v>-4.7010264825075865E-3</v>
      </c>
      <c r="M51" s="396"/>
    </row>
    <row r="52" spans="1:13" ht="25.5" x14ac:dyDescent="0.2">
      <c r="A52" s="242" t="s">
        <v>3481</v>
      </c>
      <c r="B52" s="589" t="s">
        <v>4563</v>
      </c>
      <c r="C52" s="248" t="s">
        <v>1104</v>
      </c>
      <c r="D52" s="248">
        <v>1</v>
      </c>
      <c r="E52" s="248">
        <v>4010.66</v>
      </c>
      <c r="F52" s="249">
        <v>0.18559999999999999</v>
      </c>
      <c r="G52" s="250">
        <f t="shared" si="5"/>
        <v>4755.0384960000001</v>
      </c>
      <c r="H52" s="250">
        <f t="shared" si="6"/>
        <v>4755.0384960000001</v>
      </c>
      <c r="I52" s="251">
        <f t="shared" si="7"/>
        <v>2.5013921945548816E-3</v>
      </c>
      <c r="J52" s="251">
        <f t="shared" si="9"/>
        <v>0.94106978373170702</v>
      </c>
      <c r="K52" s="355">
        <f>'014-22-CAPA'!$F$32</f>
        <v>1900956.793017834</v>
      </c>
      <c r="L52" s="362">
        <f t="shared" si="8"/>
        <v>-4.7010264825075865E-3</v>
      </c>
      <c r="M52" s="396"/>
    </row>
    <row r="53" spans="1:13" ht="25.5" x14ac:dyDescent="0.2">
      <c r="A53" s="242" t="s">
        <v>1932</v>
      </c>
      <c r="B53" s="589" t="s">
        <v>4585</v>
      </c>
      <c r="C53" s="248" t="s">
        <v>10</v>
      </c>
      <c r="D53" s="248">
        <v>58</v>
      </c>
      <c r="E53" s="248">
        <v>68.509999999999991</v>
      </c>
      <c r="F53" s="249">
        <v>0.18559999999999999</v>
      </c>
      <c r="G53" s="250">
        <f t="shared" si="5"/>
        <v>81.225455999999994</v>
      </c>
      <c r="H53" s="250">
        <f t="shared" si="6"/>
        <v>4711.0764479999998</v>
      </c>
      <c r="I53" s="251">
        <f t="shared" si="7"/>
        <v>2.4782659204318951E-3</v>
      </c>
      <c r="J53" s="251">
        <f t="shared" si="9"/>
        <v>0.9435480496521389</v>
      </c>
      <c r="K53" s="355">
        <f>'014-22-CAPA'!$F$32</f>
        <v>1900956.793017834</v>
      </c>
      <c r="L53" s="362">
        <f t="shared" si="8"/>
        <v>-4.7010264825075865E-3</v>
      </c>
      <c r="M53" s="396"/>
    </row>
    <row r="54" spans="1:13" ht="51" x14ac:dyDescent="0.2">
      <c r="A54" s="242">
        <v>97084</v>
      </c>
      <c r="B54" s="589" t="s">
        <v>4013</v>
      </c>
      <c r="C54" s="248" t="s">
        <v>150</v>
      </c>
      <c r="D54" s="248">
        <v>5069.4400000000005</v>
      </c>
      <c r="E54" s="248">
        <v>0.75</v>
      </c>
      <c r="F54" s="249">
        <v>0.18559999999999999</v>
      </c>
      <c r="G54" s="250">
        <f t="shared" si="5"/>
        <v>0.88919999999999999</v>
      </c>
      <c r="H54" s="250">
        <f t="shared" si="6"/>
        <v>4507.746048</v>
      </c>
      <c r="I54" s="251">
        <f t="shared" si="7"/>
        <v>2.3713037841834568E-3</v>
      </c>
      <c r="J54" s="251">
        <f t="shared" si="9"/>
        <v>0.94591935343632239</v>
      </c>
      <c r="K54" s="355">
        <f>'014-22-CAPA'!$F$32</f>
        <v>1900956.793017834</v>
      </c>
      <c r="L54" s="362">
        <f t="shared" si="8"/>
        <v>-4.7010264825075865E-3</v>
      </c>
      <c r="M54" s="396"/>
    </row>
    <row r="55" spans="1:13" ht="51" x14ac:dyDescent="0.2">
      <c r="A55" s="242">
        <v>96385</v>
      </c>
      <c r="B55" s="589" t="s">
        <v>1754</v>
      </c>
      <c r="C55" s="248" t="s">
        <v>163</v>
      </c>
      <c r="D55" s="248">
        <v>326.91000000000003</v>
      </c>
      <c r="E55" s="248">
        <v>11.6</v>
      </c>
      <c r="F55" s="249">
        <v>0.18559999999999999</v>
      </c>
      <c r="G55" s="250">
        <f t="shared" si="5"/>
        <v>13.75296</v>
      </c>
      <c r="H55" s="250">
        <f t="shared" si="6"/>
        <v>4495.9801536000004</v>
      </c>
      <c r="I55" s="251">
        <f t="shared" si="7"/>
        <v>2.3651143250573376E-3</v>
      </c>
      <c r="J55" s="251">
        <f t="shared" si="9"/>
        <v>0.94828446776137976</v>
      </c>
      <c r="K55" s="355">
        <f>'014-22-CAPA'!$F$32</f>
        <v>1900956.793017834</v>
      </c>
      <c r="L55" s="362">
        <f t="shared" si="8"/>
        <v>-4.7010264825075865E-3</v>
      </c>
      <c r="M55" s="396"/>
    </row>
    <row r="56" spans="1:13" ht="38.25" x14ac:dyDescent="0.2">
      <c r="A56" s="242">
        <v>97637</v>
      </c>
      <c r="B56" s="589" t="s">
        <v>8249</v>
      </c>
      <c r="C56" s="248" t="s">
        <v>150</v>
      </c>
      <c r="D56" s="248">
        <v>1115.52</v>
      </c>
      <c r="E56" s="248">
        <v>3.07</v>
      </c>
      <c r="F56" s="249">
        <v>0.18559999999999999</v>
      </c>
      <c r="G56" s="250">
        <f t="shared" si="5"/>
        <v>3.6397919999999999</v>
      </c>
      <c r="H56" s="250">
        <f t="shared" si="6"/>
        <v>4060.26077184</v>
      </c>
      <c r="I56" s="251">
        <f t="shared" si="7"/>
        <v>2.1359037599972259E-3</v>
      </c>
      <c r="J56" s="251">
        <f t="shared" si="9"/>
        <v>0.95042037152137693</v>
      </c>
      <c r="K56" s="355">
        <f>'014-22-CAPA'!$F$32</f>
        <v>1900956.793017834</v>
      </c>
      <c r="L56" s="362">
        <f t="shared" si="8"/>
        <v>-4.7010264825075865E-3</v>
      </c>
      <c r="M56" s="396"/>
    </row>
    <row r="57" spans="1:13" ht="38.25" x14ac:dyDescent="0.2">
      <c r="A57" s="242" t="s">
        <v>3477</v>
      </c>
      <c r="B57" s="589" t="s">
        <v>4551</v>
      </c>
      <c r="C57" s="248" t="s">
        <v>1104</v>
      </c>
      <c r="D57" s="248">
        <v>1</v>
      </c>
      <c r="E57" s="248">
        <v>3380.98</v>
      </c>
      <c r="F57" s="249">
        <v>0.18559999999999999</v>
      </c>
      <c r="G57" s="250">
        <f t="shared" si="5"/>
        <v>4008.4898880000001</v>
      </c>
      <c r="H57" s="250">
        <f t="shared" si="6"/>
        <v>4008.4898880000001</v>
      </c>
      <c r="I57" s="251">
        <f t="shared" si="7"/>
        <v>2.1086696408935592E-3</v>
      </c>
      <c r="J57" s="251">
        <f t="shared" si="9"/>
        <v>0.95252904116227044</v>
      </c>
      <c r="K57" s="355">
        <f>'014-22-CAPA'!$F$32</f>
        <v>1900956.793017834</v>
      </c>
      <c r="L57" s="362">
        <f t="shared" si="8"/>
        <v>-4.7010264825075865E-3</v>
      </c>
      <c r="M57" s="396"/>
    </row>
    <row r="58" spans="1:13" ht="51" x14ac:dyDescent="0.2">
      <c r="A58" s="242">
        <v>96540</v>
      </c>
      <c r="B58" s="589" t="s">
        <v>5444</v>
      </c>
      <c r="C58" s="248" t="s">
        <v>150</v>
      </c>
      <c r="D58" s="248">
        <v>24.48</v>
      </c>
      <c r="E58" s="248">
        <v>130.54</v>
      </c>
      <c r="F58" s="249">
        <v>0.18559999999999999</v>
      </c>
      <c r="G58" s="250">
        <f t="shared" si="5"/>
        <v>154.76822399999998</v>
      </c>
      <c r="H58" s="250">
        <f t="shared" si="6"/>
        <v>3788.7261235199994</v>
      </c>
      <c r="I58" s="251">
        <f t="shared" si="7"/>
        <v>1.9930627187669143E-3</v>
      </c>
      <c r="J58" s="251">
        <f t="shared" si="9"/>
        <v>0.95452210388103731</v>
      </c>
      <c r="K58" s="355">
        <f>'014-22-CAPA'!$F$32</f>
        <v>1900956.793017834</v>
      </c>
      <c r="L58" s="362">
        <f t="shared" si="8"/>
        <v>-4.7010264825075865E-3</v>
      </c>
      <c r="M58" s="396"/>
    </row>
    <row r="59" spans="1:13" ht="51" x14ac:dyDescent="0.2">
      <c r="A59" s="242">
        <v>98525</v>
      </c>
      <c r="B59" s="589" t="s">
        <v>8312</v>
      </c>
      <c r="C59" s="248" t="s">
        <v>150</v>
      </c>
      <c r="D59" s="248">
        <v>5001.54</v>
      </c>
      <c r="E59" s="248">
        <v>0.63</v>
      </c>
      <c r="F59" s="249">
        <v>0.18559999999999999</v>
      </c>
      <c r="G59" s="250">
        <f t="shared" si="5"/>
        <v>0.74692800000000004</v>
      </c>
      <c r="H59" s="250">
        <f t="shared" si="6"/>
        <v>3735.7902691200002</v>
      </c>
      <c r="I59" s="251">
        <f t="shared" si="7"/>
        <v>1.9652157658727079E-3</v>
      </c>
      <c r="J59" s="251">
        <f t="shared" si="9"/>
        <v>0.95648731964691003</v>
      </c>
      <c r="K59" s="355">
        <f>'014-22-CAPA'!$F$32</f>
        <v>1900956.793017834</v>
      </c>
      <c r="L59" s="362">
        <f t="shared" si="8"/>
        <v>-4.7010264825075865E-3</v>
      </c>
      <c r="M59" s="396"/>
    </row>
    <row r="60" spans="1:13" ht="25.5" x14ac:dyDescent="0.2">
      <c r="A60" s="242">
        <v>6081</v>
      </c>
      <c r="B60" s="589" t="s">
        <v>8627</v>
      </c>
      <c r="C60" s="248" t="s">
        <v>1105</v>
      </c>
      <c r="D60" s="248">
        <v>56.49</v>
      </c>
      <c r="E60" s="248">
        <v>52.3</v>
      </c>
      <c r="F60" s="249">
        <v>0.18559999999999999</v>
      </c>
      <c r="G60" s="250">
        <f t="shared" si="5"/>
        <v>62.006879999999995</v>
      </c>
      <c r="H60" s="250">
        <f t="shared" si="6"/>
        <v>3502.7686512</v>
      </c>
      <c r="I60" s="251">
        <f t="shared" si="7"/>
        <v>1.8426345382511094E-3</v>
      </c>
      <c r="J60" s="251">
        <f t="shared" si="9"/>
        <v>0.95832995418516109</v>
      </c>
      <c r="K60" s="355">
        <f>'014-22-CAPA'!$F$32</f>
        <v>1900956.793017834</v>
      </c>
      <c r="L60" s="362">
        <f t="shared" si="8"/>
        <v>-4.7010264825075865E-3</v>
      </c>
      <c r="M60" s="396"/>
    </row>
    <row r="61" spans="1:13" ht="38.25" x14ac:dyDescent="0.2">
      <c r="A61" s="242" t="s">
        <v>12711</v>
      </c>
      <c r="B61" s="589" t="s">
        <v>12712</v>
      </c>
      <c r="C61" s="248" t="s">
        <v>150</v>
      </c>
      <c r="D61" s="248">
        <v>4</v>
      </c>
      <c r="E61" s="248">
        <v>735.49</v>
      </c>
      <c r="F61" s="249">
        <v>0.18559999999999999</v>
      </c>
      <c r="G61" s="250">
        <f t="shared" si="5"/>
        <v>871.99694399999998</v>
      </c>
      <c r="H61" s="250">
        <f t="shared" si="6"/>
        <v>3487.9877759999999</v>
      </c>
      <c r="I61" s="251">
        <f t="shared" si="7"/>
        <v>1.8348590458160698E-3</v>
      </c>
      <c r="J61" s="251">
        <f t="shared" si="9"/>
        <v>0.96016481323097713</v>
      </c>
      <c r="K61" s="355">
        <f>'014-22-CAPA'!$F$32</f>
        <v>1900956.793017834</v>
      </c>
      <c r="L61" s="362">
        <f t="shared" si="8"/>
        <v>-4.7010264825075865E-3</v>
      </c>
      <c r="M61" s="396"/>
    </row>
    <row r="62" spans="1:13" ht="25.5" x14ac:dyDescent="0.2">
      <c r="A62" s="242" t="s">
        <v>3488</v>
      </c>
      <c r="B62" s="589" t="s">
        <v>4573</v>
      </c>
      <c r="C62" s="248" t="s">
        <v>1104</v>
      </c>
      <c r="D62" s="248">
        <v>1</v>
      </c>
      <c r="E62" s="248">
        <v>2754.15</v>
      </c>
      <c r="F62" s="249">
        <v>0.18559999999999999</v>
      </c>
      <c r="G62" s="250">
        <f t="shared" si="5"/>
        <v>3265.32024</v>
      </c>
      <c r="H62" s="250">
        <f t="shared" si="6"/>
        <v>3265.32024</v>
      </c>
      <c r="I62" s="251">
        <f t="shared" si="7"/>
        <v>1.717724592120331E-3</v>
      </c>
      <c r="J62" s="251">
        <f t="shared" si="9"/>
        <v>0.96188253782309752</v>
      </c>
      <c r="K62" s="355">
        <f>'014-22-CAPA'!$F$32</f>
        <v>1900956.793017834</v>
      </c>
      <c r="L62" s="362">
        <f t="shared" si="8"/>
        <v>-4.7010264825075865E-3</v>
      </c>
      <c r="M62" s="396"/>
    </row>
    <row r="63" spans="1:13" ht="63.75" x14ac:dyDescent="0.2">
      <c r="A63" s="242">
        <v>99292</v>
      </c>
      <c r="B63" s="589" t="s">
        <v>5306</v>
      </c>
      <c r="C63" s="248" t="s">
        <v>107</v>
      </c>
      <c r="D63" s="248">
        <v>1</v>
      </c>
      <c r="E63" s="248">
        <v>2686.59</v>
      </c>
      <c r="F63" s="249">
        <v>0.18559999999999999</v>
      </c>
      <c r="G63" s="250">
        <f t="shared" si="5"/>
        <v>3185.2211040000002</v>
      </c>
      <c r="H63" s="250">
        <f t="shared" si="6"/>
        <v>3185.2211040000002</v>
      </c>
      <c r="I63" s="251">
        <f t="shared" si="7"/>
        <v>1.6755883709836284E-3</v>
      </c>
      <c r="J63" s="251">
        <f t="shared" si="9"/>
        <v>0.9635581261940811</v>
      </c>
      <c r="K63" s="355">
        <f>'014-22-CAPA'!$F$32</f>
        <v>1900956.793017834</v>
      </c>
      <c r="L63" s="362">
        <f t="shared" si="8"/>
        <v>-4.7010264825075865E-3</v>
      </c>
      <c r="M63" s="396"/>
    </row>
    <row r="64" spans="1:13" ht="25.5" x14ac:dyDescent="0.2">
      <c r="A64" s="242" t="s">
        <v>3483</v>
      </c>
      <c r="B64" s="589" t="s">
        <v>4566</v>
      </c>
      <c r="C64" s="248" t="s">
        <v>1104</v>
      </c>
      <c r="D64" s="248">
        <v>1</v>
      </c>
      <c r="E64" s="248">
        <v>2633.59</v>
      </c>
      <c r="F64" s="249">
        <v>0.18559999999999999</v>
      </c>
      <c r="G64" s="250">
        <f t="shared" si="5"/>
        <v>3122.3843040000002</v>
      </c>
      <c r="H64" s="250">
        <f t="shared" si="6"/>
        <v>3122.3843040000002</v>
      </c>
      <c r="I64" s="251">
        <f t="shared" si="7"/>
        <v>1.6425330169243441E-3</v>
      </c>
      <c r="J64" s="251">
        <f t="shared" si="9"/>
        <v>0.9652006592110054</v>
      </c>
      <c r="K64" s="355">
        <f>'014-22-CAPA'!$F$32</f>
        <v>1900956.793017834</v>
      </c>
      <c r="L64" s="362">
        <f t="shared" si="8"/>
        <v>-4.7010264825075865E-3</v>
      </c>
      <c r="M64" s="396"/>
    </row>
    <row r="65" spans="1:13" ht="38.25" x14ac:dyDescent="0.2">
      <c r="A65" s="242" t="s">
        <v>3486</v>
      </c>
      <c r="B65" s="589" t="s">
        <v>4570</v>
      </c>
      <c r="C65" s="248" t="s">
        <v>1104</v>
      </c>
      <c r="D65" s="248">
        <v>1</v>
      </c>
      <c r="E65" s="248">
        <v>2477.4499999999998</v>
      </c>
      <c r="F65" s="249">
        <v>0.18559999999999999</v>
      </c>
      <c r="G65" s="250">
        <f t="shared" si="5"/>
        <v>2937.2647199999997</v>
      </c>
      <c r="H65" s="250">
        <f t="shared" si="6"/>
        <v>2937.2647199999997</v>
      </c>
      <c r="I65" s="251">
        <f t="shared" si="7"/>
        <v>1.5451506964938415E-3</v>
      </c>
      <c r="J65" s="251">
        <f t="shared" si="9"/>
        <v>0.96674580990749925</v>
      </c>
      <c r="K65" s="355">
        <f>'014-22-CAPA'!$F$32</f>
        <v>1900956.793017834</v>
      </c>
      <c r="L65" s="362">
        <f t="shared" si="8"/>
        <v>-4.7010264825075865E-3</v>
      </c>
      <c r="M65" s="396"/>
    </row>
    <row r="66" spans="1:13" ht="25.5" x14ac:dyDescent="0.2">
      <c r="A66" s="242" t="s">
        <v>3478</v>
      </c>
      <c r="B66" s="589" t="s">
        <v>4554</v>
      </c>
      <c r="C66" s="248" t="s">
        <v>1104</v>
      </c>
      <c r="D66" s="248">
        <v>1</v>
      </c>
      <c r="E66" s="248">
        <v>2380.61</v>
      </c>
      <c r="F66" s="249">
        <v>0.18559999999999999</v>
      </c>
      <c r="G66" s="250">
        <f t="shared" si="5"/>
        <v>2822.4512159999999</v>
      </c>
      <c r="H66" s="250">
        <f t="shared" si="6"/>
        <v>2822.4512159999999</v>
      </c>
      <c r="I66" s="251">
        <f t="shared" si="7"/>
        <v>1.4847529514541986E-3</v>
      </c>
      <c r="J66" s="251">
        <f t="shared" si="9"/>
        <v>0.96823056285895348</v>
      </c>
      <c r="K66" s="355">
        <f>'014-22-CAPA'!$F$32</f>
        <v>1900956.793017834</v>
      </c>
      <c r="L66" s="362">
        <f t="shared" si="8"/>
        <v>-4.7010264825075865E-3</v>
      </c>
      <c r="M66" s="396"/>
    </row>
    <row r="67" spans="1:13" ht="38.25" x14ac:dyDescent="0.2">
      <c r="A67" s="242">
        <v>102992</v>
      </c>
      <c r="B67" s="589" t="s">
        <v>3996</v>
      </c>
      <c r="C67" s="248" t="s">
        <v>5</v>
      </c>
      <c r="D67" s="248">
        <v>29</v>
      </c>
      <c r="E67" s="248">
        <v>81.64</v>
      </c>
      <c r="F67" s="249">
        <v>0.18559999999999999</v>
      </c>
      <c r="G67" s="250">
        <f t="shared" si="5"/>
        <v>96.792383999999998</v>
      </c>
      <c r="H67" s="250">
        <f t="shared" si="6"/>
        <v>2806.9791359999999</v>
      </c>
      <c r="I67" s="251">
        <f t="shared" si="7"/>
        <v>1.4766138501245069E-3</v>
      </c>
      <c r="J67" s="251">
        <f t="shared" si="9"/>
        <v>0.96970717670907802</v>
      </c>
      <c r="K67" s="355">
        <f>'014-22-CAPA'!$F$32</f>
        <v>1900956.793017834</v>
      </c>
      <c r="L67" s="362">
        <f t="shared" si="8"/>
        <v>-4.7010264825075865E-3</v>
      </c>
      <c r="M67" s="396"/>
    </row>
    <row r="68" spans="1:13" ht="38.25" x14ac:dyDescent="0.2">
      <c r="A68" s="242" t="s">
        <v>3484</v>
      </c>
      <c r="B68" s="589" t="s">
        <v>4567</v>
      </c>
      <c r="C68" s="248" t="s">
        <v>1104</v>
      </c>
      <c r="D68" s="248">
        <v>1</v>
      </c>
      <c r="E68" s="248">
        <v>2323.81</v>
      </c>
      <c r="F68" s="249">
        <v>0.18559999999999999</v>
      </c>
      <c r="G68" s="250">
        <f t="shared" si="5"/>
        <v>2755.109136</v>
      </c>
      <c r="H68" s="250">
        <f t="shared" si="6"/>
        <v>2755.109136</v>
      </c>
      <c r="I68" s="251">
        <f t="shared" si="7"/>
        <v>1.4493275908774564E-3</v>
      </c>
      <c r="J68" s="251">
        <f t="shared" si="9"/>
        <v>0.97115650429995548</v>
      </c>
      <c r="K68" s="355">
        <f>'014-22-CAPA'!$F$32</f>
        <v>1900956.793017834</v>
      </c>
      <c r="L68" s="362">
        <f t="shared" si="8"/>
        <v>-4.7010264825075865E-3</v>
      </c>
      <c r="M68" s="396"/>
    </row>
    <row r="69" spans="1:13" ht="38.25" x14ac:dyDescent="0.2">
      <c r="A69" s="242" t="s">
        <v>3487</v>
      </c>
      <c r="B69" s="589" t="s">
        <v>4571</v>
      </c>
      <c r="C69" s="248" t="s">
        <v>1104</v>
      </c>
      <c r="D69" s="248">
        <v>1</v>
      </c>
      <c r="E69" s="248">
        <v>2318.46</v>
      </c>
      <c r="F69" s="249">
        <v>0.18559999999999999</v>
      </c>
      <c r="G69" s="250">
        <f t="shared" si="5"/>
        <v>2748.7661760000001</v>
      </c>
      <c r="H69" s="250">
        <f t="shared" si="6"/>
        <v>2748.7661760000001</v>
      </c>
      <c r="I69" s="251">
        <f t="shared" si="7"/>
        <v>1.4459908711752455E-3</v>
      </c>
      <c r="J69" s="251">
        <f t="shared" si="9"/>
        <v>0.97260249517113073</v>
      </c>
      <c r="K69" s="355">
        <f>'014-22-CAPA'!$F$32</f>
        <v>1900956.793017834</v>
      </c>
      <c r="L69" s="362">
        <f t="shared" si="8"/>
        <v>-4.7010264825075865E-3</v>
      </c>
      <c r="M69" s="396"/>
    </row>
    <row r="70" spans="1:13" ht="38.25" x14ac:dyDescent="0.2">
      <c r="A70" s="242">
        <v>98528</v>
      </c>
      <c r="B70" s="589" t="s">
        <v>8315</v>
      </c>
      <c r="C70" s="248" t="s">
        <v>107</v>
      </c>
      <c r="D70" s="248">
        <v>8</v>
      </c>
      <c r="E70" s="248">
        <v>286.85000000000002</v>
      </c>
      <c r="F70" s="249">
        <v>0.18559999999999999</v>
      </c>
      <c r="G70" s="250">
        <f t="shared" si="5"/>
        <v>340.08936</v>
      </c>
      <c r="H70" s="250">
        <f t="shared" si="6"/>
        <v>2720.71488</v>
      </c>
      <c r="I70" s="251">
        <f t="shared" si="7"/>
        <v>1.4312344621744406E-3</v>
      </c>
      <c r="J70" s="251">
        <f t="shared" si="9"/>
        <v>0.97403372963330515</v>
      </c>
      <c r="K70" s="355">
        <f>'014-22-CAPA'!$F$32</f>
        <v>1900956.793017834</v>
      </c>
      <c r="L70" s="362">
        <f t="shared" si="8"/>
        <v>-4.7010264825075865E-3</v>
      </c>
      <c r="M70" s="396"/>
    </row>
    <row r="71" spans="1:13" ht="38.25" x14ac:dyDescent="0.2">
      <c r="A71" s="242">
        <v>92391</v>
      </c>
      <c r="B71" s="589" t="s">
        <v>7760</v>
      </c>
      <c r="C71" s="248" t="s">
        <v>150</v>
      </c>
      <c r="D71" s="248">
        <v>27</v>
      </c>
      <c r="E71" s="248">
        <v>83.13</v>
      </c>
      <c r="F71" s="249">
        <v>0.18559999999999999</v>
      </c>
      <c r="G71" s="250">
        <f t="shared" si="5"/>
        <v>98.558927999999995</v>
      </c>
      <c r="H71" s="250">
        <f t="shared" si="6"/>
        <v>2661.0910559999998</v>
      </c>
      <c r="I71" s="251">
        <f t="shared" si="7"/>
        <v>1.3998692969736592E-3</v>
      </c>
      <c r="J71" s="251">
        <f t="shared" si="9"/>
        <v>0.97543359893027881</v>
      </c>
      <c r="K71" s="355">
        <f>'014-22-CAPA'!$F$32</f>
        <v>1900956.793017834</v>
      </c>
      <c r="L71" s="362">
        <f t="shared" si="8"/>
        <v>-4.7010264825075865E-3</v>
      </c>
      <c r="M71" s="396"/>
    </row>
    <row r="72" spans="1:13" ht="63.75" x14ac:dyDescent="0.2">
      <c r="A72" s="242">
        <v>103195</v>
      </c>
      <c r="B72" s="589" t="s">
        <v>4258</v>
      </c>
      <c r="C72" s="248" t="s">
        <v>107</v>
      </c>
      <c r="D72" s="248">
        <v>1</v>
      </c>
      <c r="E72" s="248">
        <v>2214.87</v>
      </c>
      <c r="F72" s="249">
        <v>0.18559999999999999</v>
      </c>
      <c r="G72" s="250">
        <f t="shared" si="5"/>
        <v>2625.9498719999997</v>
      </c>
      <c r="H72" s="250">
        <f t="shared" si="6"/>
        <v>2625.9498719999997</v>
      </c>
      <c r="I72" s="251">
        <f t="shared" si="7"/>
        <v>1.381383246137486E-3</v>
      </c>
      <c r="J72" s="251">
        <f t="shared" si="9"/>
        <v>0.97681498217641627</v>
      </c>
      <c r="K72" s="355">
        <f>'014-22-CAPA'!$F$32</f>
        <v>1900956.793017834</v>
      </c>
      <c r="L72" s="362">
        <f t="shared" si="8"/>
        <v>-4.7010264825075865E-3</v>
      </c>
      <c r="M72" s="396"/>
    </row>
    <row r="73" spans="1:13" ht="25.5" x14ac:dyDescent="0.2">
      <c r="A73" s="242">
        <v>96543</v>
      </c>
      <c r="B73" s="589" t="s">
        <v>5447</v>
      </c>
      <c r="C73" s="248" t="s">
        <v>106</v>
      </c>
      <c r="D73" s="248">
        <v>102</v>
      </c>
      <c r="E73" s="248">
        <v>20.76</v>
      </c>
      <c r="F73" s="249">
        <v>0.18559999999999999</v>
      </c>
      <c r="G73" s="250">
        <f t="shared" si="5"/>
        <v>24.613056</v>
      </c>
      <c r="H73" s="250">
        <f t="shared" si="6"/>
        <v>2510.531712</v>
      </c>
      <c r="I73" s="251">
        <f t="shared" si="7"/>
        <v>1.3206674212757632E-3</v>
      </c>
      <c r="J73" s="251">
        <f t="shared" si="9"/>
        <v>0.97813564959769206</v>
      </c>
      <c r="K73" s="355">
        <f>'014-22-CAPA'!$F$32</f>
        <v>1900956.793017834</v>
      </c>
      <c r="L73" s="362">
        <f t="shared" si="8"/>
        <v>-4.7010264825075865E-3</v>
      </c>
      <c r="M73" s="396"/>
    </row>
    <row r="74" spans="1:13" ht="38.25" x14ac:dyDescent="0.2">
      <c r="A74" s="242" t="s">
        <v>1495</v>
      </c>
      <c r="B74" s="589" t="s">
        <v>4278</v>
      </c>
      <c r="C74" s="248" t="s">
        <v>5</v>
      </c>
      <c r="D74" s="248">
        <v>14</v>
      </c>
      <c r="E74" s="248">
        <v>150.25</v>
      </c>
      <c r="F74" s="249">
        <v>0.18559999999999999</v>
      </c>
      <c r="G74" s="250">
        <f t="shared" si="5"/>
        <v>178.13640000000001</v>
      </c>
      <c r="H74" s="250">
        <f t="shared" si="6"/>
        <v>2493.9096</v>
      </c>
      <c r="I74" s="251">
        <f t="shared" si="7"/>
        <v>1.3119233445981939E-3</v>
      </c>
      <c r="J74" s="251">
        <f t="shared" si="9"/>
        <v>0.97944757294229023</v>
      </c>
      <c r="K74" s="355">
        <f>'014-22-CAPA'!$F$32</f>
        <v>1900956.793017834</v>
      </c>
      <c r="L74" s="362">
        <f t="shared" ref="L74:L105" si="10">K74-$F$117</f>
        <v>-4.7010264825075865E-3</v>
      </c>
      <c r="M74" s="396"/>
    </row>
    <row r="75" spans="1:13" x14ac:dyDescent="0.2">
      <c r="A75" s="242" t="s">
        <v>1505</v>
      </c>
      <c r="B75" s="589" t="s">
        <v>120</v>
      </c>
      <c r="C75" s="248" t="s">
        <v>83</v>
      </c>
      <c r="D75" s="248">
        <v>4</v>
      </c>
      <c r="E75" s="248">
        <v>514.79999999999995</v>
      </c>
      <c r="F75" s="249">
        <v>0.18559999999999999</v>
      </c>
      <c r="G75" s="250">
        <f t="shared" ref="G75:G106" si="11">E75*(1+F75)</f>
        <v>610.34687999999994</v>
      </c>
      <c r="H75" s="250">
        <f t="shared" ref="H75:H106" si="12">G75*D75</f>
        <v>2441.3875199999998</v>
      </c>
      <c r="I75" s="251">
        <f t="shared" ref="I75:I106" si="13">H75/$F$117</f>
        <v>1.2842940580920375E-3</v>
      </c>
      <c r="J75" s="251">
        <f t="shared" si="9"/>
        <v>0.98073186700038228</v>
      </c>
      <c r="K75" s="355">
        <f>'014-22-CAPA'!$F$32</f>
        <v>1900956.793017834</v>
      </c>
      <c r="L75" s="362">
        <f t="shared" si="10"/>
        <v>-4.7010264825075865E-3</v>
      </c>
      <c r="M75" s="396"/>
    </row>
    <row r="76" spans="1:13" ht="25.5" x14ac:dyDescent="0.2">
      <c r="A76" s="242" t="s">
        <v>3473</v>
      </c>
      <c r="B76" s="589" t="s">
        <v>4501</v>
      </c>
      <c r="C76" s="248" t="s">
        <v>1104</v>
      </c>
      <c r="D76" s="248">
        <v>2</v>
      </c>
      <c r="E76" s="248">
        <v>960.84</v>
      </c>
      <c r="F76" s="249">
        <v>0.18559999999999999</v>
      </c>
      <c r="G76" s="250">
        <f t="shared" si="11"/>
        <v>1139.171904</v>
      </c>
      <c r="H76" s="250">
        <f t="shared" si="12"/>
        <v>2278.3438080000001</v>
      </c>
      <c r="I76" s="251">
        <f t="shared" si="13"/>
        <v>1.1985247695970799E-3</v>
      </c>
      <c r="J76" s="251">
        <f t="shared" ref="J76:J107" si="14">I76+J75</f>
        <v>0.98193039176997932</v>
      </c>
      <c r="K76" s="355">
        <f>'014-22-CAPA'!$F$32</f>
        <v>1900956.793017834</v>
      </c>
      <c r="L76" s="362">
        <f t="shared" si="10"/>
        <v>-4.7010264825075865E-3</v>
      </c>
      <c r="M76" s="396"/>
    </row>
    <row r="77" spans="1:13" ht="25.5" x14ac:dyDescent="0.2">
      <c r="A77" s="242" t="s">
        <v>3479</v>
      </c>
      <c r="B77" s="589" t="s">
        <v>4558</v>
      </c>
      <c r="C77" s="248" t="s">
        <v>1104</v>
      </c>
      <c r="D77" s="248">
        <v>1</v>
      </c>
      <c r="E77" s="248">
        <v>1864.52</v>
      </c>
      <c r="F77" s="249">
        <v>0.18559999999999999</v>
      </c>
      <c r="G77" s="250">
        <f t="shared" si="11"/>
        <v>2210.574912</v>
      </c>
      <c r="H77" s="250">
        <f t="shared" si="12"/>
        <v>2210.574912</v>
      </c>
      <c r="I77" s="251">
        <f t="shared" si="13"/>
        <v>1.1628748820871047E-3</v>
      </c>
      <c r="J77" s="251">
        <f t="shared" si="14"/>
        <v>0.98309326665206642</v>
      </c>
      <c r="K77" s="355">
        <f>'014-22-CAPA'!$F$32</f>
        <v>1900956.793017834</v>
      </c>
      <c r="L77" s="362">
        <f t="shared" si="10"/>
        <v>-4.7010264825075865E-3</v>
      </c>
      <c r="M77" s="396"/>
    </row>
    <row r="78" spans="1:13" ht="38.25" x14ac:dyDescent="0.2">
      <c r="A78" s="242" t="s">
        <v>2146</v>
      </c>
      <c r="B78" s="589" t="s">
        <v>4623</v>
      </c>
      <c r="C78" s="248" t="s">
        <v>1105</v>
      </c>
      <c r="D78" s="248">
        <v>2.1800000000000002</v>
      </c>
      <c r="E78" s="248">
        <v>830.5</v>
      </c>
      <c r="F78" s="249">
        <v>0.18559999999999999</v>
      </c>
      <c r="G78" s="250">
        <f t="shared" si="11"/>
        <v>984.64080000000001</v>
      </c>
      <c r="H78" s="250">
        <f t="shared" si="12"/>
        <v>2146.516944</v>
      </c>
      <c r="I78" s="251">
        <f t="shared" si="13"/>
        <v>1.1291771315244043E-3</v>
      </c>
      <c r="J78" s="251">
        <f t="shared" si="14"/>
        <v>0.98422244378359081</v>
      </c>
      <c r="K78" s="355">
        <f>'014-22-CAPA'!$F$32</f>
        <v>1900956.793017834</v>
      </c>
      <c r="L78" s="362">
        <f t="shared" si="10"/>
        <v>-4.7010264825075865E-3</v>
      </c>
      <c r="M78" s="396"/>
    </row>
    <row r="79" spans="1:13" ht="25.5" x14ac:dyDescent="0.2">
      <c r="A79" s="242" t="s">
        <v>3472</v>
      </c>
      <c r="B79" s="589" t="s">
        <v>4496</v>
      </c>
      <c r="C79" s="248" t="s">
        <v>1104</v>
      </c>
      <c r="D79" s="248">
        <v>2</v>
      </c>
      <c r="E79" s="248">
        <v>1054</v>
      </c>
      <c r="F79" s="249">
        <v>0</v>
      </c>
      <c r="G79" s="250">
        <f t="shared" si="11"/>
        <v>1054</v>
      </c>
      <c r="H79" s="250">
        <f t="shared" si="12"/>
        <v>2108</v>
      </c>
      <c r="I79" s="251">
        <f t="shared" si="13"/>
        <v>1.1089152591629596E-3</v>
      </c>
      <c r="J79" s="251">
        <f t="shared" si="14"/>
        <v>0.98533135904275382</v>
      </c>
      <c r="K79" s="355">
        <f>'014-22-CAPA'!$F$32</f>
        <v>1900956.793017834</v>
      </c>
      <c r="L79" s="362">
        <f t="shared" si="10"/>
        <v>-4.7010264825075865E-3</v>
      </c>
      <c r="M79" s="396"/>
    </row>
    <row r="80" spans="1:13" ht="38.25" x14ac:dyDescent="0.2">
      <c r="A80" s="242" t="s">
        <v>3491</v>
      </c>
      <c r="B80" s="589" t="s">
        <v>4577</v>
      </c>
      <c r="C80" s="248" t="s">
        <v>10</v>
      </c>
      <c r="D80" s="248">
        <v>123</v>
      </c>
      <c r="E80" s="248">
        <v>13.95</v>
      </c>
      <c r="F80" s="249">
        <v>0.18559999999999999</v>
      </c>
      <c r="G80" s="250">
        <f t="shared" si="11"/>
        <v>16.53912</v>
      </c>
      <c r="H80" s="250">
        <f t="shared" si="12"/>
        <v>2034.31176</v>
      </c>
      <c r="I80" s="251">
        <f t="shared" si="13"/>
        <v>1.0701514955211843E-3</v>
      </c>
      <c r="J80" s="251">
        <f t="shared" si="14"/>
        <v>0.98640151053827496</v>
      </c>
      <c r="K80" s="355">
        <f>'014-22-CAPA'!$F$32</f>
        <v>1900956.793017834</v>
      </c>
      <c r="L80" s="362">
        <f t="shared" si="10"/>
        <v>-4.7010264825075865E-3</v>
      </c>
      <c r="M80" s="396"/>
    </row>
    <row r="81" spans="1:13" ht="25.5" x14ac:dyDescent="0.2">
      <c r="A81" s="242" t="s">
        <v>3470</v>
      </c>
      <c r="B81" s="589" t="s">
        <v>4492</v>
      </c>
      <c r="C81" s="248" t="s">
        <v>150</v>
      </c>
      <c r="D81" s="248">
        <v>8.9600000000000009</v>
      </c>
      <c r="E81" s="248">
        <v>176.41000000000003</v>
      </c>
      <c r="F81" s="249">
        <v>0.18559999999999999</v>
      </c>
      <c r="G81" s="250">
        <f t="shared" si="11"/>
        <v>209.15169600000002</v>
      </c>
      <c r="H81" s="250">
        <f t="shared" si="12"/>
        <v>1873.9991961600003</v>
      </c>
      <c r="I81" s="251">
        <f t="shared" si="13"/>
        <v>9.8581892992454694E-4</v>
      </c>
      <c r="J81" s="251">
        <f t="shared" si="14"/>
        <v>0.98738732946819951</v>
      </c>
      <c r="K81" s="355">
        <f>'014-22-CAPA'!$F$32</f>
        <v>1900956.793017834</v>
      </c>
      <c r="L81" s="362">
        <f t="shared" si="10"/>
        <v>-4.7010264825075865E-3</v>
      </c>
      <c r="M81" s="396"/>
    </row>
    <row r="82" spans="1:13" x14ac:dyDescent="0.2">
      <c r="A82" s="242" t="s">
        <v>3906</v>
      </c>
      <c r="B82" s="589" t="s">
        <v>3907</v>
      </c>
      <c r="C82" s="248" t="s">
        <v>1104</v>
      </c>
      <c r="D82" s="248">
        <v>56</v>
      </c>
      <c r="E82" s="248">
        <v>26.33</v>
      </c>
      <c r="F82" s="249">
        <v>0.18559999999999999</v>
      </c>
      <c r="G82" s="250">
        <f t="shared" si="11"/>
        <v>31.216847999999999</v>
      </c>
      <c r="H82" s="250">
        <f t="shared" si="12"/>
        <v>1748.1434879999999</v>
      </c>
      <c r="I82" s="251">
        <f t="shared" si="13"/>
        <v>9.1961242364779891E-4</v>
      </c>
      <c r="J82" s="251">
        <f t="shared" si="14"/>
        <v>0.98830694189184731</v>
      </c>
      <c r="K82" s="355">
        <f>'014-22-CAPA'!$F$32</f>
        <v>1900956.793017834</v>
      </c>
      <c r="L82" s="362">
        <f t="shared" si="10"/>
        <v>-4.7010264825075865E-3</v>
      </c>
      <c r="M82" s="396"/>
    </row>
    <row r="83" spans="1:13" ht="25.5" x14ac:dyDescent="0.2">
      <c r="A83" s="242">
        <v>98557</v>
      </c>
      <c r="B83" s="589" t="s">
        <v>5687</v>
      </c>
      <c r="C83" s="248" t="s">
        <v>150</v>
      </c>
      <c r="D83" s="248">
        <v>29.92</v>
      </c>
      <c r="E83" s="248">
        <v>47.43</v>
      </c>
      <c r="F83" s="249">
        <v>0.18559999999999999</v>
      </c>
      <c r="G83" s="250">
        <f t="shared" si="11"/>
        <v>56.233007999999998</v>
      </c>
      <c r="H83" s="250">
        <f t="shared" si="12"/>
        <v>1682.49159936</v>
      </c>
      <c r="I83" s="251">
        <f t="shared" si="13"/>
        <v>8.8507618972665891E-4</v>
      </c>
      <c r="J83" s="251">
        <f t="shared" si="14"/>
        <v>0.98919201808157398</v>
      </c>
      <c r="K83" s="355">
        <f>'014-22-CAPA'!$F$32</f>
        <v>1900956.793017834</v>
      </c>
      <c r="L83" s="362">
        <f t="shared" si="10"/>
        <v>-4.7010264825075865E-3</v>
      </c>
      <c r="M83" s="396"/>
    </row>
    <row r="84" spans="1:13" ht="38.25" x14ac:dyDescent="0.2">
      <c r="A84" s="242">
        <v>90438</v>
      </c>
      <c r="B84" s="589" t="s">
        <v>7483</v>
      </c>
      <c r="C84" s="248" t="s">
        <v>107</v>
      </c>
      <c r="D84" s="248">
        <v>22</v>
      </c>
      <c r="E84" s="248">
        <v>62.87</v>
      </c>
      <c r="F84" s="249">
        <v>0.18559999999999999</v>
      </c>
      <c r="G84" s="250">
        <f t="shared" si="11"/>
        <v>74.538671999999991</v>
      </c>
      <c r="H84" s="250">
        <f t="shared" si="12"/>
        <v>1639.8507839999997</v>
      </c>
      <c r="I84" s="251">
        <f t="shared" si="13"/>
        <v>8.6264495119921366E-4</v>
      </c>
      <c r="J84" s="251">
        <f t="shared" si="14"/>
        <v>0.99005466303277323</v>
      </c>
      <c r="K84" s="355">
        <f>'014-22-CAPA'!$F$32</f>
        <v>1900956.793017834</v>
      </c>
      <c r="L84" s="362">
        <f t="shared" si="10"/>
        <v>-4.7010264825075865E-3</v>
      </c>
      <c r="M84" s="396"/>
    </row>
    <row r="85" spans="1:13" x14ac:dyDescent="0.2">
      <c r="A85" s="242" t="s">
        <v>3493</v>
      </c>
      <c r="B85" s="589" t="s">
        <v>4578</v>
      </c>
      <c r="C85" s="248" t="s">
        <v>163</v>
      </c>
      <c r="D85" s="248">
        <v>232</v>
      </c>
      <c r="E85" s="248">
        <v>5.83</v>
      </c>
      <c r="F85" s="249">
        <v>0.18559999999999999</v>
      </c>
      <c r="G85" s="250">
        <f t="shared" si="11"/>
        <v>6.9120480000000004</v>
      </c>
      <c r="H85" s="250">
        <f t="shared" si="12"/>
        <v>1603.5951360000001</v>
      </c>
      <c r="I85" s="251">
        <f t="shared" si="13"/>
        <v>8.4357263559293246E-4</v>
      </c>
      <c r="J85" s="251">
        <f t="shared" si="14"/>
        <v>0.99089823566836621</v>
      </c>
      <c r="K85" s="355">
        <f>'014-22-CAPA'!$F$32</f>
        <v>1900956.793017834</v>
      </c>
      <c r="L85" s="362">
        <f t="shared" si="10"/>
        <v>-4.7010264825075865E-3</v>
      </c>
      <c r="M85" s="396"/>
    </row>
    <row r="86" spans="1:13" ht="38.25" x14ac:dyDescent="0.2">
      <c r="A86" s="242">
        <v>93382</v>
      </c>
      <c r="B86" s="589" t="s">
        <v>7703</v>
      </c>
      <c r="C86" s="248" t="s">
        <v>163</v>
      </c>
      <c r="D86" s="248">
        <v>43.29</v>
      </c>
      <c r="E86" s="248">
        <v>26.75</v>
      </c>
      <c r="F86" s="249">
        <v>0.18559999999999999</v>
      </c>
      <c r="G86" s="250">
        <f t="shared" si="11"/>
        <v>31.7148</v>
      </c>
      <c r="H86" s="250">
        <f t="shared" si="12"/>
        <v>1372.9336920000001</v>
      </c>
      <c r="I86" s="251">
        <f t="shared" si="13"/>
        <v>7.2223297954351949E-4</v>
      </c>
      <c r="J86" s="251">
        <f t="shared" si="14"/>
        <v>0.99162046864790976</v>
      </c>
      <c r="K86" s="355">
        <f>'014-22-CAPA'!$F$32</f>
        <v>1900956.793017834</v>
      </c>
      <c r="L86" s="362">
        <f t="shared" si="10"/>
        <v>-4.7010264825075865E-3</v>
      </c>
      <c r="M86" s="396"/>
    </row>
    <row r="87" spans="1:13" ht="25.5" x14ac:dyDescent="0.2">
      <c r="A87" s="242" t="s">
        <v>12720</v>
      </c>
      <c r="B87" s="589" t="s">
        <v>12721</v>
      </c>
      <c r="C87" s="248" t="s">
        <v>107</v>
      </c>
      <c r="D87" s="248">
        <v>126</v>
      </c>
      <c r="E87" s="248">
        <v>8.1</v>
      </c>
      <c r="F87" s="249">
        <v>0.18559999999999999</v>
      </c>
      <c r="G87" s="250">
        <f t="shared" si="11"/>
        <v>9.6033600000000003</v>
      </c>
      <c r="H87" s="250">
        <f t="shared" si="12"/>
        <v>1210.0233600000001</v>
      </c>
      <c r="I87" s="251">
        <f t="shared" si="13"/>
        <v>6.3653385571519705E-4</v>
      </c>
      <c r="J87" s="251">
        <f t="shared" si="14"/>
        <v>0.99225700250362492</v>
      </c>
      <c r="K87" s="355">
        <f>'014-22-CAPA'!$F$32</f>
        <v>1900956.793017834</v>
      </c>
      <c r="L87" s="362">
        <f t="shared" si="10"/>
        <v>-4.7010264825075865E-3</v>
      </c>
      <c r="M87" s="396"/>
    </row>
    <row r="88" spans="1:13" ht="38.25" x14ac:dyDescent="0.2">
      <c r="A88" s="242">
        <v>97087</v>
      </c>
      <c r="B88" s="589" t="s">
        <v>4015</v>
      </c>
      <c r="C88" s="248" t="s">
        <v>150</v>
      </c>
      <c r="D88" s="248">
        <v>340.27</v>
      </c>
      <c r="E88" s="248">
        <v>2.68</v>
      </c>
      <c r="F88" s="249">
        <v>0.18559999999999999</v>
      </c>
      <c r="G88" s="250">
        <f t="shared" si="11"/>
        <v>3.1774080000000002</v>
      </c>
      <c r="H88" s="250">
        <f t="shared" si="12"/>
        <v>1081.1766201600001</v>
      </c>
      <c r="I88" s="251">
        <f t="shared" si="13"/>
        <v>5.687539145852274E-4</v>
      </c>
      <c r="J88" s="251">
        <f t="shared" si="14"/>
        <v>0.99282575641821014</v>
      </c>
      <c r="K88" s="355">
        <f>'014-22-CAPA'!$F$32</f>
        <v>1900956.793017834</v>
      </c>
      <c r="L88" s="362">
        <f t="shared" si="10"/>
        <v>-4.7010264825075865E-3</v>
      </c>
      <c r="M88" s="396"/>
    </row>
    <row r="89" spans="1:13" ht="38.25" x14ac:dyDescent="0.2">
      <c r="A89" s="242">
        <v>98527</v>
      </c>
      <c r="B89" s="589" t="s">
        <v>8314</v>
      </c>
      <c r="C89" s="248" t="s">
        <v>107</v>
      </c>
      <c r="D89" s="248">
        <v>4</v>
      </c>
      <c r="E89" s="248">
        <v>217.64</v>
      </c>
      <c r="F89" s="249">
        <v>0.18559999999999999</v>
      </c>
      <c r="G89" s="250">
        <f t="shared" si="11"/>
        <v>258.03398399999998</v>
      </c>
      <c r="H89" s="250">
        <f t="shared" si="12"/>
        <v>1032.1359359999999</v>
      </c>
      <c r="I89" s="251">
        <f t="shared" si="13"/>
        <v>5.4295601943114033E-4</v>
      </c>
      <c r="J89" s="251">
        <f t="shared" si="14"/>
        <v>0.99336871243764124</v>
      </c>
      <c r="K89" s="355">
        <f>'014-22-CAPA'!$F$32</f>
        <v>1900956.793017834</v>
      </c>
      <c r="L89" s="362">
        <f t="shared" si="10"/>
        <v>-4.7010264825075865E-3</v>
      </c>
      <c r="M89" s="396"/>
    </row>
    <row r="90" spans="1:13" ht="25.5" x14ac:dyDescent="0.2">
      <c r="A90" s="242" t="s">
        <v>3489</v>
      </c>
      <c r="B90" s="589" t="s">
        <v>4544</v>
      </c>
      <c r="C90" s="248" t="s">
        <v>10</v>
      </c>
      <c r="D90" s="248">
        <v>76</v>
      </c>
      <c r="E90" s="248">
        <v>10.45</v>
      </c>
      <c r="F90" s="249">
        <v>0.18559999999999999</v>
      </c>
      <c r="G90" s="250">
        <f t="shared" si="11"/>
        <v>12.389519999999999</v>
      </c>
      <c r="H90" s="250">
        <f t="shared" si="12"/>
        <v>941.60351999999989</v>
      </c>
      <c r="I90" s="251">
        <f t="shared" si="13"/>
        <v>4.9533136214874524E-4</v>
      </c>
      <c r="J90" s="251">
        <f t="shared" si="14"/>
        <v>0.99386404379978999</v>
      </c>
      <c r="K90" s="355">
        <f>'014-22-CAPA'!$F$32</f>
        <v>1900956.793017834</v>
      </c>
      <c r="L90" s="362">
        <f t="shared" si="10"/>
        <v>-4.7010264825075865E-3</v>
      </c>
      <c r="M90" s="396"/>
    </row>
    <row r="91" spans="1:13" ht="38.25" x14ac:dyDescent="0.2">
      <c r="A91" s="242" t="s">
        <v>3537</v>
      </c>
      <c r="B91" s="589" t="s">
        <v>4609</v>
      </c>
      <c r="C91" s="248" t="s">
        <v>163</v>
      </c>
      <c r="D91" s="248">
        <v>5.52</v>
      </c>
      <c r="E91" s="248">
        <v>141.74</v>
      </c>
      <c r="F91" s="249">
        <v>0.18559999999999999</v>
      </c>
      <c r="G91" s="250">
        <f t="shared" si="11"/>
        <v>168.046944</v>
      </c>
      <c r="H91" s="250">
        <f t="shared" si="12"/>
        <v>927.61913087999994</v>
      </c>
      <c r="I91" s="251">
        <f t="shared" si="13"/>
        <v>4.8797486191855526E-4</v>
      </c>
      <c r="J91" s="251">
        <f t="shared" si="14"/>
        <v>0.99435201866170853</v>
      </c>
      <c r="K91" s="355">
        <f>'014-22-CAPA'!$F$32</f>
        <v>1900956.793017834</v>
      </c>
      <c r="L91" s="362">
        <f t="shared" si="10"/>
        <v>-4.7010264825075865E-3</v>
      </c>
      <c r="M91" s="396"/>
    </row>
    <row r="92" spans="1:13" ht="38.25" x14ac:dyDescent="0.2">
      <c r="A92" s="242">
        <v>96523</v>
      </c>
      <c r="B92" s="589" t="s">
        <v>7602</v>
      </c>
      <c r="C92" s="248" t="s">
        <v>163</v>
      </c>
      <c r="D92" s="248">
        <v>7.5</v>
      </c>
      <c r="E92" s="248">
        <v>103.18</v>
      </c>
      <c r="F92" s="249">
        <v>0.18559999999999999</v>
      </c>
      <c r="G92" s="250">
        <f t="shared" si="11"/>
        <v>122.33020800000001</v>
      </c>
      <c r="H92" s="250">
        <f t="shared" si="12"/>
        <v>917.47656000000006</v>
      </c>
      <c r="I92" s="251">
        <f t="shared" si="13"/>
        <v>4.8263935356183149E-4</v>
      </c>
      <c r="J92" s="251">
        <f t="shared" si="14"/>
        <v>0.99483465801527038</v>
      </c>
      <c r="K92" s="355">
        <f>'014-22-CAPA'!$F$32</f>
        <v>1900956.793017834</v>
      </c>
      <c r="L92" s="362">
        <f t="shared" si="10"/>
        <v>-4.7010264825075865E-3</v>
      </c>
      <c r="M92" s="396"/>
    </row>
    <row r="93" spans="1:13" ht="38.25" x14ac:dyDescent="0.2">
      <c r="A93" s="242">
        <v>98114</v>
      </c>
      <c r="B93" s="589" t="s">
        <v>3020</v>
      </c>
      <c r="C93" s="248" t="s">
        <v>107</v>
      </c>
      <c r="D93" s="248">
        <v>1</v>
      </c>
      <c r="E93" s="248">
        <v>754.74</v>
      </c>
      <c r="F93" s="249">
        <v>0.18559999999999999</v>
      </c>
      <c r="G93" s="250">
        <f t="shared" si="11"/>
        <v>894.81974400000001</v>
      </c>
      <c r="H93" s="250">
        <f t="shared" si="12"/>
        <v>894.81974400000001</v>
      </c>
      <c r="I93" s="251">
        <f t="shared" si="13"/>
        <v>4.7072071552271973E-4</v>
      </c>
      <c r="J93" s="251">
        <f t="shared" si="14"/>
        <v>0.99530537873079306</v>
      </c>
      <c r="K93" s="355">
        <f>'014-22-CAPA'!$F$32</f>
        <v>1900956.793017834</v>
      </c>
      <c r="L93" s="362">
        <f t="shared" si="10"/>
        <v>-4.7010264825075865E-3</v>
      </c>
      <c r="M93" s="396"/>
    </row>
    <row r="94" spans="1:13" ht="38.25" x14ac:dyDescent="0.2">
      <c r="A94" s="242">
        <v>101616</v>
      </c>
      <c r="B94" s="589" t="s">
        <v>3084</v>
      </c>
      <c r="C94" s="248" t="s">
        <v>150</v>
      </c>
      <c r="D94" s="248">
        <v>100.75999999999999</v>
      </c>
      <c r="E94" s="248">
        <v>6.96</v>
      </c>
      <c r="F94" s="249">
        <v>0.18559999999999999</v>
      </c>
      <c r="G94" s="250">
        <f t="shared" si="11"/>
        <v>8.2517759999999996</v>
      </c>
      <c r="H94" s="250">
        <f t="shared" si="12"/>
        <v>831.44894975999989</v>
      </c>
      <c r="I94" s="251">
        <f t="shared" si="13"/>
        <v>4.3738445332252413E-4</v>
      </c>
      <c r="J94" s="251">
        <f t="shared" si="14"/>
        <v>0.99574276318411559</v>
      </c>
      <c r="K94" s="355">
        <f>'014-22-CAPA'!$F$32</f>
        <v>1900956.793017834</v>
      </c>
      <c r="L94" s="362">
        <f t="shared" si="10"/>
        <v>-4.7010264825075865E-3</v>
      </c>
      <c r="M94" s="396"/>
    </row>
    <row r="95" spans="1:13" ht="38.25" x14ac:dyDescent="0.2">
      <c r="A95" s="242">
        <v>97627</v>
      </c>
      <c r="B95" s="589" t="s">
        <v>8240</v>
      </c>
      <c r="C95" s="248" t="s">
        <v>163</v>
      </c>
      <c r="D95" s="248">
        <v>3.46</v>
      </c>
      <c r="E95" s="248">
        <v>195.64</v>
      </c>
      <c r="F95" s="249">
        <v>0.18559999999999999</v>
      </c>
      <c r="G95" s="250">
        <f t="shared" si="11"/>
        <v>231.95078399999997</v>
      </c>
      <c r="H95" s="250">
        <f t="shared" si="12"/>
        <v>802.54971263999994</v>
      </c>
      <c r="I95" s="251">
        <f t="shared" si="13"/>
        <v>4.2218198414769654E-4</v>
      </c>
      <c r="J95" s="251">
        <f t="shared" si="14"/>
        <v>0.99616494516826326</v>
      </c>
      <c r="K95" s="355">
        <f>'014-22-CAPA'!$F$32</f>
        <v>1900956.793017834</v>
      </c>
      <c r="L95" s="362">
        <f t="shared" si="10"/>
        <v>-4.7010264825075865E-3</v>
      </c>
      <c r="M95" s="396"/>
    </row>
    <row r="96" spans="1:13" ht="38.25" x14ac:dyDescent="0.2">
      <c r="A96" s="242">
        <v>97629</v>
      </c>
      <c r="B96" s="589" t="s">
        <v>8242</v>
      </c>
      <c r="C96" s="248" t="s">
        <v>163</v>
      </c>
      <c r="D96" s="248">
        <v>6.96</v>
      </c>
      <c r="E96" s="248">
        <v>91.11</v>
      </c>
      <c r="F96" s="249">
        <v>0.18559999999999999</v>
      </c>
      <c r="G96" s="250">
        <f t="shared" si="11"/>
        <v>108.020016</v>
      </c>
      <c r="H96" s="250">
        <f t="shared" si="12"/>
        <v>751.81931136000003</v>
      </c>
      <c r="I96" s="251">
        <f t="shared" si="13"/>
        <v>3.9549521181237774E-4</v>
      </c>
      <c r="J96" s="251">
        <f t="shared" si="14"/>
        <v>0.99656044038007563</v>
      </c>
      <c r="K96" s="355">
        <f>'014-22-CAPA'!$F$32</f>
        <v>1900956.793017834</v>
      </c>
      <c r="L96" s="362">
        <f t="shared" si="10"/>
        <v>-4.7010264825075865E-3</v>
      </c>
      <c r="M96" s="396"/>
    </row>
    <row r="97" spans="1:13" ht="38.25" x14ac:dyDescent="0.2">
      <c r="A97" s="242" t="s">
        <v>4615</v>
      </c>
      <c r="B97" s="589" t="s">
        <v>3463</v>
      </c>
      <c r="C97" s="248" t="s">
        <v>150</v>
      </c>
      <c r="D97" s="248">
        <v>36</v>
      </c>
      <c r="E97" s="248">
        <v>15.54</v>
      </c>
      <c r="F97" s="249">
        <v>0.18559999999999999</v>
      </c>
      <c r="G97" s="250">
        <f t="shared" si="11"/>
        <v>18.424223999999999</v>
      </c>
      <c r="H97" s="250">
        <f t="shared" si="12"/>
        <v>663.272064</v>
      </c>
      <c r="I97" s="251">
        <f t="shared" si="13"/>
        <v>3.4891485424388573E-4</v>
      </c>
      <c r="J97" s="251">
        <f t="shared" si="14"/>
        <v>0.99690935523431956</v>
      </c>
      <c r="K97" s="355">
        <f>'014-22-CAPA'!$F$32</f>
        <v>1900956.793017834</v>
      </c>
      <c r="L97" s="362">
        <f t="shared" si="10"/>
        <v>-4.7010264825075865E-3</v>
      </c>
      <c r="M97" s="396"/>
    </row>
    <row r="98" spans="1:13" ht="38.25" x14ac:dyDescent="0.2">
      <c r="A98" s="242">
        <v>98526</v>
      </c>
      <c r="B98" s="589" t="s">
        <v>8313</v>
      </c>
      <c r="C98" s="248" t="s">
        <v>107</v>
      </c>
      <c r="D98" s="248">
        <v>4</v>
      </c>
      <c r="E98" s="248">
        <v>131.13999999999999</v>
      </c>
      <c r="F98" s="249">
        <v>0.18559999999999999</v>
      </c>
      <c r="G98" s="250">
        <f t="shared" si="11"/>
        <v>155.47958399999999</v>
      </c>
      <c r="H98" s="250">
        <f t="shared" si="12"/>
        <v>621.91833599999995</v>
      </c>
      <c r="I98" s="251">
        <f t="shared" si="13"/>
        <v>3.2716068915732285E-4</v>
      </c>
      <c r="J98" s="251">
        <f t="shared" si="14"/>
        <v>0.99723651592347684</v>
      </c>
      <c r="K98" s="355">
        <f>'014-22-CAPA'!$F$32</f>
        <v>1900956.793017834</v>
      </c>
      <c r="L98" s="362">
        <f t="shared" si="10"/>
        <v>-4.7010264825075865E-3</v>
      </c>
      <c r="M98" s="396"/>
    </row>
    <row r="99" spans="1:13" ht="38.25" x14ac:dyDescent="0.2">
      <c r="A99" s="242">
        <v>91192</v>
      </c>
      <c r="B99" s="589" t="s">
        <v>7530</v>
      </c>
      <c r="C99" s="248" t="s">
        <v>107</v>
      </c>
      <c r="D99" s="248">
        <v>22</v>
      </c>
      <c r="E99" s="248">
        <v>23.75</v>
      </c>
      <c r="F99" s="249">
        <v>0.18559999999999999</v>
      </c>
      <c r="G99" s="250">
        <f t="shared" si="11"/>
        <v>28.158000000000001</v>
      </c>
      <c r="H99" s="250">
        <f t="shared" si="12"/>
        <v>619.476</v>
      </c>
      <c r="I99" s="251">
        <f t="shared" si="13"/>
        <v>3.2587589615049034E-4</v>
      </c>
      <c r="J99" s="251">
        <f t="shared" si="14"/>
        <v>0.99756239181962736</v>
      </c>
      <c r="K99" s="355">
        <f>'014-22-CAPA'!$F$32</f>
        <v>1900956.793017834</v>
      </c>
      <c r="L99" s="362">
        <f t="shared" si="10"/>
        <v>-4.7010264825075865E-3</v>
      </c>
      <c r="M99" s="396"/>
    </row>
    <row r="100" spans="1:13" ht="25.5" x14ac:dyDescent="0.2">
      <c r="A100" s="242" t="s">
        <v>4612</v>
      </c>
      <c r="B100" s="589" t="s">
        <v>4614</v>
      </c>
      <c r="C100" s="248" t="s">
        <v>5</v>
      </c>
      <c r="D100" s="248">
        <v>60</v>
      </c>
      <c r="E100" s="248">
        <v>8.4700000000000006</v>
      </c>
      <c r="F100" s="249">
        <v>0.18559999999999999</v>
      </c>
      <c r="G100" s="250">
        <f t="shared" si="11"/>
        <v>10.042032000000001</v>
      </c>
      <c r="H100" s="250">
        <f t="shared" si="12"/>
        <v>602.52192000000002</v>
      </c>
      <c r="I100" s="251">
        <f t="shared" si="13"/>
        <v>3.1695718741374005E-4</v>
      </c>
      <c r="J100" s="251">
        <f t="shared" si="14"/>
        <v>0.99787934900704112</v>
      </c>
      <c r="K100" s="355">
        <f>'014-22-CAPA'!$F$32</f>
        <v>1900956.793017834</v>
      </c>
      <c r="L100" s="362">
        <f t="shared" si="10"/>
        <v>-4.7010264825075865E-3</v>
      </c>
      <c r="M100" s="396"/>
    </row>
    <row r="101" spans="1:13" ht="25.5" x14ac:dyDescent="0.2">
      <c r="A101" s="242">
        <v>100574</v>
      </c>
      <c r="B101" s="589" t="s">
        <v>1775</v>
      </c>
      <c r="C101" s="248" t="s">
        <v>163</v>
      </c>
      <c r="D101" s="248">
        <v>326.91000000000003</v>
      </c>
      <c r="E101" s="248">
        <v>1.45</v>
      </c>
      <c r="F101" s="249">
        <v>0.18559999999999999</v>
      </c>
      <c r="G101" s="250">
        <f t="shared" si="11"/>
        <v>1.71912</v>
      </c>
      <c r="H101" s="250">
        <f t="shared" si="12"/>
        <v>561.99751920000006</v>
      </c>
      <c r="I101" s="251">
        <f t="shared" si="13"/>
        <v>2.956392906321672E-4</v>
      </c>
      <c r="J101" s="251">
        <f t="shared" si="14"/>
        <v>0.99817498829767326</v>
      </c>
      <c r="K101" s="355">
        <f>'014-22-CAPA'!$F$32</f>
        <v>1900956.793017834</v>
      </c>
      <c r="L101" s="362">
        <f t="shared" si="10"/>
        <v>-4.7010264825075865E-3</v>
      </c>
      <c r="M101" s="396"/>
    </row>
    <row r="102" spans="1:13" ht="38.25" x14ac:dyDescent="0.2">
      <c r="A102" s="242" t="s">
        <v>1494</v>
      </c>
      <c r="B102" s="589" t="s">
        <v>3908</v>
      </c>
      <c r="C102" s="248" t="s">
        <v>10</v>
      </c>
      <c r="D102" s="248">
        <v>1</v>
      </c>
      <c r="E102" s="248">
        <v>369.61</v>
      </c>
      <c r="F102" s="249">
        <v>0.18559999999999999</v>
      </c>
      <c r="G102" s="250">
        <f t="shared" si="11"/>
        <v>438.20961600000004</v>
      </c>
      <c r="H102" s="250">
        <f t="shared" si="12"/>
        <v>438.20961600000004</v>
      </c>
      <c r="I102" s="251">
        <f t="shared" si="13"/>
        <v>2.3052055497834018E-4</v>
      </c>
      <c r="J102" s="251">
        <f t="shared" si="14"/>
        <v>0.99840550885265156</v>
      </c>
      <c r="K102" s="355">
        <f>'014-22-CAPA'!$F$32</f>
        <v>1900956.793017834</v>
      </c>
      <c r="L102" s="362">
        <f t="shared" si="10"/>
        <v>-4.7010264825075865E-3</v>
      </c>
      <c r="M102" s="396"/>
    </row>
    <row r="103" spans="1:13" ht="25.5" x14ac:dyDescent="0.2">
      <c r="A103" s="242">
        <v>98510</v>
      </c>
      <c r="B103" s="589" t="s">
        <v>1470</v>
      </c>
      <c r="C103" s="248" t="s">
        <v>107</v>
      </c>
      <c r="D103" s="248">
        <v>4</v>
      </c>
      <c r="E103" s="248">
        <v>80.5</v>
      </c>
      <c r="F103" s="249">
        <v>0.18559999999999999</v>
      </c>
      <c r="G103" s="250">
        <f t="shared" si="11"/>
        <v>95.440799999999996</v>
      </c>
      <c r="H103" s="250">
        <f t="shared" si="12"/>
        <v>381.76319999999998</v>
      </c>
      <c r="I103" s="251">
        <f t="shared" si="13"/>
        <v>2.008268680582926E-4</v>
      </c>
      <c r="J103" s="251">
        <f t="shared" si="14"/>
        <v>0.99860633572070989</v>
      </c>
      <c r="K103" s="355">
        <f>'014-22-CAPA'!$F$32</f>
        <v>1900956.793017834</v>
      </c>
      <c r="L103" s="362">
        <f t="shared" si="10"/>
        <v>-4.7010264825075865E-3</v>
      </c>
      <c r="M103" s="396"/>
    </row>
    <row r="104" spans="1:13" ht="38.25" x14ac:dyDescent="0.2">
      <c r="A104" s="242">
        <v>102513</v>
      </c>
      <c r="B104" s="589" t="s">
        <v>3663</v>
      </c>
      <c r="C104" s="248" t="s">
        <v>150</v>
      </c>
      <c r="D104" s="248">
        <v>5.76</v>
      </c>
      <c r="E104" s="248">
        <v>52.07</v>
      </c>
      <c r="F104" s="249">
        <v>0.18559999999999999</v>
      </c>
      <c r="G104" s="250">
        <f t="shared" si="11"/>
        <v>61.734192</v>
      </c>
      <c r="H104" s="250">
        <f t="shared" si="12"/>
        <v>355.58894592000001</v>
      </c>
      <c r="I104" s="251">
        <f t="shared" si="13"/>
        <v>1.8705787861497176E-4</v>
      </c>
      <c r="J104" s="251">
        <f t="shared" si="14"/>
        <v>0.99879339359932484</v>
      </c>
      <c r="K104" s="355">
        <f>'014-22-CAPA'!$F$32</f>
        <v>1900956.793017834</v>
      </c>
      <c r="L104" s="362">
        <f t="shared" si="10"/>
        <v>-4.7010264825075865E-3</v>
      </c>
      <c r="M104" s="396"/>
    </row>
    <row r="105" spans="1:13" ht="25.5" x14ac:dyDescent="0.2">
      <c r="A105" s="242" t="s">
        <v>1496</v>
      </c>
      <c r="B105" s="589" t="s">
        <v>4277</v>
      </c>
      <c r="C105" s="248" t="s">
        <v>150</v>
      </c>
      <c r="D105" s="248">
        <v>0.9896016858807849</v>
      </c>
      <c r="E105" s="248">
        <v>285.82</v>
      </c>
      <c r="F105" s="249">
        <v>0.18559999999999999</v>
      </c>
      <c r="G105" s="250">
        <f t="shared" si="11"/>
        <v>338.86819199999996</v>
      </c>
      <c r="H105" s="250">
        <f t="shared" si="12"/>
        <v>335.34453409457348</v>
      </c>
      <c r="I105" s="251">
        <f t="shared" si="13"/>
        <v>1.7640828791952841E-4</v>
      </c>
      <c r="J105" s="251">
        <f t="shared" si="14"/>
        <v>0.99896980188724438</v>
      </c>
      <c r="K105" s="355">
        <f>'014-22-CAPA'!$F$32</f>
        <v>1900956.793017834</v>
      </c>
      <c r="L105" s="362">
        <f t="shared" si="10"/>
        <v>-4.7010264825075865E-3</v>
      </c>
      <c r="M105" s="396"/>
    </row>
    <row r="106" spans="1:13" x14ac:dyDescent="0.2">
      <c r="A106" s="242" t="s">
        <v>1947</v>
      </c>
      <c r="B106" s="589" t="s">
        <v>191</v>
      </c>
      <c r="C106" s="248" t="s">
        <v>107</v>
      </c>
      <c r="D106" s="248">
        <v>30</v>
      </c>
      <c r="E106" s="248">
        <v>8.75</v>
      </c>
      <c r="F106" s="249">
        <v>0.18559999999999999</v>
      </c>
      <c r="G106" s="250">
        <f t="shared" si="11"/>
        <v>10.374000000000001</v>
      </c>
      <c r="H106" s="250">
        <f t="shared" si="12"/>
        <v>311.22000000000003</v>
      </c>
      <c r="I106" s="251">
        <f t="shared" si="13"/>
        <v>1.6371755548230375E-4</v>
      </c>
      <c r="J106" s="251">
        <f t="shared" si="14"/>
        <v>0.99913351944272666</v>
      </c>
      <c r="K106" s="355">
        <f>'014-22-CAPA'!$F$32</f>
        <v>1900956.793017834</v>
      </c>
      <c r="L106" s="362">
        <f t="shared" ref="L106:L115" si="15">K106-$F$117</f>
        <v>-4.7010264825075865E-3</v>
      </c>
      <c r="M106" s="396"/>
    </row>
    <row r="107" spans="1:13" ht="25.5" x14ac:dyDescent="0.2">
      <c r="A107" s="242">
        <v>96616</v>
      </c>
      <c r="B107" s="589" t="s">
        <v>5422</v>
      </c>
      <c r="C107" s="248" t="s">
        <v>163</v>
      </c>
      <c r="D107" s="248">
        <v>0.27</v>
      </c>
      <c r="E107" s="248">
        <v>950.51</v>
      </c>
      <c r="F107" s="249">
        <v>0.18559999999999999</v>
      </c>
      <c r="G107" s="250">
        <f t="shared" ref="G107:G138" si="16">E107*(1+F107)</f>
        <v>1126.9246559999999</v>
      </c>
      <c r="H107" s="250">
        <f t="shared" ref="H107:H138" si="17">G107*D107</f>
        <v>304.26965711999998</v>
      </c>
      <c r="I107" s="251">
        <f t="shared" ref="I107:I138" si="18">H107/$F$117</f>
        <v>1.6006132148038409E-4</v>
      </c>
      <c r="J107" s="251">
        <f t="shared" si="14"/>
        <v>0.99929358076420705</v>
      </c>
      <c r="K107" s="355">
        <f>'014-22-CAPA'!$F$32</f>
        <v>1900956.793017834</v>
      </c>
      <c r="L107" s="362">
        <f t="shared" si="15"/>
        <v>-4.7010264825075865E-3</v>
      </c>
      <c r="M107" s="396"/>
    </row>
    <row r="108" spans="1:13" x14ac:dyDescent="0.2">
      <c r="A108" s="242" t="s">
        <v>114</v>
      </c>
      <c r="B108" s="589" t="s">
        <v>115</v>
      </c>
      <c r="C108" s="248" t="s">
        <v>10</v>
      </c>
      <c r="D108" s="248">
        <v>1</v>
      </c>
      <c r="E108" s="248">
        <v>254.59</v>
      </c>
      <c r="F108" s="249">
        <v>0.18559999999999999</v>
      </c>
      <c r="G108" s="250">
        <f t="shared" si="16"/>
        <v>301.841904</v>
      </c>
      <c r="H108" s="250">
        <f t="shared" si="17"/>
        <v>301.841904</v>
      </c>
      <c r="I108" s="251">
        <f t="shared" si="18"/>
        <v>1.58784199810437E-4</v>
      </c>
      <c r="J108" s="251">
        <f t="shared" ref="J108:J139" si="19">I108+J107</f>
        <v>0.99945236496401746</v>
      </c>
      <c r="K108" s="355">
        <f>'014-22-CAPA'!$F$32</f>
        <v>1900956.793017834</v>
      </c>
      <c r="L108" s="362">
        <f t="shared" si="15"/>
        <v>-4.7010264825075865E-3</v>
      </c>
      <c r="M108" s="396"/>
    </row>
    <row r="109" spans="1:13" x14ac:dyDescent="0.2">
      <c r="A109" s="242" t="s">
        <v>4601</v>
      </c>
      <c r="B109" s="589" t="s">
        <v>4610</v>
      </c>
      <c r="C109" s="248" t="s">
        <v>1104</v>
      </c>
      <c r="D109" s="248">
        <v>10</v>
      </c>
      <c r="E109" s="248">
        <v>23.4</v>
      </c>
      <c r="F109" s="249">
        <v>0.18559999999999999</v>
      </c>
      <c r="G109" s="250">
        <f t="shared" si="16"/>
        <v>27.743039999999997</v>
      </c>
      <c r="H109" s="250">
        <f t="shared" si="17"/>
        <v>277.43039999999996</v>
      </c>
      <c r="I109" s="251">
        <f t="shared" si="18"/>
        <v>1.459425066013679E-4</v>
      </c>
      <c r="J109" s="251">
        <f t="shared" si="19"/>
        <v>0.99959830747061884</v>
      </c>
      <c r="K109" s="355">
        <f>'014-22-CAPA'!$F$32</f>
        <v>1900956.793017834</v>
      </c>
      <c r="L109" s="362">
        <f t="shared" si="15"/>
        <v>-4.7010264825075865E-3</v>
      </c>
      <c r="M109" s="396"/>
    </row>
    <row r="110" spans="1:13" ht="38.25" x14ac:dyDescent="0.2">
      <c r="A110" s="242" t="s">
        <v>3900</v>
      </c>
      <c r="B110" s="589" t="s">
        <v>4280</v>
      </c>
      <c r="C110" s="248" t="s">
        <v>5</v>
      </c>
      <c r="D110" s="248">
        <v>2</v>
      </c>
      <c r="E110" s="248">
        <v>82.15</v>
      </c>
      <c r="F110" s="249">
        <v>0.18559999999999999</v>
      </c>
      <c r="G110" s="250">
        <f t="shared" si="16"/>
        <v>97.397040000000004</v>
      </c>
      <c r="H110" s="250">
        <f t="shared" si="17"/>
        <v>194.79408000000001</v>
      </c>
      <c r="I110" s="251">
        <f t="shared" si="18"/>
        <v>1.0247159758378098E-4</v>
      </c>
      <c r="J110" s="251">
        <f t="shared" si="19"/>
        <v>0.99970077906820265</v>
      </c>
      <c r="K110" s="355">
        <f>'014-22-CAPA'!$F$32</f>
        <v>1900956.793017834</v>
      </c>
      <c r="L110" s="362">
        <f t="shared" si="15"/>
        <v>-4.7010264825075865E-3</v>
      </c>
      <c r="M110" s="396"/>
    </row>
    <row r="111" spans="1:13" ht="38.25" x14ac:dyDescent="0.2">
      <c r="A111" s="242">
        <v>97064</v>
      </c>
      <c r="B111" s="589" t="s">
        <v>8222</v>
      </c>
      <c r="C111" s="248" t="s">
        <v>5</v>
      </c>
      <c r="D111" s="248">
        <v>6</v>
      </c>
      <c r="E111" s="248">
        <v>26.55</v>
      </c>
      <c r="F111" s="249">
        <v>0.18559999999999999</v>
      </c>
      <c r="G111" s="250">
        <f t="shared" si="16"/>
        <v>31.477679999999999</v>
      </c>
      <c r="H111" s="250">
        <f t="shared" si="17"/>
        <v>188.86608000000001</v>
      </c>
      <c r="I111" s="251">
        <f t="shared" si="18"/>
        <v>9.9353167955546629E-5</v>
      </c>
      <c r="J111" s="251">
        <f t="shared" si="19"/>
        <v>0.99980013223615816</v>
      </c>
      <c r="K111" s="355">
        <f>'014-22-CAPA'!$F$32</f>
        <v>1900956.793017834</v>
      </c>
      <c r="L111" s="362">
        <f t="shared" si="15"/>
        <v>-4.7010264825075865E-3</v>
      </c>
      <c r="M111" s="396"/>
    </row>
    <row r="112" spans="1:13" ht="89.25" x14ac:dyDescent="0.2">
      <c r="A112" s="242">
        <v>10527</v>
      </c>
      <c r="B112" s="589" t="s">
        <v>10687</v>
      </c>
      <c r="C112" s="248" t="s">
        <v>1492</v>
      </c>
      <c r="D112" s="248">
        <v>6</v>
      </c>
      <c r="E112" s="248">
        <v>25</v>
      </c>
      <c r="F112" s="249">
        <v>0.18559999999999999</v>
      </c>
      <c r="G112" s="250">
        <f t="shared" si="16"/>
        <v>29.64</v>
      </c>
      <c r="H112" s="250">
        <f t="shared" si="17"/>
        <v>177.84</v>
      </c>
      <c r="I112" s="251">
        <f t="shared" si="18"/>
        <v>9.3552888847030715E-5</v>
      </c>
      <c r="J112" s="251">
        <f t="shared" si="19"/>
        <v>0.9998936851250052</v>
      </c>
      <c r="K112" s="355">
        <f>'014-22-CAPA'!$F$32</f>
        <v>1900956.793017834</v>
      </c>
      <c r="L112" s="362">
        <f t="shared" si="15"/>
        <v>-4.7010264825075865E-3</v>
      </c>
      <c r="M112" s="396"/>
    </row>
    <row r="113" spans="1:13" ht="38.25" x14ac:dyDescent="0.2">
      <c r="A113" s="242">
        <v>97622</v>
      </c>
      <c r="B113" s="589" t="s">
        <v>8235</v>
      </c>
      <c r="C113" s="248" t="s">
        <v>163</v>
      </c>
      <c r="D113" s="248">
        <v>1.69</v>
      </c>
      <c r="E113" s="248">
        <v>62.38</v>
      </c>
      <c r="F113" s="249">
        <v>0.18559999999999999</v>
      </c>
      <c r="G113" s="250">
        <f t="shared" si="16"/>
        <v>73.957728000000003</v>
      </c>
      <c r="H113" s="250">
        <f t="shared" si="17"/>
        <v>124.98856032</v>
      </c>
      <c r="I113" s="251">
        <f t="shared" si="18"/>
        <v>6.5750342390729605E-5</v>
      </c>
      <c r="J113" s="251">
        <f t="shared" si="19"/>
        <v>0.99995943546739596</v>
      </c>
      <c r="K113" s="355">
        <f>'014-22-CAPA'!$F$32</f>
        <v>1900956.793017834</v>
      </c>
      <c r="L113" s="362">
        <f t="shared" si="15"/>
        <v>-4.7010264825075865E-3</v>
      </c>
      <c r="M113" s="396"/>
    </row>
    <row r="114" spans="1:13" ht="38.25" x14ac:dyDescent="0.2">
      <c r="A114" s="242" t="s">
        <v>3492</v>
      </c>
      <c r="B114" s="589" t="s">
        <v>4579</v>
      </c>
      <c r="C114" s="248" t="s">
        <v>10</v>
      </c>
      <c r="D114" s="248">
        <v>3</v>
      </c>
      <c r="E114" s="248">
        <v>21.68</v>
      </c>
      <c r="F114" s="249">
        <v>0.18559999999999999</v>
      </c>
      <c r="G114" s="250">
        <f t="shared" si="16"/>
        <v>25.703807999999999</v>
      </c>
      <c r="H114" s="250">
        <f t="shared" si="17"/>
        <v>77.111424</v>
      </c>
      <c r="I114" s="251">
        <f t="shared" si="18"/>
        <v>4.0564532604072519E-5</v>
      </c>
      <c r="J114" s="251">
        <f t="shared" si="19"/>
        <v>1</v>
      </c>
      <c r="K114" s="355">
        <f>'014-22-CAPA'!$F$32</f>
        <v>1900956.793017834</v>
      </c>
      <c r="L114" s="362">
        <f t="shared" si="15"/>
        <v>-4.7010264825075865E-3</v>
      </c>
      <c r="M114" s="396"/>
    </row>
    <row r="115" spans="1:13" x14ac:dyDescent="0.2">
      <c r="A115" s="242"/>
      <c r="B115" s="103"/>
      <c r="C115" s="248"/>
      <c r="D115" s="248"/>
      <c r="E115" s="248"/>
      <c r="F115" s="249"/>
      <c r="G115" s="250"/>
      <c r="H115" s="250"/>
      <c r="I115" s="251"/>
      <c r="J115" s="251"/>
      <c r="K115" s="355">
        <f>'014-22-CAPA'!$F$32</f>
        <v>1900956.793017834</v>
      </c>
      <c r="L115" s="362">
        <f t="shared" si="15"/>
        <v>-4.7010264825075865E-3</v>
      </c>
      <c r="M115" s="396"/>
    </row>
    <row r="116" spans="1:13" x14ac:dyDescent="0.2">
      <c r="A116" s="241"/>
      <c r="B116" s="69"/>
      <c r="C116" s="245"/>
      <c r="D116" s="245"/>
      <c r="E116" s="245"/>
      <c r="F116" s="246"/>
      <c r="G116" s="246"/>
      <c r="H116" s="246"/>
      <c r="K116" s="355"/>
      <c r="L116" s="362"/>
    </row>
    <row r="117" spans="1:13" x14ac:dyDescent="0.2">
      <c r="D117" s="253" t="s">
        <v>3538</v>
      </c>
      <c r="E117" s="254"/>
      <c r="F117" s="254">
        <f>SUM(H11:H115)</f>
        <v>1900956.7977188604</v>
      </c>
      <c r="G117" s="254"/>
      <c r="H117" s="254"/>
      <c r="J117" s="255">
        <f>J114</f>
        <v>1</v>
      </c>
      <c r="K117" s="355"/>
      <c r="L117" s="362"/>
    </row>
    <row r="118" spans="1:13" x14ac:dyDescent="0.2">
      <c r="D118" s="253"/>
      <c r="E118" s="254"/>
      <c r="F118" s="254"/>
      <c r="G118" s="254"/>
      <c r="H118" s="254"/>
      <c r="J118" s="255"/>
      <c r="K118" s="355"/>
      <c r="L118" s="362"/>
    </row>
    <row r="119" spans="1:13" s="53" customFormat="1" ht="67.5" customHeight="1" x14ac:dyDescent="0.25">
      <c r="A119" s="625" t="str">
        <f>'014-22-CAPA'!D37</f>
        <v>ENG. GILMAR DA MOTA FERNANDES
ART: 0720220018938
CREA: 23785/D-DF
Matrícula: 973.113-X</v>
      </c>
      <c r="B119" s="625"/>
      <c r="C119" s="625"/>
      <c r="D119" s="625"/>
      <c r="E119" s="625"/>
      <c r="F119" s="625"/>
      <c r="G119" s="625"/>
      <c r="H119" s="625"/>
      <c r="I119" s="625"/>
      <c r="J119" s="625"/>
      <c r="K119" s="93"/>
      <c r="L119" s="361"/>
    </row>
    <row r="120" spans="1:13" s="53" customFormat="1" ht="58.15" customHeight="1" x14ac:dyDescent="0.25">
      <c r="A120" s="625" t="str">
        <f>'014-22-CAPA'!D38</f>
        <v>ENG. HERBERT MESQUITA LOIOLA
ART: 0720240055972
CREA: 25130/D-DF
Matrícula: 973.299-3</v>
      </c>
      <c r="B120" s="625"/>
      <c r="C120" s="625"/>
      <c r="D120" s="625"/>
      <c r="E120" s="625"/>
      <c r="F120" s="625"/>
      <c r="G120" s="625"/>
      <c r="H120" s="625"/>
      <c r="I120" s="625"/>
      <c r="J120" s="625"/>
      <c r="K120" s="93"/>
      <c r="L120" s="361"/>
    </row>
    <row r="121" spans="1:13" x14ac:dyDescent="0.2">
      <c r="B121" s="70"/>
      <c r="K121" s="355"/>
      <c r="L121" s="362"/>
    </row>
    <row r="122" spans="1:13" x14ac:dyDescent="0.2">
      <c r="B122" s="70"/>
      <c r="K122" s="355"/>
      <c r="L122" s="362"/>
    </row>
    <row r="123" spans="1:13" x14ac:dyDescent="0.2">
      <c r="B123" s="70"/>
      <c r="K123" s="355"/>
      <c r="L123" s="362"/>
    </row>
    <row r="124" spans="1:13" x14ac:dyDescent="0.2">
      <c r="B124" s="70"/>
      <c r="K124" s="355"/>
      <c r="L124" s="362"/>
    </row>
    <row r="125" spans="1:13" x14ac:dyDescent="0.2">
      <c r="K125" s="355"/>
      <c r="L125" s="362"/>
    </row>
    <row r="126" spans="1:13" x14ac:dyDescent="0.2">
      <c r="K126" s="355"/>
      <c r="L126" s="362"/>
    </row>
    <row r="127" spans="1:13" x14ac:dyDescent="0.2">
      <c r="K127" s="355"/>
      <c r="L127" s="362"/>
    </row>
    <row r="128" spans="1:13" x14ac:dyDescent="0.2">
      <c r="K128" s="355"/>
      <c r="L128" s="362"/>
    </row>
    <row r="129" spans="11:12" x14ac:dyDescent="0.2">
      <c r="K129" s="355"/>
      <c r="L129" s="362"/>
    </row>
    <row r="130" spans="11:12" x14ac:dyDescent="0.2">
      <c r="K130" s="355"/>
      <c r="L130" s="362"/>
    </row>
    <row r="131" spans="11:12" x14ac:dyDescent="0.2">
      <c r="K131" s="355"/>
      <c r="L131" s="362"/>
    </row>
    <row r="132" spans="11:12" x14ac:dyDescent="0.2">
      <c r="K132" s="355"/>
      <c r="L132" s="362"/>
    </row>
    <row r="133" spans="11:12" x14ac:dyDescent="0.2">
      <c r="K133" s="355"/>
      <c r="L133" s="362"/>
    </row>
    <row r="134" spans="11:12" x14ac:dyDescent="0.2">
      <c r="K134" s="355"/>
      <c r="L134" s="362"/>
    </row>
    <row r="135" spans="11:12" x14ac:dyDescent="0.2">
      <c r="K135" s="355"/>
      <c r="L135" s="362"/>
    </row>
    <row r="136" spans="11:12" x14ac:dyDescent="0.2">
      <c r="K136" s="355"/>
      <c r="L136" s="362"/>
    </row>
    <row r="137" spans="11:12" x14ac:dyDescent="0.2">
      <c r="K137" s="355"/>
      <c r="L137" s="362"/>
    </row>
    <row r="138" spans="11:12" x14ac:dyDescent="0.2">
      <c r="K138" s="355"/>
      <c r="L138" s="362"/>
    </row>
    <row r="139" spans="11:12" x14ac:dyDescent="0.2">
      <c r="K139" s="355"/>
      <c r="L139" s="362"/>
    </row>
    <row r="140" spans="11:12" x14ac:dyDescent="0.2">
      <c r="K140" s="355"/>
      <c r="L140" s="362"/>
    </row>
    <row r="141" spans="11:12" x14ac:dyDescent="0.2">
      <c r="K141" s="355"/>
      <c r="L141" s="362"/>
    </row>
    <row r="142" spans="11:12" x14ac:dyDescent="0.2">
      <c r="K142" s="355"/>
      <c r="L142" s="362"/>
    </row>
    <row r="143" spans="11:12" x14ac:dyDescent="0.2">
      <c r="K143" s="355"/>
      <c r="L143" s="362"/>
    </row>
    <row r="144" spans="11:12" x14ac:dyDescent="0.2">
      <c r="K144" s="355"/>
      <c r="L144" s="362"/>
    </row>
    <row r="145" spans="11:12" x14ac:dyDescent="0.2">
      <c r="K145" s="355"/>
      <c r="L145" s="362"/>
    </row>
    <row r="146" spans="11:12" x14ac:dyDescent="0.2">
      <c r="K146" s="355"/>
      <c r="L146" s="362"/>
    </row>
    <row r="147" spans="11:12" x14ac:dyDescent="0.2">
      <c r="K147" s="355"/>
      <c r="L147" s="362"/>
    </row>
    <row r="148" spans="11:12" x14ac:dyDescent="0.2">
      <c r="K148" s="355"/>
      <c r="L148" s="362"/>
    </row>
    <row r="149" spans="11:12" x14ac:dyDescent="0.2">
      <c r="K149" s="355"/>
      <c r="L149" s="362"/>
    </row>
    <row r="150" spans="11:12" x14ac:dyDescent="0.2">
      <c r="K150" s="355"/>
      <c r="L150" s="362"/>
    </row>
    <row r="151" spans="11:12" x14ac:dyDescent="0.2">
      <c r="K151" s="355"/>
      <c r="L151" s="362"/>
    </row>
    <row r="152" spans="11:12" x14ac:dyDescent="0.2">
      <c r="K152" s="355"/>
      <c r="L152" s="362"/>
    </row>
    <row r="153" spans="11:12" x14ac:dyDescent="0.2">
      <c r="K153" s="355"/>
      <c r="L153" s="362"/>
    </row>
    <row r="154" spans="11:12" x14ac:dyDescent="0.2">
      <c r="K154" s="355"/>
      <c r="L154" s="362"/>
    </row>
    <row r="155" spans="11:12" x14ac:dyDescent="0.2">
      <c r="K155" s="355"/>
      <c r="L155" s="362"/>
    </row>
    <row r="156" spans="11:12" x14ac:dyDescent="0.2">
      <c r="K156" s="355"/>
      <c r="L156" s="362"/>
    </row>
    <row r="157" spans="11:12" x14ac:dyDescent="0.2">
      <c r="K157" s="355"/>
      <c r="L157" s="362"/>
    </row>
    <row r="158" spans="11:12" x14ac:dyDescent="0.2">
      <c r="K158" s="355"/>
      <c r="L158" s="362"/>
    </row>
    <row r="159" spans="11:12" x14ac:dyDescent="0.2">
      <c r="K159" s="355"/>
      <c r="L159" s="362"/>
    </row>
    <row r="160" spans="11:12" x14ac:dyDescent="0.2">
      <c r="K160" s="355"/>
      <c r="L160" s="362"/>
    </row>
    <row r="161" spans="11:12" x14ac:dyDescent="0.2">
      <c r="K161" s="355"/>
      <c r="L161" s="362"/>
    </row>
    <row r="162" spans="11:12" x14ac:dyDescent="0.2">
      <c r="K162" s="355"/>
      <c r="L162" s="362"/>
    </row>
    <row r="163" spans="11:12" x14ac:dyDescent="0.2">
      <c r="K163" s="355"/>
      <c r="L163" s="362"/>
    </row>
    <row r="164" spans="11:12" x14ac:dyDescent="0.2">
      <c r="K164" s="355"/>
      <c r="L164" s="362"/>
    </row>
    <row r="165" spans="11:12" x14ac:dyDescent="0.2">
      <c r="K165" s="355"/>
      <c r="L165" s="362"/>
    </row>
    <row r="166" spans="11:12" x14ac:dyDescent="0.2">
      <c r="K166" s="355"/>
      <c r="L166" s="362"/>
    </row>
    <row r="167" spans="11:12" x14ac:dyDescent="0.2">
      <c r="K167" s="355"/>
      <c r="L167" s="362"/>
    </row>
    <row r="168" spans="11:12" x14ac:dyDescent="0.2">
      <c r="K168" s="355"/>
      <c r="L168" s="362"/>
    </row>
    <row r="169" spans="11:12" x14ac:dyDescent="0.2">
      <c r="K169" s="355"/>
      <c r="L169" s="362"/>
    </row>
    <row r="170" spans="11:12" x14ac:dyDescent="0.2">
      <c r="K170" s="355"/>
      <c r="L170" s="362"/>
    </row>
    <row r="171" spans="11:12" x14ac:dyDescent="0.2">
      <c r="K171" s="355"/>
      <c r="L171" s="362"/>
    </row>
    <row r="172" spans="11:12" x14ac:dyDescent="0.2">
      <c r="K172" s="355"/>
      <c r="L172" s="362"/>
    </row>
    <row r="173" spans="11:12" x14ac:dyDescent="0.2">
      <c r="K173" s="355"/>
      <c r="L173" s="362"/>
    </row>
    <row r="174" spans="11:12" x14ac:dyDescent="0.2">
      <c r="K174" s="355"/>
      <c r="L174" s="362"/>
    </row>
    <row r="175" spans="11:12" x14ac:dyDescent="0.2">
      <c r="K175" s="355"/>
      <c r="L175" s="362"/>
    </row>
    <row r="176" spans="11:12" x14ac:dyDescent="0.2">
      <c r="K176" s="355"/>
      <c r="L176" s="362"/>
    </row>
    <row r="177" spans="11:12" x14ac:dyDescent="0.2">
      <c r="K177" s="355"/>
      <c r="L177" s="362"/>
    </row>
    <row r="178" spans="11:12" x14ac:dyDescent="0.2">
      <c r="K178" s="355"/>
      <c r="L178" s="362"/>
    </row>
    <row r="179" spans="11:12" x14ac:dyDescent="0.2">
      <c r="K179" s="355"/>
      <c r="L179" s="362"/>
    </row>
    <row r="180" spans="11:12" x14ac:dyDescent="0.2">
      <c r="K180" s="355"/>
      <c r="L180" s="362"/>
    </row>
    <row r="181" spans="11:12" x14ac:dyDescent="0.2">
      <c r="K181" s="355"/>
      <c r="L181" s="362"/>
    </row>
    <row r="182" spans="11:12" x14ac:dyDescent="0.2">
      <c r="K182" s="355"/>
      <c r="L182" s="362"/>
    </row>
    <row r="183" spans="11:12" x14ac:dyDescent="0.2">
      <c r="K183" s="355"/>
      <c r="L183" s="362"/>
    </row>
    <row r="184" spans="11:12" x14ac:dyDescent="0.2">
      <c r="K184" s="355"/>
      <c r="L184" s="362"/>
    </row>
    <row r="185" spans="11:12" x14ac:dyDescent="0.2">
      <c r="K185" s="355"/>
      <c r="L185" s="362"/>
    </row>
    <row r="186" spans="11:12" x14ac:dyDescent="0.2">
      <c r="K186" s="355"/>
      <c r="L186" s="362"/>
    </row>
    <row r="187" spans="11:12" x14ac:dyDescent="0.2">
      <c r="K187" s="355"/>
      <c r="L187" s="362"/>
    </row>
    <row r="188" spans="11:12" x14ac:dyDescent="0.2">
      <c r="K188" s="355"/>
      <c r="L188" s="362"/>
    </row>
    <row r="189" spans="11:12" x14ac:dyDescent="0.2">
      <c r="K189" s="355"/>
      <c r="L189" s="362"/>
    </row>
    <row r="190" spans="11:12" x14ac:dyDescent="0.2">
      <c r="K190" s="355"/>
      <c r="L190" s="362"/>
    </row>
    <row r="191" spans="11:12" x14ac:dyDescent="0.2">
      <c r="K191" s="355"/>
      <c r="L191" s="362"/>
    </row>
    <row r="192" spans="11:12" x14ac:dyDescent="0.2">
      <c r="K192" s="355"/>
      <c r="L192" s="362"/>
    </row>
    <row r="193" spans="11:12" x14ac:dyDescent="0.2">
      <c r="K193" s="355"/>
      <c r="L193" s="362"/>
    </row>
    <row r="194" spans="11:12" x14ac:dyDescent="0.2">
      <c r="K194" s="355"/>
      <c r="L194" s="362"/>
    </row>
    <row r="195" spans="11:12" x14ac:dyDescent="0.2">
      <c r="K195" s="355"/>
      <c r="L195" s="362"/>
    </row>
    <row r="196" spans="11:12" x14ac:dyDescent="0.2">
      <c r="K196" s="355"/>
      <c r="L196" s="362"/>
    </row>
    <row r="197" spans="11:12" x14ac:dyDescent="0.2">
      <c r="K197" s="355"/>
      <c r="L197" s="362"/>
    </row>
    <row r="198" spans="11:12" x14ac:dyDescent="0.2">
      <c r="K198" s="355"/>
      <c r="L198" s="362"/>
    </row>
    <row r="199" spans="11:12" x14ac:dyDescent="0.2">
      <c r="K199" s="355"/>
      <c r="L199" s="362"/>
    </row>
    <row r="200" spans="11:12" x14ac:dyDescent="0.2">
      <c r="K200" s="355"/>
      <c r="L200" s="362"/>
    </row>
    <row r="201" spans="11:12" x14ac:dyDescent="0.2">
      <c r="K201" s="355"/>
      <c r="L201" s="362"/>
    </row>
    <row r="202" spans="11:12" x14ac:dyDescent="0.2">
      <c r="K202" s="355"/>
      <c r="L202" s="362"/>
    </row>
    <row r="203" spans="11:12" x14ac:dyDescent="0.2">
      <c r="K203" s="355"/>
      <c r="L203" s="362"/>
    </row>
    <row r="204" spans="11:12" x14ac:dyDescent="0.2">
      <c r="K204" s="355"/>
      <c r="L204" s="362"/>
    </row>
    <row r="205" spans="11:12" x14ac:dyDescent="0.2">
      <c r="K205" s="355"/>
      <c r="L205" s="362"/>
    </row>
    <row r="206" spans="11:12" x14ac:dyDescent="0.2">
      <c r="K206" s="355"/>
      <c r="L206" s="362"/>
    </row>
    <row r="207" spans="11:12" x14ac:dyDescent="0.2">
      <c r="K207" s="355"/>
      <c r="L207" s="362"/>
    </row>
    <row r="208" spans="11:12" x14ac:dyDescent="0.2">
      <c r="K208" s="355"/>
      <c r="L208" s="362"/>
    </row>
    <row r="209" spans="11:12" x14ac:dyDescent="0.2">
      <c r="K209" s="355"/>
      <c r="L209" s="362"/>
    </row>
    <row r="210" spans="11:12" x14ac:dyDescent="0.2">
      <c r="K210" s="355"/>
      <c r="L210" s="362"/>
    </row>
    <row r="211" spans="11:12" x14ac:dyDescent="0.2">
      <c r="K211" s="355"/>
      <c r="L211" s="362"/>
    </row>
    <row r="212" spans="11:12" x14ac:dyDescent="0.2">
      <c r="K212" s="355"/>
      <c r="L212" s="362"/>
    </row>
    <row r="213" spans="11:12" x14ac:dyDescent="0.2">
      <c r="K213" s="355"/>
      <c r="L213" s="362"/>
    </row>
    <row r="214" spans="11:12" x14ac:dyDescent="0.2">
      <c r="K214" s="355"/>
      <c r="L214" s="362"/>
    </row>
    <row r="215" spans="11:12" x14ac:dyDescent="0.2">
      <c r="K215" s="355"/>
      <c r="L215" s="362"/>
    </row>
    <row r="216" spans="11:12" x14ac:dyDescent="0.2">
      <c r="K216" s="355"/>
      <c r="L216" s="362"/>
    </row>
    <row r="217" spans="11:12" x14ac:dyDescent="0.2">
      <c r="K217" s="355"/>
      <c r="L217" s="362"/>
    </row>
    <row r="218" spans="11:12" x14ac:dyDescent="0.2">
      <c r="K218" s="355"/>
      <c r="L218" s="362"/>
    </row>
    <row r="219" spans="11:12" x14ac:dyDescent="0.2">
      <c r="K219" s="355"/>
      <c r="L219" s="362"/>
    </row>
    <row r="220" spans="11:12" x14ac:dyDescent="0.2">
      <c r="K220" s="355"/>
      <c r="L220" s="362"/>
    </row>
    <row r="221" spans="11:12" x14ac:dyDescent="0.2">
      <c r="K221" s="355"/>
      <c r="L221" s="362"/>
    </row>
    <row r="222" spans="11:12" x14ac:dyDescent="0.2">
      <c r="K222" s="355"/>
      <c r="L222" s="362"/>
    </row>
    <row r="223" spans="11:12" x14ac:dyDescent="0.2">
      <c r="K223" s="355"/>
      <c r="L223" s="362"/>
    </row>
    <row r="224" spans="11:12" x14ac:dyDescent="0.2">
      <c r="K224" s="355"/>
      <c r="L224" s="362"/>
    </row>
    <row r="225" spans="11:12" x14ac:dyDescent="0.2">
      <c r="K225" s="355"/>
      <c r="L225" s="362"/>
    </row>
    <row r="226" spans="11:12" x14ac:dyDescent="0.2">
      <c r="K226" s="355"/>
      <c r="L226" s="362"/>
    </row>
    <row r="227" spans="11:12" x14ac:dyDescent="0.2">
      <c r="K227" s="355"/>
      <c r="L227" s="362"/>
    </row>
    <row r="228" spans="11:12" x14ac:dyDescent="0.2">
      <c r="K228" s="355"/>
      <c r="L228" s="362"/>
    </row>
    <row r="229" spans="11:12" x14ac:dyDescent="0.2">
      <c r="K229" s="355"/>
      <c r="L229" s="362"/>
    </row>
    <row r="230" spans="11:12" x14ac:dyDescent="0.2">
      <c r="K230" s="355"/>
      <c r="L230" s="362"/>
    </row>
    <row r="231" spans="11:12" x14ac:dyDescent="0.2">
      <c r="K231" s="355"/>
      <c r="L231" s="362"/>
    </row>
    <row r="232" spans="11:12" x14ac:dyDescent="0.2">
      <c r="K232" s="355"/>
      <c r="L232" s="362"/>
    </row>
    <row r="233" spans="11:12" x14ac:dyDescent="0.2">
      <c r="K233" s="355"/>
      <c r="L233" s="362"/>
    </row>
    <row r="234" spans="11:12" x14ac:dyDescent="0.2">
      <c r="K234" s="355"/>
      <c r="L234" s="362"/>
    </row>
    <row r="235" spans="11:12" x14ac:dyDescent="0.2">
      <c r="K235" s="355"/>
      <c r="L235" s="362"/>
    </row>
    <row r="236" spans="11:12" x14ac:dyDescent="0.2">
      <c r="K236" s="355"/>
      <c r="L236" s="362"/>
    </row>
    <row r="237" spans="11:12" x14ac:dyDescent="0.2">
      <c r="K237" s="355"/>
      <c r="L237" s="362"/>
    </row>
    <row r="238" spans="11:12" x14ac:dyDescent="0.2">
      <c r="K238" s="355"/>
      <c r="L238" s="362"/>
    </row>
    <row r="239" spans="11:12" x14ac:dyDescent="0.2">
      <c r="K239" s="355"/>
      <c r="L239" s="362"/>
    </row>
    <row r="240" spans="11:12" x14ac:dyDescent="0.2">
      <c r="K240" s="355"/>
      <c r="L240" s="362"/>
    </row>
    <row r="241" spans="11:12" x14ac:dyDescent="0.2">
      <c r="K241" s="355"/>
      <c r="L241" s="362"/>
    </row>
    <row r="242" spans="11:12" x14ac:dyDescent="0.2">
      <c r="K242" s="355"/>
      <c r="L242" s="362"/>
    </row>
    <row r="243" spans="11:12" x14ac:dyDescent="0.2">
      <c r="K243" s="355"/>
      <c r="L243" s="362"/>
    </row>
  </sheetData>
  <autoFilter ref="A10:J115" xr:uid="{00000000-0009-0000-0000-000009000000}">
    <sortState xmlns:xlrd2="http://schemas.microsoft.com/office/spreadsheetml/2017/richdata2" ref="A11:J115">
      <sortCondition descending="1" ref="H10:H115"/>
    </sortState>
  </autoFilter>
  <sortState xmlns:xlrd2="http://schemas.microsoft.com/office/spreadsheetml/2017/richdata2" ref="A11:H699">
    <sortCondition descending="1" ref="H11:H699"/>
  </sortState>
  <mergeCells count="8">
    <mergeCell ref="A120:J120"/>
    <mergeCell ref="A1:J1"/>
    <mergeCell ref="A5:J5"/>
    <mergeCell ref="B7:F7"/>
    <mergeCell ref="A2:J2"/>
    <mergeCell ref="A4:J4"/>
    <mergeCell ref="A3:J3"/>
    <mergeCell ref="A119:J119"/>
  </mergeCells>
  <printOptions horizontalCentered="1"/>
  <pageMargins left="0.59055118110236227" right="0.62992125984251968" top="0.39370078740157483" bottom="0.39370078740157483" header="0.11811023622047245" footer="0.11811023622047245"/>
  <pageSetup paperSize="9" scale="55" fitToHeight="21" orientation="portrait" r:id="rId1"/>
  <headerFooter alignWithMargins="0">
    <oddHeader>&amp;C&amp;F</oddHeader>
    <oddFooter>Página &amp;P de &amp;N</oddFooter>
  </headerFooter>
  <drawing r:id="rId2"/>
  <legacyDrawing r:id="rId3"/>
  <oleObjects>
    <mc:AlternateContent xmlns:mc="http://schemas.openxmlformats.org/markup-compatibility/2006">
      <mc:Choice Requires="x14">
        <oleObject progId="Word.Picture.8" shapeId="61441" r:id="rId4">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1" r:id="rId4"/>
      </mc:Fallback>
    </mc:AlternateContent>
    <mc:AlternateContent xmlns:mc="http://schemas.openxmlformats.org/markup-compatibility/2006">
      <mc:Choice Requires="x14">
        <oleObject progId="Word.Picture.8" shapeId="61442" r:id="rId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2" r:id="rId6"/>
      </mc:Fallback>
    </mc:AlternateContent>
    <mc:AlternateContent xmlns:mc="http://schemas.openxmlformats.org/markup-compatibility/2006">
      <mc:Choice Requires="x14">
        <oleObject progId="Word.Picture.8" shapeId="61443" r:id="rId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3" r:id="rId7"/>
      </mc:Fallback>
    </mc:AlternateContent>
    <mc:AlternateContent xmlns:mc="http://schemas.openxmlformats.org/markup-compatibility/2006">
      <mc:Choice Requires="x14">
        <oleObject progId="Word.Picture.8" shapeId="61444" r:id="rId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4" r:id="rId8"/>
      </mc:Fallback>
    </mc:AlternateContent>
    <mc:AlternateContent xmlns:mc="http://schemas.openxmlformats.org/markup-compatibility/2006">
      <mc:Choice Requires="x14">
        <oleObject progId="Word.Picture.8" shapeId="61445" r:id="rId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5" r:id="rId9"/>
      </mc:Fallback>
    </mc:AlternateContent>
    <mc:AlternateContent xmlns:mc="http://schemas.openxmlformats.org/markup-compatibility/2006">
      <mc:Choice Requires="x14">
        <oleObject progId="Word.Picture.8" shapeId="61446" r:id="rId1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6" r:id="rId10"/>
      </mc:Fallback>
    </mc:AlternateContent>
    <mc:AlternateContent xmlns:mc="http://schemas.openxmlformats.org/markup-compatibility/2006">
      <mc:Choice Requires="x14">
        <oleObject progId="Word.Picture.8" shapeId="61447" r:id="rId1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7" r:id="rId11"/>
      </mc:Fallback>
    </mc:AlternateContent>
    <mc:AlternateContent xmlns:mc="http://schemas.openxmlformats.org/markup-compatibility/2006">
      <mc:Choice Requires="x14">
        <oleObject progId="Word.Picture.8" shapeId="61448" r:id="rId1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48" r:id="rId12"/>
      </mc:Fallback>
    </mc:AlternateContent>
    <mc:AlternateContent xmlns:mc="http://schemas.openxmlformats.org/markup-compatibility/2006">
      <mc:Choice Requires="x14">
        <oleObject progId="Word.Picture.8" shapeId="61449" r:id="rId1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49" r:id="rId13"/>
      </mc:Fallback>
    </mc:AlternateContent>
    <mc:AlternateContent xmlns:mc="http://schemas.openxmlformats.org/markup-compatibility/2006">
      <mc:Choice Requires="x14">
        <oleObject progId="Word.Picture.8" shapeId="61450" r:id="rId1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0" r:id="rId14"/>
      </mc:Fallback>
    </mc:AlternateContent>
    <mc:AlternateContent xmlns:mc="http://schemas.openxmlformats.org/markup-compatibility/2006">
      <mc:Choice Requires="x14">
        <oleObject progId="Word.Picture.8" shapeId="61451" r:id="rId1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1" r:id="rId15"/>
      </mc:Fallback>
    </mc:AlternateContent>
    <mc:AlternateContent xmlns:mc="http://schemas.openxmlformats.org/markup-compatibility/2006">
      <mc:Choice Requires="x14">
        <oleObject progId="Word.Picture.8" shapeId="61452" r:id="rId1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2" r:id="rId16"/>
      </mc:Fallback>
    </mc:AlternateContent>
    <mc:AlternateContent xmlns:mc="http://schemas.openxmlformats.org/markup-compatibility/2006">
      <mc:Choice Requires="x14">
        <oleObject progId="Word.Picture.8" shapeId="61453" r:id="rId1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3" r:id="rId17"/>
      </mc:Fallback>
    </mc:AlternateContent>
    <mc:AlternateContent xmlns:mc="http://schemas.openxmlformats.org/markup-compatibility/2006">
      <mc:Choice Requires="x14">
        <oleObject progId="Word.Picture.8" shapeId="61454" r:id="rId1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4" r:id="rId18"/>
      </mc:Fallback>
    </mc:AlternateContent>
    <mc:AlternateContent xmlns:mc="http://schemas.openxmlformats.org/markup-compatibility/2006">
      <mc:Choice Requires="x14">
        <oleObject progId="Word.Picture.8" shapeId="61455" r:id="rId1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5" r:id="rId19"/>
      </mc:Fallback>
    </mc:AlternateContent>
    <mc:AlternateContent xmlns:mc="http://schemas.openxmlformats.org/markup-compatibility/2006">
      <mc:Choice Requires="x14">
        <oleObject progId="Word.Picture.8" shapeId="61456" r:id="rId2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6" r:id="rId20"/>
      </mc:Fallback>
    </mc:AlternateContent>
    <mc:AlternateContent xmlns:mc="http://schemas.openxmlformats.org/markup-compatibility/2006">
      <mc:Choice Requires="x14">
        <oleObject progId="Word.Picture.8" shapeId="61457" r:id="rId2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7" r:id="rId21"/>
      </mc:Fallback>
    </mc:AlternateContent>
    <mc:AlternateContent xmlns:mc="http://schemas.openxmlformats.org/markup-compatibility/2006">
      <mc:Choice Requires="x14">
        <oleObject progId="Word.Picture.8" shapeId="61458" r:id="rId2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58" r:id="rId22"/>
      </mc:Fallback>
    </mc:AlternateContent>
    <mc:AlternateContent xmlns:mc="http://schemas.openxmlformats.org/markup-compatibility/2006">
      <mc:Choice Requires="x14">
        <oleObject progId="Word.Picture.8" shapeId="61459" r:id="rId2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59" r:id="rId23"/>
      </mc:Fallback>
    </mc:AlternateContent>
    <mc:AlternateContent xmlns:mc="http://schemas.openxmlformats.org/markup-compatibility/2006">
      <mc:Choice Requires="x14">
        <oleObject progId="Word.Picture.8" shapeId="61460" r:id="rId2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0" r:id="rId24"/>
      </mc:Fallback>
    </mc:AlternateContent>
    <mc:AlternateContent xmlns:mc="http://schemas.openxmlformats.org/markup-compatibility/2006">
      <mc:Choice Requires="x14">
        <oleObject progId="Word.Picture.8" shapeId="61461" r:id="rId2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1" r:id="rId25"/>
      </mc:Fallback>
    </mc:AlternateContent>
    <mc:AlternateContent xmlns:mc="http://schemas.openxmlformats.org/markup-compatibility/2006">
      <mc:Choice Requires="x14">
        <oleObject progId="Word.Picture.8" shapeId="61462" r:id="rId2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2" r:id="rId26"/>
      </mc:Fallback>
    </mc:AlternateContent>
    <mc:AlternateContent xmlns:mc="http://schemas.openxmlformats.org/markup-compatibility/2006">
      <mc:Choice Requires="x14">
        <oleObject progId="Word.Picture.8" shapeId="61463" r:id="rId2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3" r:id="rId27"/>
      </mc:Fallback>
    </mc:AlternateContent>
    <mc:AlternateContent xmlns:mc="http://schemas.openxmlformats.org/markup-compatibility/2006">
      <mc:Choice Requires="x14">
        <oleObject progId="Word.Picture.8" shapeId="61464" r:id="rId2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4" r:id="rId28"/>
      </mc:Fallback>
    </mc:AlternateContent>
    <mc:AlternateContent xmlns:mc="http://schemas.openxmlformats.org/markup-compatibility/2006">
      <mc:Choice Requires="x14">
        <oleObject progId="Word.Picture.8" shapeId="61465" r:id="rId2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5" r:id="rId29"/>
      </mc:Fallback>
    </mc:AlternateContent>
    <mc:AlternateContent xmlns:mc="http://schemas.openxmlformats.org/markup-compatibility/2006">
      <mc:Choice Requires="x14">
        <oleObject progId="Word.Picture.8" shapeId="61466" r:id="rId3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6" r:id="rId30"/>
      </mc:Fallback>
    </mc:AlternateContent>
    <mc:AlternateContent xmlns:mc="http://schemas.openxmlformats.org/markup-compatibility/2006">
      <mc:Choice Requires="x14">
        <oleObject progId="Word.Picture.8" shapeId="61467" r:id="rId3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7" r:id="rId31"/>
      </mc:Fallback>
    </mc:AlternateContent>
    <mc:AlternateContent xmlns:mc="http://schemas.openxmlformats.org/markup-compatibility/2006">
      <mc:Choice Requires="x14">
        <oleObject progId="Word.Picture.8" shapeId="61468" r:id="rId3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68" r:id="rId32"/>
      </mc:Fallback>
    </mc:AlternateContent>
    <mc:AlternateContent xmlns:mc="http://schemas.openxmlformats.org/markup-compatibility/2006">
      <mc:Choice Requires="x14">
        <oleObject progId="Word.Picture.8" shapeId="61469" r:id="rId3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69" r:id="rId33"/>
      </mc:Fallback>
    </mc:AlternateContent>
    <mc:AlternateContent xmlns:mc="http://schemas.openxmlformats.org/markup-compatibility/2006">
      <mc:Choice Requires="x14">
        <oleObject progId="Word.Picture.8" shapeId="61470" r:id="rId3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0" r:id="rId34"/>
      </mc:Fallback>
    </mc:AlternateContent>
    <mc:AlternateContent xmlns:mc="http://schemas.openxmlformats.org/markup-compatibility/2006">
      <mc:Choice Requires="x14">
        <oleObject progId="Word.Picture.8" shapeId="61471" r:id="rId3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1" r:id="rId35"/>
      </mc:Fallback>
    </mc:AlternateContent>
    <mc:AlternateContent xmlns:mc="http://schemas.openxmlformats.org/markup-compatibility/2006">
      <mc:Choice Requires="x14">
        <oleObject progId="Word.Picture.8" shapeId="61472" r:id="rId3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2" r:id="rId36"/>
      </mc:Fallback>
    </mc:AlternateContent>
    <mc:AlternateContent xmlns:mc="http://schemas.openxmlformats.org/markup-compatibility/2006">
      <mc:Choice Requires="x14">
        <oleObject progId="Word.Picture.8" shapeId="61473" r:id="rId3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3" r:id="rId37"/>
      </mc:Fallback>
    </mc:AlternateContent>
    <mc:AlternateContent xmlns:mc="http://schemas.openxmlformats.org/markup-compatibility/2006">
      <mc:Choice Requires="x14">
        <oleObject progId="Word.Picture.8" shapeId="61474" r:id="rId3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4" r:id="rId38"/>
      </mc:Fallback>
    </mc:AlternateContent>
    <mc:AlternateContent xmlns:mc="http://schemas.openxmlformats.org/markup-compatibility/2006">
      <mc:Choice Requires="x14">
        <oleObject progId="Word.Picture.8" shapeId="61475" r:id="rId3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5" r:id="rId39"/>
      </mc:Fallback>
    </mc:AlternateContent>
    <mc:AlternateContent xmlns:mc="http://schemas.openxmlformats.org/markup-compatibility/2006">
      <mc:Choice Requires="x14">
        <oleObject progId="Word.Picture.8" shapeId="61476" r:id="rId4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6" r:id="rId40"/>
      </mc:Fallback>
    </mc:AlternateContent>
    <mc:AlternateContent xmlns:mc="http://schemas.openxmlformats.org/markup-compatibility/2006">
      <mc:Choice Requires="x14">
        <oleObject progId="Word.Picture.8" shapeId="61477" r:id="rId4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7" r:id="rId41"/>
      </mc:Fallback>
    </mc:AlternateContent>
    <mc:AlternateContent xmlns:mc="http://schemas.openxmlformats.org/markup-compatibility/2006">
      <mc:Choice Requires="x14">
        <oleObject progId="Word.Picture.8" shapeId="61478" r:id="rId4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78" r:id="rId42"/>
      </mc:Fallback>
    </mc:AlternateContent>
    <mc:AlternateContent xmlns:mc="http://schemas.openxmlformats.org/markup-compatibility/2006">
      <mc:Choice Requires="x14">
        <oleObject progId="Word.Picture.8" shapeId="61479" r:id="rId4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79" r:id="rId43"/>
      </mc:Fallback>
    </mc:AlternateContent>
    <mc:AlternateContent xmlns:mc="http://schemas.openxmlformats.org/markup-compatibility/2006">
      <mc:Choice Requires="x14">
        <oleObject progId="Word.Picture.8" shapeId="61480" r:id="rId4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0" r:id="rId44"/>
      </mc:Fallback>
    </mc:AlternateContent>
    <mc:AlternateContent xmlns:mc="http://schemas.openxmlformats.org/markup-compatibility/2006">
      <mc:Choice Requires="x14">
        <oleObject progId="Word.Picture.8" shapeId="61481" r:id="rId4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1" r:id="rId45"/>
      </mc:Fallback>
    </mc:AlternateContent>
    <mc:AlternateContent xmlns:mc="http://schemas.openxmlformats.org/markup-compatibility/2006">
      <mc:Choice Requires="x14">
        <oleObject progId="Word.Picture.8" shapeId="61482" r:id="rId4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2" r:id="rId46"/>
      </mc:Fallback>
    </mc:AlternateContent>
    <mc:AlternateContent xmlns:mc="http://schemas.openxmlformats.org/markup-compatibility/2006">
      <mc:Choice Requires="x14">
        <oleObject progId="Word.Picture.8" shapeId="61483" r:id="rId4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3" r:id="rId47"/>
      </mc:Fallback>
    </mc:AlternateContent>
    <mc:AlternateContent xmlns:mc="http://schemas.openxmlformats.org/markup-compatibility/2006">
      <mc:Choice Requires="x14">
        <oleObject progId="Word.Picture.8" shapeId="61484" r:id="rId4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4" r:id="rId48"/>
      </mc:Fallback>
    </mc:AlternateContent>
    <mc:AlternateContent xmlns:mc="http://schemas.openxmlformats.org/markup-compatibility/2006">
      <mc:Choice Requires="x14">
        <oleObject progId="Word.Picture.8" shapeId="61485" r:id="rId4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5" r:id="rId49"/>
      </mc:Fallback>
    </mc:AlternateContent>
    <mc:AlternateContent xmlns:mc="http://schemas.openxmlformats.org/markup-compatibility/2006">
      <mc:Choice Requires="x14">
        <oleObject progId="Word.Picture.8" shapeId="61486" r:id="rId5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6" r:id="rId50"/>
      </mc:Fallback>
    </mc:AlternateContent>
    <mc:AlternateContent xmlns:mc="http://schemas.openxmlformats.org/markup-compatibility/2006">
      <mc:Choice Requires="x14">
        <oleObject progId="Word.Picture.8" shapeId="61487" r:id="rId5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7" r:id="rId51"/>
      </mc:Fallback>
    </mc:AlternateContent>
    <mc:AlternateContent xmlns:mc="http://schemas.openxmlformats.org/markup-compatibility/2006">
      <mc:Choice Requires="x14">
        <oleObject progId="Word.Picture.8" shapeId="61488" r:id="rId5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88" r:id="rId52"/>
      </mc:Fallback>
    </mc:AlternateContent>
    <mc:AlternateContent xmlns:mc="http://schemas.openxmlformats.org/markup-compatibility/2006">
      <mc:Choice Requires="x14">
        <oleObject progId="Word.Picture.8" shapeId="61489" r:id="rId5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89" r:id="rId53"/>
      </mc:Fallback>
    </mc:AlternateContent>
    <mc:AlternateContent xmlns:mc="http://schemas.openxmlformats.org/markup-compatibility/2006">
      <mc:Choice Requires="x14">
        <oleObject progId="Word.Picture.8" shapeId="61490" r:id="rId5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0" r:id="rId54"/>
      </mc:Fallback>
    </mc:AlternateContent>
    <mc:AlternateContent xmlns:mc="http://schemas.openxmlformats.org/markup-compatibility/2006">
      <mc:Choice Requires="x14">
        <oleObject progId="Word.Picture.8" shapeId="61491" r:id="rId5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1" r:id="rId55"/>
      </mc:Fallback>
    </mc:AlternateContent>
    <mc:AlternateContent xmlns:mc="http://schemas.openxmlformats.org/markup-compatibility/2006">
      <mc:Choice Requires="x14">
        <oleObject progId="Word.Picture.8" shapeId="61492" r:id="rId5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2" r:id="rId56"/>
      </mc:Fallback>
    </mc:AlternateContent>
    <mc:AlternateContent xmlns:mc="http://schemas.openxmlformats.org/markup-compatibility/2006">
      <mc:Choice Requires="x14">
        <oleObject progId="Word.Picture.8" shapeId="61493" r:id="rId57">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3" r:id="rId57"/>
      </mc:Fallback>
    </mc:AlternateContent>
    <mc:AlternateContent xmlns:mc="http://schemas.openxmlformats.org/markup-compatibility/2006">
      <mc:Choice Requires="x14">
        <oleObject progId="Word.Picture.8" shapeId="61494" r:id="rId58">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4" r:id="rId58"/>
      </mc:Fallback>
    </mc:AlternateContent>
    <mc:AlternateContent xmlns:mc="http://schemas.openxmlformats.org/markup-compatibility/2006">
      <mc:Choice Requires="x14">
        <oleObject progId="Word.Picture.8" shapeId="61495" r:id="rId59">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5" r:id="rId59"/>
      </mc:Fallback>
    </mc:AlternateContent>
    <mc:AlternateContent xmlns:mc="http://schemas.openxmlformats.org/markup-compatibility/2006">
      <mc:Choice Requires="x14">
        <oleObject progId="Word.Picture.8" shapeId="61496" r:id="rId60">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6" r:id="rId60"/>
      </mc:Fallback>
    </mc:AlternateContent>
    <mc:AlternateContent xmlns:mc="http://schemas.openxmlformats.org/markup-compatibility/2006">
      <mc:Choice Requires="x14">
        <oleObject progId="Word.Picture.8" shapeId="61497" r:id="rId61">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7" r:id="rId61"/>
      </mc:Fallback>
    </mc:AlternateContent>
    <mc:AlternateContent xmlns:mc="http://schemas.openxmlformats.org/markup-compatibility/2006">
      <mc:Choice Requires="x14">
        <oleObject progId="Word.Picture.8" shapeId="61498" r:id="rId62">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498" r:id="rId62"/>
      </mc:Fallback>
    </mc:AlternateContent>
    <mc:AlternateContent xmlns:mc="http://schemas.openxmlformats.org/markup-compatibility/2006">
      <mc:Choice Requires="x14">
        <oleObject progId="Word.Picture.8" shapeId="61499" r:id="rId63">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499" r:id="rId63"/>
      </mc:Fallback>
    </mc:AlternateContent>
    <mc:AlternateContent xmlns:mc="http://schemas.openxmlformats.org/markup-compatibility/2006">
      <mc:Choice Requires="x14">
        <oleObject progId="Word.Picture.8" shapeId="61500" r:id="rId64">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500" r:id="rId64"/>
      </mc:Fallback>
    </mc:AlternateContent>
    <mc:AlternateContent xmlns:mc="http://schemas.openxmlformats.org/markup-compatibility/2006">
      <mc:Choice Requires="x14">
        <oleObject progId="Word.Picture.8" shapeId="61501" r:id="rId65">
          <objectPr defaultSize="0" autoPict="0" r:id="rId5">
            <anchor moveWithCells="1" sizeWithCells="1">
              <from>
                <xdr:col>8</xdr:col>
                <xdr:colOff>0</xdr:colOff>
                <xdr:row>8</xdr:row>
                <xdr:rowOff>0</xdr:rowOff>
              </from>
              <to>
                <xdr:col>8</xdr:col>
                <xdr:colOff>619125</xdr:colOff>
                <xdr:row>8</xdr:row>
                <xdr:rowOff>0</xdr:rowOff>
              </to>
            </anchor>
          </objectPr>
        </oleObject>
      </mc:Choice>
      <mc:Fallback>
        <oleObject progId="Word.Picture.8" shapeId="61501" r:id="rId65"/>
      </mc:Fallback>
    </mc:AlternateContent>
    <mc:AlternateContent xmlns:mc="http://schemas.openxmlformats.org/markup-compatibility/2006">
      <mc:Choice Requires="x14">
        <oleObject progId="Word.Picture.8" shapeId="61502" r:id="rId66">
          <objectPr defaultSize="0" autoPict="0" r:id="rId5">
            <anchor moveWithCells="1" sizeWithCells="1">
              <from>
                <xdr:col>8</xdr:col>
                <xdr:colOff>323850</xdr:colOff>
                <xdr:row>8</xdr:row>
                <xdr:rowOff>0</xdr:rowOff>
              </from>
              <to>
                <xdr:col>9</xdr:col>
                <xdr:colOff>619125</xdr:colOff>
                <xdr:row>8</xdr:row>
                <xdr:rowOff>0</xdr:rowOff>
              </to>
            </anchor>
          </objectPr>
        </oleObject>
      </mc:Choice>
      <mc:Fallback>
        <oleObject progId="Word.Picture.8" shapeId="61502" r:id="rId66"/>
      </mc:Fallback>
    </mc:AlternateContent>
  </oleObjec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pageSetUpPr fitToPage="1"/>
  </sheetPr>
  <dimension ref="A1:IV57"/>
  <sheetViews>
    <sheetView view="pageBreakPreview" topLeftCell="A21" zoomScaleNormal="100" zoomScaleSheetLayoutView="100" workbookViewId="0">
      <selection activeCell="H20" sqref="H20"/>
    </sheetView>
  </sheetViews>
  <sheetFormatPr defaultRowHeight="15" x14ac:dyDescent="0.25"/>
  <cols>
    <col min="1" max="1" width="13.5703125" style="31" customWidth="1"/>
    <col min="2" max="2" width="54.7109375" style="34" customWidth="1"/>
    <col min="3" max="3" width="16.5703125" style="28" customWidth="1"/>
    <col min="4" max="4" width="15.7109375" style="28" customWidth="1"/>
    <col min="5" max="7" width="9.140625" style="28" customWidth="1"/>
    <col min="8" max="256" width="9.140625" style="29"/>
    <col min="257" max="257" width="13.5703125" style="29" customWidth="1"/>
    <col min="258" max="258" width="54.7109375" style="29" customWidth="1"/>
    <col min="259" max="259" width="16.5703125" style="29" customWidth="1"/>
    <col min="260" max="260" width="15.7109375" style="29" customWidth="1"/>
    <col min="261" max="263" width="9.140625" style="29" customWidth="1"/>
    <col min="264" max="512" width="9.140625" style="29"/>
    <col min="513" max="513" width="13.5703125" style="29" customWidth="1"/>
    <col min="514" max="514" width="54.7109375" style="29" customWidth="1"/>
    <col min="515" max="515" width="16.5703125" style="29" customWidth="1"/>
    <col min="516" max="516" width="15.7109375" style="29" customWidth="1"/>
    <col min="517" max="519" width="9.140625" style="29" customWidth="1"/>
    <col min="520" max="768" width="9.140625" style="29"/>
    <col min="769" max="769" width="13.5703125" style="29" customWidth="1"/>
    <col min="770" max="770" width="54.7109375" style="29" customWidth="1"/>
    <col min="771" max="771" width="16.5703125" style="29" customWidth="1"/>
    <col min="772" max="772" width="15.7109375" style="29" customWidth="1"/>
    <col min="773" max="775" width="9.140625" style="29" customWidth="1"/>
    <col min="776" max="1024" width="9.140625" style="29"/>
    <col min="1025" max="1025" width="13.5703125" style="29" customWidth="1"/>
    <col min="1026" max="1026" width="54.7109375" style="29" customWidth="1"/>
    <col min="1027" max="1027" width="16.5703125" style="29" customWidth="1"/>
    <col min="1028" max="1028" width="15.7109375" style="29" customWidth="1"/>
    <col min="1029" max="1031" width="9.140625" style="29" customWidth="1"/>
    <col min="1032" max="1280" width="9.140625" style="29"/>
    <col min="1281" max="1281" width="13.5703125" style="29" customWidth="1"/>
    <col min="1282" max="1282" width="54.7109375" style="29" customWidth="1"/>
    <col min="1283" max="1283" width="16.5703125" style="29" customWidth="1"/>
    <col min="1284" max="1284" width="15.7109375" style="29" customWidth="1"/>
    <col min="1285" max="1287" width="9.140625" style="29" customWidth="1"/>
    <col min="1288" max="1536" width="9.140625" style="29"/>
    <col min="1537" max="1537" width="13.5703125" style="29" customWidth="1"/>
    <col min="1538" max="1538" width="54.7109375" style="29" customWidth="1"/>
    <col min="1539" max="1539" width="16.5703125" style="29" customWidth="1"/>
    <col min="1540" max="1540" width="15.7109375" style="29" customWidth="1"/>
    <col min="1541" max="1543" width="9.140625" style="29" customWidth="1"/>
    <col min="1544" max="1792" width="9.140625" style="29"/>
    <col min="1793" max="1793" width="13.5703125" style="29" customWidth="1"/>
    <col min="1794" max="1794" width="54.7109375" style="29" customWidth="1"/>
    <col min="1795" max="1795" width="16.5703125" style="29" customWidth="1"/>
    <col min="1796" max="1796" width="15.7109375" style="29" customWidth="1"/>
    <col min="1797" max="1799" width="9.140625" style="29" customWidth="1"/>
    <col min="1800" max="2048" width="9.140625" style="29"/>
    <col min="2049" max="2049" width="13.5703125" style="29" customWidth="1"/>
    <col min="2050" max="2050" width="54.7109375" style="29" customWidth="1"/>
    <col min="2051" max="2051" width="16.5703125" style="29" customWidth="1"/>
    <col min="2052" max="2052" width="15.7109375" style="29" customWidth="1"/>
    <col min="2053" max="2055" width="9.140625" style="29" customWidth="1"/>
    <col min="2056" max="2304" width="9.140625" style="29"/>
    <col min="2305" max="2305" width="13.5703125" style="29" customWidth="1"/>
    <col min="2306" max="2306" width="54.7109375" style="29" customWidth="1"/>
    <col min="2307" max="2307" width="16.5703125" style="29" customWidth="1"/>
    <col min="2308" max="2308" width="15.7109375" style="29" customWidth="1"/>
    <col min="2309" max="2311" width="9.140625" style="29" customWidth="1"/>
    <col min="2312" max="2560" width="9.140625" style="29"/>
    <col min="2561" max="2561" width="13.5703125" style="29" customWidth="1"/>
    <col min="2562" max="2562" width="54.7109375" style="29" customWidth="1"/>
    <col min="2563" max="2563" width="16.5703125" style="29" customWidth="1"/>
    <col min="2564" max="2564" width="15.7109375" style="29" customWidth="1"/>
    <col min="2565" max="2567" width="9.140625" style="29" customWidth="1"/>
    <col min="2568" max="2816" width="9.140625" style="29"/>
    <col min="2817" max="2817" width="13.5703125" style="29" customWidth="1"/>
    <col min="2818" max="2818" width="54.7109375" style="29" customWidth="1"/>
    <col min="2819" max="2819" width="16.5703125" style="29" customWidth="1"/>
    <col min="2820" max="2820" width="15.7109375" style="29" customWidth="1"/>
    <col min="2821" max="2823" width="9.140625" style="29" customWidth="1"/>
    <col min="2824" max="3072" width="9.140625" style="29"/>
    <col min="3073" max="3073" width="13.5703125" style="29" customWidth="1"/>
    <col min="3074" max="3074" width="54.7109375" style="29" customWidth="1"/>
    <col min="3075" max="3075" width="16.5703125" style="29" customWidth="1"/>
    <col min="3076" max="3076" width="15.7109375" style="29" customWidth="1"/>
    <col min="3077" max="3079" width="9.140625" style="29" customWidth="1"/>
    <col min="3080" max="3328" width="9.140625" style="29"/>
    <col min="3329" max="3329" width="13.5703125" style="29" customWidth="1"/>
    <col min="3330" max="3330" width="54.7109375" style="29" customWidth="1"/>
    <col min="3331" max="3331" width="16.5703125" style="29" customWidth="1"/>
    <col min="3332" max="3332" width="15.7109375" style="29" customWidth="1"/>
    <col min="3333" max="3335" width="9.140625" style="29" customWidth="1"/>
    <col min="3336" max="3584" width="9.140625" style="29"/>
    <col min="3585" max="3585" width="13.5703125" style="29" customWidth="1"/>
    <col min="3586" max="3586" width="54.7109375" style="29" customWidth="1"/>
    <col min="3587" max="3587" width="16.5703125" style="29" customWidth="1"/>
    <col min="3588" max="3588" width="15.7109375" style="29" customWidth="1"/>
    <col min="3589" max="3591" width="9.140625" style="29" customWidth="1"/>
    <col min="3592" max="3840" width="9.140625" style="29"/>
    <col min="3841" max="3841" width="13.5703125" style="29" customWidth="1"/>
    <col min="3842" max="3842" width="54.7109375" style="29" customWidth="1"/>
    <col min="3843" max="3843" width="16.5703125" style="29" customWidth="1"/>
    <col min="3844" max="3844" width="15.7109375" style="29" customWidth="1"/>
    <col min="3845" max="3847" width="9.140625" style="29" customWidth="1"/>
    <col min="3848" max="4096" width="9.140625" style="29"/>
    <col min="4097" max="4097" width="13.5703125" style="29" customWidth="1"/>
    <col min="4098" max="4098" width="54.7109375" style="29" customWidth="1"/>
    <col min="4099" max="4099" width="16.5703125" style="29" customWidth="1"/>
    <col min="4100" max="4100" width="15.7109375" style="29" customWidth="1"/>
    <col min="4101" max="4103" width="9.140625" style="29" customWidth="1"/>
    <col min="4104" max="4352" width="9.140625" style="29"/>
    <col min="4353" max="4353" width="13.5703125" style="29" customWidth="1"/>
    <col min="4354" max="4354" width="54.7109375" style="29" customWidth="1"/>
    <col min="4355" max="4355" width="16.5703125" style="29" customWidth="1"/>
    <col min="4356" max="4356" width="15.7109375" style="29" customWidth="1"/>
    <col min="4357" max="4359" width="9.140625" style="29" customWidth="1"/>
    <col min="4360" max="4608" width="9.140625" style="29"/>
    <col min="4609" max="4609" width="13.5703125" style="29" customWidth="1"/>
    <col min="4610" max="4610" width="54.7109375" style="29" customWidth="1"/>
    <col min="4611" max="4611" width="16.5703125" style="29" customWidth="1"/>
    <col min="4612" max="4612" width="15.7109375" style="29" customWidth="1"/>
    <col min="4613" max="4615" width="9.140625" style="29" customWidth="1"/>
    <col min="4616" max="4864" width="9.140625" style="29"/>
    <col min="4865" max="4865" width="13.5703125" style="29" customWidth="1"/>
    <col min="4866" max="4866" width="54.7109375" style="29" customWidth="1"/>
    <col min="4867" max="4867" width="16.5703125" style="29" customWidth="1"/>
    <col min="4868" max="4868" width="15.7109375" style="29" customWidth="1"/>
    <col min="4869" max="4871" width="9.140625" style="29" customWidth="1"/>
    <col min="4872" max="5120" width="9.140625" style="29"/>
    <col min="5121" max="5121" width="13.5703125" style="29" customWidth="1"/>
    <col min="5122" max="5122" width="54.7109375" style="29" customWidth="1"/>
    <col min="5123" max="5123" width="16.5703125" style="29" customWidth="1"/>
    <col min="5124" max="5124" width="15.7109375" style="29" customWidth="1"/>
    <col min="5125" max="5127" width="9.140625" style="29" customWidth="1"/>
    <col min="5128" max="5376" width="9.140625" style="29"/>
    <col min="5377" max="5377" width="13.5703125" style="29" customWidth="1"/>
    <col min="5378" max="5378" width="54.7109375" style="29" customWidth="1"/>
    <col min="5379" max="5379" width="16.5703125" style="29" customWidth="1"/>
    <col min="5380" max="5380" width="15.7109375" style="29" customWidth="1"/>
    <col min="5381" max="5383" width="9.140625" style="29" customWidth="1"/>
    <col min="5384" max="5632" width="9.140625" style="29"/>
    <col min="5633" max="5633" width="13.5703125" style="29" customWidth="1"/>
    <col min="5634" max="5634" width="54.7109375" style="29" customWidth="1"/>
    <col min="5635" max="5635" width="16.5703125" style="29" customWidth="1"/>
    <col min="5636" max="5636" width="15.7109375" style="29" customWidth="1"/>
    <col min="5637" max="5639" width="9.140625" style="29" customWidth="1"/>
    <col min="5640" max="5888" width="9.140625" style="29"/>
    <col min="5889" max="5889" width="13.5703125" style="29" customWidth="1"/>
    <col min="5890" max="5890" width="54.7109375" style="29" customWidth="1"/>
    <col min="5891" max="5891" width="16.5703125" style="29" customWidth="1"/>
    <col min="5892" max="5892" width="15.7109375" style="29" customWidth="1"/>
    <col min="5893" max="5895" width="9.140625" style="29" customWidth="1"/>
    <col min="5896" max="6144" width="9.140625" style="29"/>
    <col min="6145" max="6145" width="13.5703125" style="29" customWidth="1"/>
    <col min="6146" max="6146" width="54.7109375" style="29" customWidth="1"/>
    <col min="6147" max="6147" width="16.5703125" style="29" customWidth="1"/>
    <col min="6148" max="6148" width="15.7109375" style="29" customWidth="1"/>
    <col min="6149" max="6151" width="9.140625" style="29" customWidth="1"/>
    <col min="6152" max="6400" width="9.140625" style="29"/>
    <col min="6401" max="6401" width="13.5703125" style="29" customWidth="1"/>
    <col min="6402" max="6402" width="54.7109375" style="29" customWidth="1"/>
    <col min="6403" max="6403" width="16.5703125" style="29" customWidth="1"/>
    <col min="6404" max="6404" width="15.7109375" style="29" customWidth="1"/>
    <col min="6405" max="6407" width="9.140625" style="29" customWidth="1"/>
    <col min="6408" max="6656" width="9.140625" style="29"/>
    <col min="6657" max="6657" width="13.5703125" style="29" customWidth="1"/>
    <col min="6658" max="6658" width="54.7109375" style="29" customWidth="1"/>
    <col min="6659" max="6659" width="16.5703125" style="29" customWidth="1"/>
    <col min="6660" max="6660" width="15.7109375" style="29" customWidth="1"/>
    <col min="6661" max="6663" width="9.140625" style="29" customWidth="1"/>
    <col min="6664" max="6912" width="9.140625" style="29"/>
    <col min="6913" max="6913" width="13.5703125" style="29" customWidth="1"/>
    <col min="6914" max="6914" width="54.7109375" style="29" customWidth="1"/>
    <col min="6915" max="6915" width="16.5703125" style="29" customWidth="1"/>
    <col min="6916" max="6916" width="15.7109375" style="29" customWidth="1"/>
    <col min="6917" max="6919" width="9.140625" style="29" customWidth="1"/>
    <col min="6920" max="7168" width="9.140625" style="29"/>
    <col min="7169" max="7169" width="13.5703125" style="29" customWidth="1"/>
    <col min="7170" max="7170" width="54.7109375" style="29" customWidth="1"/>
    <col min="7171" max="7171" width="16.5703125" style="29" customWidth="1"/>
    <col min="7172" max="7172" width="15.7109375" style="29" customWidth="1"/>
    <col min="7173" max="7175" width="9.140625" style="29" customWidth="1"/>
    <col min="7176" max="7424" width="9.140625" style="29"/>
    <col min="7425" max="7425" width="13.5703125" style="29" customWidth="1"/>
    <col min="7426" max="7426" width="54.7109375" style="29" customWidth="1"/>
    <col min="7427" max="7427" width="16.5703125" style="29" customWidth="1"/>
    <col min="7428" max="7428" width="15.7109375" style="29" customWidth="1"/>
    <col min="7429" max="7431" width="9.140625" style="29" customWidth="1"/>
    <col min="7432" max="7680" width="9.140625" style="29"/>
    <col min="7681" max="7681" width="13.5703125" style="29" customWidth="1"/>
    <col min="7682" max="7682" width="54.7109375" style="29" customWidth="1"/>
    <col min="7683" max="7683" width="16.5703125" style="29" customWidth="1"/>
    <col min="7684" max="7684" width="15.7109375" style="29" customWidth="1"/>
    <col min="7685" max="7687" width="9.140625" style="29" customWidth="1"/>
    <col min="7688" max="7936" width="9.140625" style="29"/>
    <col min="7937" max="7937" width="13.5703125" style="29" customWidth="1"/>
    <col min="7938" max="7938" width="54.7109375" style="29" customWidth="1"/>
    <col min="7939" max="7939" width="16.5703125" style="29" customWidth="1"/>
    <col min="7940" max="7940" width="15.7109375" style="29" customWidth="1"/>
    <col min="7941" max="7943" width="9.140625" style="29" customWidth="1"/>
    <col min="7944" max="8192" width="9.140625" style="29"/>
    <col min="8193" max="8193" width="13.5703125" style="29" customWidth="1"/>
    <col min="8194" max="8194" width="54.7109375" style="29" customWidth="1"/>
    <col min="8195" max="8195" width="16.5703125" style="29" customWidth="1"/>
    <col min="8196" max="8196" width="15.7109375" style="29" customWidth="1"/>
    <col min="8197" max="8199" width="9.140625" style="29" customWidth="1"/>
    <col min="8200" max="8448" width="9.140625" style="29"/>
    <col min="8449" max="8449" width="13.5703125" style="29" customWidth="1"/>
    <col min="8450" max="8450" width="54.7109375" style="29" customWidth="1"/>
    <col min="8451" max="8451" width="16.5703125" style="29" customWidth="1"/>
    <col min="8452" max="8452" width="15.7109375" style="29" customWidth="1"/>
    <col min="8453" max="8455" width="9.140625" style="29" customWidth="1"/>
    <col min="8456" max="8704" width="9.140625" style="29"/>
    <col min="8705" max="8705" width="13.5703125" style="29" customWidth="1"/>
    <col min="8706" max="8706" width="54.7109375" style="29" customWidth="1"/>
    <col min="8707" max="8707" width="16.5703125" style="29" customWidth="1"/>
    <col min="8708" max="8708" width="15.7109375" style="29" customWidth="1"/>
    <col min="8709" max="8711" width="9.140625" style="29" customWidth="1"/>
    <col min="8712" max="8960" width="9.140625" style="29"/>
    <col min="8961" max="8961" width="13.5703125" style="29" customWidth="1"/>
    <col min="8962" max="8962" width="54.7109375" style="29" customWidth="1"/>
    <col min="8963" max="8963" width="16.5703125" style="29" customWidth="1"/>
    <col min="8964" max="8964" width="15.7109375" style="29" customWidth="1"/>
    <col min="8965" max="8967" width="9.140625" style="29" customWidth="1"/>
    <col min="8968" max="9216" width="9.140625" style="29"/>
    <col min="9217" max="9217" width="13.5703125" style="29" customWidth="1"/>
    <col min="9218" max="9218" width="54.7109375" style="29" customWidth="1"/>
    <col min="9219" max="9219" width="16.5703125" style="29" customWidth="1"/>
    <col min="9220" max="9220" width="15.7109375" style="29" customWidth="1"/>
    <col min="9221" max="9223" width="9.140625" style="29" customWidth="1"/>
    <col min="9224" max="9472" width="9.140625" style="29"/>
    <col min="9473" max="9473" width="13.5703125" style="29" customWidth="1"/>
    <col min="9474" max="9474" width="54.7109375" style="29" customWidth="1"/>
    <col min="9475" max="9475" width="16.5703125" style="29" customWidth="1"/>
    <col min="9476" max="9476" width="15.7109375" style="29" customWidth="1"/>
    <col min="9477" max="9479" width="9.140625" style="29" customWidth="1"/>
    <col min="9480" max="9728" width="9.140625" style="29"/>
    <col min="9729" max="9729" width="13.5703125" style="29" customWidth="1"/>
    <col min="9730" max="9730" width="54.7109375" style="29" customWidth="1"/>
    <col min="9731" max="9731" width="16.5703125" style="29" customWidth="1"/>
    <col min="9732" max="9732" width="15.7109375" style="29" customWidth="1"/>
    <col min="9733" max="9735" width="9.140625" style="29" customWidth="1"/>
    <col min="9736" max="9984" width="9.140625" style="29"/>
    <col min="9985" max="9985" width="13.5703125" style="29" customWidth="1"/>
    <col min="9986" max="9986" width="54.7109375" style="29" customWidth="1"/>
    <col min="9987" max="9987" width="16.5703125" style="29" customWidth="1"/>
    <col min="9988" max="9988" width="15.7109375" style="29" customWidth="1"/>
    <col min="9989" max="9991" width="9.140625" style="29" customWidth="1"/>
    <col min="9992" max="10240" width="9.140625" style="29"/>
    <col min="10241" max="10241" width="13.5703125" style="29" customWidth="1"/>
    <col min="10242" max="10242" width="54.7109375" style="29" customWidth="1"/>
    <col min="10243" max="10243" width="16.5703125" style="29" customWidth="1"/>
    <col min="10244" max="10244" width="15.7109375" style="29" customWidth="1"/>
    <col min="10245" max="10247" width="9.140625" style="29" customWidth="1"/>
    <col min="10248" max="10496" width="9.140625" style="29"/>
    <col min="10497" max="10497" width="13.5703125" style="29" customWidth="1"/>
    <col min="10498" max="10498" width="54.7109375" style="29" customWidth="1"/>
    <col min="10499" max="10499" width="16.5703125" style="29" customWidth="1"/>
    <col min="10500" max="10500" width="15.7109375" style="29" customWidth="1"/>
    <col min="10501" max="10503" width="9.140625" style="29" customWidth="1"/>
    <col min="10504" max="10752" width="9.140625" style="29"/>
    <col min="10753" max="10753" width="13.5703125" style="29" customWidth="1"/>
    <col min="10754" max="10754" width="54.7109375" style="29" customWidth="1"/>
    <col min="10755" max="10755" width="16.5703125" style="29" customWidth="1"/>
    <col min="10756" max="10756" width="15.7109375" style="29" customWidth="1"/>
    <col min="10757" max="10759" width="9.140625" style="29" customWidth="1"/>
    <col min="10760" max="11008" width="9.140625" style="29"/>
    <col min="11009" max="11009" width="13.5703125" style="29" customWidth="1"/>
    <col min="11010" max="11010" width="54.7109375" style="29" customWidth="1"/>
    <col min="11011" max="11011" width="16.5703125" style="29" customWidth="1"/>
    <col min="11012" max="11012" width="15.7109375" style="29" customWidth="1"/>
    <col min="11013" max="11015" width="9.140625" style="29" customWidth="1"/>
    <col min="11016" max="11264" width="9.140625" style="29"/>
    <col min="11265" max="11265" width="13.5703125" style="29" customWidth="1"/>
    <col min="11266" max="11266" width="54.7109375" style="29" customWidth="1"/>
    <col min="11267" max="11267" width="16.5703125" style="29" customWidth="1"/>
    <col min="11268" max="11268" width="15.7109375" style="29" customWidth="1"/>
    <col min="11269" max="11271" width="9.140625" style="29" customWidth="1"/>
    <col min="11272" max="11520" width="9.140625" style="29"/>
    <col min="11521" max="11521" width="13.5703125" style="29" customWidth="1"/>
    <col min="11522" max="11522" width="54.7109375" style="29" customWidth="1"/>
    <col min="11523" max="11523" width="16.5703125" style="29" customWidth="1"/>
    <col min="11524" max="11524" width="15.7109375" style="29" customWidth="1"/>
    <col min="11525" max="11527" width="9.140625" style="29" customWidth="1"/>
    <col min="11528" max="11776" width="9.140625" style="29"/>
    <col min="11777" max="11777" width="13.5703125" style="29" customWidth="1"/>
    <col min="11778" max="11778" width="54.7109375" style="29" customWidth="1"/>
    <col min="11779" max="11779" width="16.5703125" style="29" customWidth="1"/>
    <col min="11780" max="11780" width="15.7109375" style="29" customWidth="1"/>
    <col min="11781" max="11783" width="9.140625" style="29" customWidth="1"/>
    <col min="11784" max="12032" width="9.140625" style="29"/>
    <col min="12033" max="12033" width="13.5703125" style="29" customWidth="1"/>
    <col min="12034" max="12034" width="54.7109375" style="29" customWidth="1"/>
    <col min="12035" max="12035" width="16.5703125" style="29" customWidth="1"/>
    <col min="12036" max="12036" width="15.7109375" style="29" customWidth="1"/>
    <col min="12037" max="12039" width="9.140625" style="29" customWidth="1"/>
    <col min="12040" max="12288" width="9.140625" style="29"/>
    <col min="12289" max="12289" width="13.5703125" style="29" customWidth="1"/>
    <col min="12290" max="12290" width="54.7109375" style="29" customWidth="1"/>
    <col min="12291" max="12291" width="16.5703125" style="29" customWidth="1"/>
    <col min="12292" max="12292" width="15.7109375" style="29" customWidth="1"/>
    <col min="12293" max="12295" width="9.140625" style="29" customWidth="1"/>
    <col min="12296" max="12544" width="9.140625" style="29"/>
    <col min="12545" max="12545" width="13.5703125" style="29" customWidth="1"/>
    <col min="12546" max="12546" width="54.7109375" style="29" customWidth="1"/>
    <col min="12547" max="12547" width="16.5703125" style="29" customWidth="1"/>
    <col min="12548" max="12548" width="15.7109375" style="29" customWidth="1"/>
    <col min="12549" max="12551" width="9.140625" style="29" customWidth="1"/>
    <col min="12552" max="12800" width="9.140625" style="29"/>
    <col min="12801" max="12801" width="13.5703125" style="29" customWidth="1"/>
    <col min="12802" max="12802" width="54.7109375" style="29" customWidth="1"/>
    <col min="12803" max="12803" width="16.5703125" style="29" customWidth="1"/>
    <col min="12804" max="12804" width="15.7109375" style="29" customWidth="1"/>
    <col min="12805" max="12807" width="9.140625" style="29" customWidth="1"/>
    <col min="12808" max="13056" width="9.140625" style="29"/>
    <col min="13057" max="13057" width="13.5703125" style="29" customWidth="1"/>
    <col min="13058" max="13058" width="54.7109375" style="29" customWidth="1"/>
    <col min="13059" max="13059" width="16.5703125" style="29" customWidth="1"/>
    <col min="13060" max="13060" width="15.7109375" style="29" customWidth="1"/>
    <col min="13061" max="13063" width="9.140625" style="29" customWidth="1"/>
    <col min="13064" max="13312" width="9.140625" style="29"/>
    <col min="13313" max="13313" width="13.5703125" style="29" customWidth="1"/>
    <col min="13314" max="13314" width="54.7109375" style="29" customWidth="1"/>
    <col min="13315" max="13315" width="16.5703125" style="29" customWidth="1"/>
    <col min="13316" max="13316" width="15.7109375" style="29" customWidth="1"/>
    <col min="13317" max="13319" width="9.140625" style="29" customWidth="1"/>
    <col min="13320" max="13568" width="9.140625" style="29"/>
    <col min="13569" max="13569" width="13.5703125" style="29" customWidth="1"/>
    <col min="13570" max="13570" width="54.7109375" style="29" customWidth="1"/>
    <col min="13571" max="13571" width="16.5703125" style="29" customWidth="1"/>
    <col min="13572" max="13572" width="15.7109375" style="29" customWidth="1"/>
    <col min="13573" max="13575" width="9.140625" style="29" customWidth="1"/>
    <col min="13576" max="13824" width="9.140625" style="29"/>
    <col min="13825" max="13825" width="13.5703125" style="29" customWidth="1"/>
    <col min="13826" max="13826" width="54.7109375" style="29" customWidth="1"/>
    <col min="13827" max="13827" width="16.5703125" style="29" customWidth="1"/>
    <col min="13828" max="13828" width="15.7109375" style="29" customWidth="1"/>
    <col min="13829" max="13831" width="9.140625" style="29" customWidth="1"/>
    <col min="13832" max="14080" width="9.140625" style="29"/>
    <col min="14081" max="14081" width="13.5703125" style="29" customWidth="1"/>
    <col min="14082" max="14082" width="54.7109375" style="29" customWidth="1"/>
    <col min="14083" max="14083" width="16.5703125" style="29" customWidth="1"/>
    <col min="14084" max="14084" width="15.7109375" style="29" customWidth="1"/>
    <col min="14085" max="14087" width="9.140625" style="29" customWidth="1"/>
    <col min="14088" max="14336" width="9.140625" style="29"/>
    <col min="14337" max="14337" width="13.5703125" style="29" customWidth="1"/>
    <col min="14338" max="14338" width="54.7109375" style="29" customWidth="1"/>
    <col min="14339" max="14339" width="16.5703125" style="29" customWidth="1"/>
    <col min="14340" max="14340" width="15.7109375" style="29" customWidth="1"/>
    <col min="14341" max="14343" width="9.140625" style="29" customWidth="1"/>
    <col min="14344" max="14592" width="9.140625" style="29"/>
    <col min="14593" max="14593" width="13.5703125" style="29" customWidth="1"/>
    <col min="14594" max="14594" width="54.7109375" style="29" customWidth="1"/>
    <col min="14595" max="14595" width="16.5703125" style="29" customWidth="1"/>
    <col min="14596" max="14596" width="15.7109375" style="29" customWidth="1"/>
    <col min="14597" max="14599" width="9.140625" style="29" customWidth="1"/>
    <col min="14600" max="14848" width="9.140625" style="29"/>
    <col min="14849" max="14849" width="13.5703125" style="29" customWidth="1"/>
    <col min="14850" max="14850" width="54.7109375" style="29" customWidth="1"/>
    <col min="14851" max="14851" width="16.5703125" style="29" customWidth="1"/>
    <col min="14852" max="14852" width="15.7109375" style="29" customWidth="1"/>
    <col min="14853" max="14855" width="9.140625" style="29" customWidth="1"/>
    <col min="14856" max="15104" width="9.140625" style="29"/>
    <col min="15105" max="15105" width="13.5703125" style="29" customWidth="1"/>
    <col min="15106" max="15106" width="54.7109375" style="29" customWidth="1"/>
    <col min="15107" max="15107" width="16.5703125" style="29" customWidth="1"/>
    <col min="15108" max="15108" width="15.7109375" style="29" customWidth="1"/>
    <col min="15109" max="15111" width="9.140625" style="29" customWidth="1"/>
    <col min="15112" max="15360" width="9.140625" style="29"/>
    <col min="15361" max="15361" width="13.5703125" style="29" customWidth="1"/>
    <col min="15362" max="15362" width="54.7109375" style="29" customWidth="1"/>
    <col min="15363" max="15363" width="16.5703125" style="29" customWidth="1"/>
    <col min="15364" max="15364" width="15.7109375" style="29" customWidth="1"/>
    <col min="15365" max="15367" width="9.140625" style="29" customWidth="1"/>
    <col min="15368" max="15616" width="9.140625" style="29"/>
    <col min="15617" max="15617" width="13.5703125" style="29" customWidth="1"/>
    <col min="15618" max="15618" width="54.7109375" style="29" customWidth="1"/>
    <col min="15619" max="15619" width="16.5703125" style="29" customWidth="1"/>
    <col min="15620" max="15620" width="15.7109375" style="29" customWidth="1"/>
    <col min="15621" max="15623" width="9.140625" style="29" customWidth="1"/>
    <col min="15624" max="15872" width="9.140625" style="29"/>
    <col min="15873" max="15873" width="13.5703125" style="29" customWidth="1"/>
    <col min="15874" max="15874" width="54.7109375" style="29" customWidth="1"/>
    <col min="15875" max="15875" width="16.5703125" style="29" customWidth="1"/>
    <col min="15876" max="15876" width="15.7109375" style="29" customWidth="1"/>
    <col min="15877" max="15879" width="9.140625" style="29" customWidth="1"/>
    <col min="15880" max="16128" width="9.140625" style="29"/>
    <col min="16129" max="16129" width="13.5703125" style="29" customWidth="1"/>
    <col min="16130" max="16130" width="54.7109375" style="29" customWidth="1"/>
    <col min="16131" max="16131" width="16.5703125" style="29" customWidth="1"/>
    <col min="16132" max="16132" width="15.7109375" style="29" customWidth="1"/>
    <col min="16133" max="16135" width="9.140625" style="29" customWidth="1"/>
    <col min="16136" max="16384" width="9.140625" style="29"/>
  </cols>
  <sheetData>
    <row r="1" spans="1:256" s="30" customFormat="1" ht="19.5" x14ac:dyDescent="0.25">
      <c r="A1" s="680"/>
      <c r="B1" s="680"/>
      <c r="C1" s="680"/>
      <c r="D1" s="680"/>
      <c r="E1" s="28"/>
      <c r="F1" s="28"/>
      <c r="G1" s="28"/>
      <c r="H1" s="29"/>
    </row>
    <row r="2" spans="1:256" ht="92.25" customHeight="1" x14ac:dyDescent="0.25">
      <c r="B2" s="32"/>
      <c r="D2" s="31"/>
      <c r="E2" s="679"/>
      <c r="F2" s="679"/>
      <c r="G2" s="679"/>
      <c r="H2" s="679"/>
    </row>
    <row r="3" spans="1:256" ht="18" customHeight="1" x14ac:dyDescent="0.25">
      <c r="A3" s="681"/>
      <c r="B3" s="681"/>
      <c r="C3" s="681"/>
      <c r="D3" s="681"/>
    </row>
    <row r="4" spans="1:256" x14ac:dyDescent="0.25">
      <c r="A4" s="33"/>
      <c r="C4" s="35"/>
      <c r="D4" s="36"/>
      <c r="E4" s="37"/>
      <c r="F4" s="37"/>
      <c r="G4" s="37"/>
    </row>
    <row r="5" spans="1:256" ht="28.5" customHeight="1" x14ac:dyDescent="0.25">
      <c r="A5" s="682"/>
      <c r="B5" s="682"/>
      <c r="C5" s="682"/>
      <c r="D5" s="682"/>
      <c r="E5" s="37"/>
      <c r="F5" s="37"/>
      <c r="G5" s="37"/>
      <c r="I5" s="679"/>
      <c r="J5" s="679"/>
      <c r="K5" s="679"/>
      <c r="L5" s="679"/>
      <c r="M5" s="679"/>
      <c r="N5" s="679"/>
      <c r="O5" s="679"/>
      <c r="P5" s="679"/>
      <c r="Q5" s="679"/>
      <c r="R5" s="679"/>
      <c r="S5" s="679"/>
      <c r="T5" s="679"/>
      <c r="U5" s="679"/>
      <c r="V5" s="679"/>
      <c r="W5" s="679"/>
      <c r="X5" s="679"/>
      <c r="Y5" s="679"/>
      <c r="Z5" s="679"/>
      <c r="AA5" s="679"/>
      <c r="AB5" s="679"/>
      <c r="AC5" s="679"/>
      <c r="AD5" s="679"/>
      <c r="AE5" s="679"/>
      <c r="AF5" s="679"/>
      <c r="AG5" s="679"/>
      <c r="AH5" s="679"/>
      <c r="AI5" s="679"/>
      <c r="AJ5" s="679"/>
      <c r="AK5" s="679"/>
      <c r="AL5" s="679"/>
      <c r="AM5" s="679"/>
      <c r="AN5" s="679"/>
      <c r="AO5" s="679"/>
      <c r="AP5" s="679"/>
      <c r="AQ5" s="679"/>
      <c r="AR5" s="679"/>
      <c r="AS5" s="679"/>
      <c r="AT5" s="679"/>
      <c r="AU5" s="679"/>
      <c r="AV5" s="679"/>
      <c r="AW5" s="679"/>
      <c r="AX5" s="679"/>
      <c r="AY5" s="679"/>
      <c r="AZ5" s="679"/>
      <c r="BA5" s="679"/>
      <c r="BB5" s="679"/>
      <c r="BC5" s="679"/>
      <c r="BD5" s="679"/>
      <c r="BE5" s="679"/>
      <c r="BF5" s="679"/>
      <c r="BG5" s="679"/>
      <c r="BH5" s="679"/>
      <c r="BI5" s="679"/>
      <c r="BJ5" s="679"/>
      <c r="BK5" s="679"/>
      <c r="BL5" s="679"/>
      <c r="BM5" s="679"/>
      <c r="BN5" s="679"/>
      <c r="BO5" s="679"/>
      <c r="BP5" s="679"/>
      <c r="BQ5" s="679"/>
      <c r="BR5" s="679"/>
      <c r="BS5" s="679"/>
      <c r="BT5" s="679"/>
      <c r="BU5" s="679"/>
      <c r="BV5" s="679"/>
      <c r="BW5" s="679"/>
      <c r="BX5" s="679"/>
      <c r="BY5" s="679"/>
      <c r="BZ5" s="679"/>
      <c r="CA5" s="679"/>
      <c r="CB5" s="679"/>
      <c r="CC5" s="679"/>
      <c r="CD5" s="679"/>
      <c r="CE5" s="679"/>
      <c r="CF5" s="679"/>
      <c r="CG5" s="679"/>
      <c r="CH5" s="679"/>
      <c r="CI5" s="679"/>
      <c r="CJ5" s="679"/>
      <c r="CK5" s="679"/>
      <c r="CL5" s="679"/>
      <c r="CM5" s="679"/>
      <c r="CN5" s="679"/>
      <c r="CO5" s="679"/>
      <c r="CP5" s="679"/>
      <c r="CQ5" s="679"/>
      <c r="CR5" s="679"/>
      <c r="CS5" s="679"/>
      <c r="CT5" s="679"/>
      <c r="CU5" s="679"/>
      <c r="CV5" s="679"/>
      <c r="CW5" s="679"/>
      <c r="CX5" s="679"/>
      <c r="CY5" s="679"/>
      <c r="CZ5" s="679"/>
      <c r="DA5" s="679"/>
      <c r="DB5" s="679"/>
      <c r="DC5" s="679"/>
      <c r="DD5" s="679"/>
      <c r="DE5" s="679"/>
      <c r="DF5" s="679"/>
      <c r="DG5" s="679"/>
      <c r="DH5" s="679"/>
      <c r="DI5" s="679"/>
      <c r="DJ5" s="679"/>
      <c r="DK5" s="679"/>
      <c r="DL5" s="679"/>
      <c r="DM5" s="679"/>
      <c r="DN5" s="679"/>
      <c r="DO5" s="679"/>
      <c r="DP5" s="679"/>
      <c r="DQ5" s="679"/>
      <c r="DR5" s="679"/>
      <c r="DS5" s="679"/>
      <c r="DT5" s="679"/>
      <c r="DU5" s="679"/>
      <c r="DV5" s="679"/>
      <c r="DW5" s="679"/>
      <c r="DX5" s="679"/>
      <c r="DY5" s="679"/>
      <c r="DZ5" s="679"/>
      <c r="EA5" s="679"/>
      <c r="EB5" s="679"/>
      <c r="EC5" s="679"/>
      <c r="ED5" s="679"/>
      <c r="EE5" s="679"/>
      <c r="EF5" s="679"/>
      <c r="EG5" s="679"/>
      <c r="EH5" s="679"/>
      <c r="EI5" s="679"/>
      <c r="EJ5" s="679"/>
      <c r="EK5" s="679"/>
      <c r="EL5" s="679"/>
      <c r="EM5" s="679"/>
      <c r="EN5" s="679"/>
      <c r="EO5" s="679"/>
      <c r="EP5" s="679"/>
      <c r="EQ5" s="679"/>
      <c r="ER5" s="679"/>
      <c r="ES5" s="679"/>
      <c r="ET5" s="679"/>
      <c r="EU5" s="679"/>
      <c r="EV5" s="679"/>
      <c r="EW5" s="679"/>
      <c r="EX5" s="679"/>
      <c r="EY5" s="679"/>
      <c r="EZ5" s="679"/>
      <c r="FA5" s="679"/>
      <c r="FB5" s="679"/>
      <c r="FC5" s="679"/>
      <c r="FD5" s="679"/>
      <c r="FE5" s="679"/>
      <c r="FF5" s="679"/>
      <c r="FG5" s="679"/>
      <c r="FH5" s="679"/>
      <c r="FI5" s="679"/>
      <c r="FJ5" s="679"/>
      <c r="FK5" s="679"/>
      <c r="FL5" s="679"/>
      <c r="FM5" s="679"/>
      <c r="FN5" s="679"/>
      <c r="FO5" s="679"/>
      <c r="FP5" s="679"/>
      <c r="FQ5" s="679"/>
      <c r="FR5" s="679"/>
      <c r="FS5" s="679"/>
      <c r="FT5" s="679"/>
      <c r="FU5" s="679"/>
      <c r="FV5" s="679"/>
      <c r="FW5" s="679"/>
      <c r="FX5" s="679"/>
      <c r="FY5" s="679"/>
      <c r="FZ5" s="679"/>
      <c r="GA5" s="679"/>
      <c r="GB5" s="679"/>
      <c r="GC5" s="679"/>
      <c r="GD5" s="679"/>
      <c r="GE5" s="679"/>
      <c r="GF5" s="679"/>
      <c r="GG5" s="679"/>
      <c r="GH5" s="679"/>
      <c r="GI5" s="679"/>
      <c r="GJ5" s="679"/>
      <c r="GK5" s="679"/>
      <c r="GL5" s="679"/>
      <c r="GM5" s="679"/>
      <c r="GN5" s="679"/>
      <c r="GO5" s="679"/>
      <c r="GP5" s="679"/>
      <c r="GQ5" s="679"/>
      <c r="GR5" s="679"/>
      <c r="GS5" s="679"/>
      <c r="GT5" s="679"/>
      <c r="GU5" s="679"/>
      <c r="GV5" s="679"/>
      <c r="GW5" s="679"/>
      <c r="GX5" s="679"/>
      <c r="GY5" s="679"/>
      <c r="GZ5" s="679"/>
      <c r="HA5" s="679"/>
      <c r="HB5" s="679"/>
      <c r="HC5" s="679"/>
      <c r="HD5" s="679"/>
      <c r="HE5" s="679"/>
      <c r="HF5" s="679"/>
      <c r="HG5" s="679"/>
      <c r="HH5" s="679"/>
      <c r="HI5" s="679"/>
      <c r="HJ5" s="679"/>
      <c r="HK5" s="679"/>
      <c r="HL5" s="679"/>
      <c r="HM5" s="679"/>
      <c r="HN5" s="679"/>
      <c r="HO5" s="679"/>
      <c r="HP5" s="679"/>
      <c r="HQ5" s="679"/>
      <c r="HR5" s="679"/>
      <c r="HS5" s="679"/>
      <c r="HT5" s="679"/>
      <c r="HU5" s="679"/>
      <c r="HV5" s="679"/>
      <c r="HW5" s="679"/>
      <c r="HX5" s="679"/>
      <c r="HY5" s="679"/>
      <c r="HZ5" s="679"/>
      <c r="IA5" s="679"/>
      <c r="IB5" s="679"/>
      <c r="IC5" s="679"/>
      <c r="ID5" s="679"/>
      <c r="IE5" s="679"/>
      <c r="IF5" s="679"/>
      <c r="IG5" s="679"/>
      <c r="IH5" s="679"/>
      <c r="II5" s="679"/>
      <c r="IJ5" s="679"/>
      <c r="IK5" s="679"/>
      <c r="IL5" s="679"/>
      <c r="IM5" s="679"/>
      <c r="IN5" s="679"/>
      <c r="IO5" s="679"/>
      <c r="IP5" s="679"/>
      <c r="IQ5" s="679"/>
      <c r="IR5" s="679"/>
      <c r="IS5" s="679"/>
      <c r="IT5" s="679"/>
      <c r="IU5" s="679"/>
      <c r="IV5" s="679"/>
    </row>
    <row r="6" spans="1:256" x14ac:dyDescent="0.25">
      <c r="D6" s="38"/>
      <c r="E6" s="37"/>
      <c r="F6" s="37"/>
      <c r="G6" s="37"/>
    </row>
    <row r="7" spans="1:256" ht="15" customHeight="1" x14ac:dyDescent="0.25">
      <c r="A7" s="676"/>
      <c r="B7" s="677"/>
      <c r="C7" s="677"/>
      <c r="D7" s="677"/>
    </row>
    <row r="8" spans="1:256" x14ac:dyDescent="0.25">
      <c r="A8" s="676"/>
      <c r="B8" s="677"/>
      <c r="C8" s="105"/>
      <c r="D8" s="105"/>
    </row>
    <row r="9" spans="1:256" x14ac:dyDescent="0.25">
      <c r="A9" s="104"/>
      <c r="B9" s="39"/>
      <c r="C9" s="37"/>
      <c r="D9" s="37"/>
      <c r="E9" s="40"/>
      <c r="F9" s="40"/>
      <c r="G9" s="40"/>
    </row>
    <row r="10" spans="1:256" x14ac:dyDescent="0.25">
      <c r="C10" s="41"/>
      <c r="D10" s="41"/>
    </row>
    <row r="11" spans="1:256" x14ac:dyDescent="0.25">
      <c r="C11" s="41"/>
      <c r="D11" s="41"/>
    </row>
    <row r="12" spans="1:256" x14ac:dyDescent="0.25">
      <c r="A12" s="42"/>
      <c r="C12" s="43"/>
      <c r="D12" s="43"/>
    </row>
    <row r="13" spans="1:256" x14ac:dyDescent="0.25">
      <c r="C13" s="41"/>
      <c r="D13" s="41"/>
    </row>
    <row r="14" spans="1:256" x14ac:dyDescent="0.25">
      <c r="C14" s="41"/>
      <c r="D14" s="41"/>
    </row>
    <row r="15" spans="1:256" x14ac:dyDescent="0.25">
      <c r="C15" s="41"/>
      <c r="D15" s="41"/>
    </row>
    <row r="16" spans="1:256" x14ac:dyDescent="0.25">
      <c r="C16" s="41"/>
      <c r="D16" s="41"/>
      <c r="E16" s="37"/>
      <c r="F16" s="37"/>
      <c r="G16" s="37"/>
    </row>
    <row r="17" spans="1:7" x14ac:dyDescent="0.25">
      <c r="C17" s="41"/>
      <c r="D17" s="41"/>
    </row>
    <row r="18" spans="1:7" x14ac:dyDescent="0.25">
      <c r="C18" s="41"/>
      <c r="D18" s="41"/>
      <c r="E18" s="37"/>
      <c r="F18" s="37"/>
      <c r="G18" s="37"/>
    </row>
    <row r="19" spans="1:7" x14ac:dyDescent="0.25">
      <c r="A19" s="104"/>
      <c r="B19" s="39"/>
      <c r="C19" s="44"/>
      <c r="D19" s="44"/>
      <c r="G19" s="29"/>
    </row>
    <row r="20" spans="1:7" x14ac:dyDescent="0.25">
      <c r="C20" s="41"/>
      <c r="D20" s="41"/>
      <c r="G20" s="29"/>
    </row>
    <row r="21" spans="1:7" x14ac:dyDescent="0.25">
      <c r="A21" s="104"/>
      <c r="B21" s="39"/>
      <c r="C21" s="44"/>
      <c r="D21" s="44"/>
      <c r="G21" s="29"/>
    </row>
    <row r="22" spans="1:7" x14ac:dyDescent="0.25">
      <c r="B22" s="28"/>
      <c r="C22" s="41"/>
      <c r="D22" s="41"/>
      <c r="G22" s="29"/>
    </row>
    <row r="23" spans="1:7" x14ac:dyDescent="0.25">
      <c r="B23" s="28"/>
      <c r="C23" s="41"/>
      <c r="D23" s="41"/>
      <c r="G23" s="29"/>
    </row>
    <row r="24" spans="1:7" x14ac:dyDescent="0.25">
      <c r="B24" s="28"/>
      <c r="C24" s="41"/>
      <c r="D24" s="41"/>
      <c r="G24" s="29"/>
    </row>
    <row r="25" spans="1:7" x14ac:dyDescent="0.25">
      <c r="B25" s="28"/>
      <c r="C25" s="41"/>
      <c r="D25" s="41"/>
      <c r="G25" s="29"/>
    </row>
    <row r="26" spans="1:7" x14ac:dyDescent="0.25">
      <c r="B26" s="28"/>
      <c r="C26" s="41"/>
      <c r="D26" s="41"/>
      <c r="G26" s="29"/>
    </row>
    <row r="27" spans="1:7" x14ac:dyDescent="0.25">
      <c r="B27" s="28"/>
      <c r="C27" s="41"/>
      <c r="D27" s="41"/>
      <c r="G27" s="29"/>
    </row>
    <row r="28" spans="1:7" x14ac:dyDescent="0.25">
      <c r="B28" s="28"/>
      <c r="C28" s="41"/>
      <c r="D28" s="41"/>
      <c r="G28" s="29"/>
    </row>
    <row r="29" spans="1:7" x14ac:dyDescent="0.25">
      <c r="B29" s="28"/>
      <c r="C29" s="41"/>
      <c r="D29" s="41"/>
      <c r="E29" s="37"/>
      <c r="F29" s="37"/>
      <c r="G29" s="37"/>
    </row>
    <row r="30" spans="1:7" x14ac:dyDescent="0.25">
      <c r="B30" s="28"/>
      <c r="C30" s="41"/>
      <c r="D30" s="41"/>
    </row>
    <row r="31" spans="1:7" x14ac:dyDescent="0.25">
      <c r="B31" s="28"/>
      <c r="C31" s="41"/>
      <c r="D31" s="41"/>
      <c r="E31" s="37"/>
      <c r="F31" s="37"/>
      <c r="G31" s="37"/>
    </row>
    <row r="32" spans="1:7" x14ac:dyDescent="0.25">
      <c r="A32" s="104"/>
      <c r="B32" s="39"/>
      <c r="C32" s="44"/>
      <c r="D32" s="44"/>
    </row>
    <row r="33" spans="1:7" x14ac:dyDescent="0.25">
      <c r="C33" s="41"/>
      <c r="D33" s="41"/>
    </row>
    <row r="34" spans="1:7" x14ac:dyDescent="0.25">
      <c r="A34" s="104"/>
      <c r="B34" s="39"/>
      <c r="C34" s="44"/>
      <c r="D34" s="44"/>
    </row>
    <row r="35" spans="1:7" x14ac:dyDescent="0.25">
      <c r="C35" s="41"/>
      <c r="D35" s="41"/>
    </row>
    <row r="36" spans="1:7" x14ac:dyDescent="0.25">
      <c r="C36" s="41"/>
      <c r="D36" s="41"/>
    </row>
    <row r="37" spans="1:7" x14ac:dyDescent="0.25">
      <c r="C37" s="41"/>
      <c r="D37" s="41"/>
      <c r="E37" s="37"/>
      <c r="F37" s="37"/>
      <c r="G37" s="37"/>
    </row>
    <row r="38" spans="1:7" x14ac:dyDescent="0.25">
      <c r="C38" s="41"/>
      <c r="D38" s="41"/>
    </row>
    <row r="39" spans="1:7" x14ac:dyDescent="0.25">
      <c r="C39" s="41"/>
      <c r="D39" s="41"/>
      <c r="E39" s="37"/>
      <c r="F39" s="37"/>
      <c r="G39" s="37"/>
    </row>
    <row r="40" spans="1:7" x14ac:dyDescent="0.25">
      <c r="A40" s="104"/>
      <c r="B40" s="39"/>
      <c r="C40" s="44"/>
      <c r="D40" s="44"/>
    </row>
    <row r="41" spans="1:7" x14ac:dyDescent="0.25">
      <c r="C41" s="41"/>
      <c r="D41" s="41"/>
    </row>
    <row r="42" spans="1:7" x14ac:dyDescent="0.25">
      <c r="A42" s="104"/>
      <c r="B42" s="39"/>
      <c r="C42" s="44"/>
      <c r="D42" s="44"/>
      <c r="E42" s="37"/>
      <c r="F42" s="37"/>
      <c r="G42" s="37"/>
    </row>
    <row r="43" spans="1:7" x14ac:dyDescent="0.25">
      <c r="B43" s="28"/>
      <c r="C43" s="41"/>
      <c r="D43" s="41"/>
    </row>
    <row r="44" spans="1:7" x14ac:dyDescent="0.25">
      <c r="C44" s="41"/>
      <c r="D44" s="41"/>
      <c r="E44" s="37"/>
      <c r="F44" s="37"/>
      <c r="G44" s="37"/>
    </row>
    <row r="45" spans="1:7" x14ac:dyDescent="0.25">
      <c r="A45" s="104"/>
      <c r="B45" s="39"/>
      <c r="C45" s="44"/>
      <c r="D45" s="44"/>
    </row>
    <row r="46" spans="1:7" x14ac:dyDescent="0.25">
      <c r="C46" s="41"/>
      <c r="D46" s="41"/>
      <c r="E46" s="37"/>
      <c r="F46" s="37"/>
      <c r="G46" s="37"/>
    </row>
    <row r="47" spans="1:7" x14ac:dyDescent="0.25">
      <c r="A47" s="104"/>
      <c r="B47" s="39"/>
      <c r="C47" s="44"/>
      <c r="D47" s="44"/>
    </row>
    <row r="48" spans="1:7" x14ac:dyDescent="0.25">
      <c r="C48" s="41"/>
      <c r="D48" s="41"/>
      <c r="E48" s="37"/>
      <c r="F48" s="37"/>
      <c r="G48" s="37"/>
    </row>
    <row r="49" spans="1:256" x14ac:dyDescent="0.25">
      <c r="A49" s="104"/>
      <c r="B49" s="39"/>
      <c r="C49" s="44"/>
      <c r="D49" s="44"/>
      <c r="E49" s="45"/>
    </row>
    <row r="50" spans="1:256" x14ac:dyDescent="0.25">
      <c r="C50" s="41"/>
      <c r="D50" s="41"/>
      <c r="E50" s="45"/>
    </row>
    <row r="51" spans="1:256" x14ac:dyDescent="0.25">
      <c r="A51" s="104"/>
      <c r="B51" s="105"/>
      <c r="C51" s="44"/>
      <c r="D51" s="44"/>
      <c r="E51" s="45"/>
    </row>
    <row r="52" spans="1:256" x14ac:dyDescent="0.25">
      <c r="E52" s="45"/>
    </row>
    <row r="53" spans="1:256" ht="15.75" customHeight="1" x14ac:dyDescent="0.25">
      <c r="A53" s="46"/>
      <c r="B53" s="678"/>
      <c r="C53" s="678"/>
      <c r="D53" s="678"/>
      <c r="E53" s="45"/>
    </row>
    <row r="54" spans="1:256" x14ac:dyDescent="0.25">
      <c r="A54" s="47"/>
      <c r="B54" s="48"/>
      <c r="C54" s="45"/>
      <c r="D54" s="45"/>
      <c r="E54" s="45"/>
    </row>
    <row r="55" spans="1:256" x14ac:dyDescent="0.25">
      <c r="A55" s="47"/>
      <c r="B55" s="48"/>
      <c r="C55" s="45"/>
      <c r="D55" s="45"/>
    </row>
    <row r="56" spans="1:256" s="28" customFormat="1" x14ac:dyDescent="0.25">
      <c r="A56" s="47"/>
      <c r="B56" s="48"/>
      <c r="C56" s="45"/>
      <c r="D56" s="45"/>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c r="AY56" s="29"/>
      <c r="AZ56" s="29"/>
      <c r="BA56" s="29"/>
      <c r="BB56" s="29"/>
      <c r="BC56" s="29"/>
      <c r="BD56" s="29"/>
      <c r="BE56" s="29"/>
      <c r="BF56" s="29"/>
      <c r="BG56" s="29"/>
      <c r="BH56" s="29"/>
      <c r="BI56" s="29"/>
      <c r="BJ56" s="29"/>
      <c r="BK56" s="29"/>
      <c r="BL56" s="29"/>
      <c r="BM56" s="29"/>
      <c r="BN56" s="29"/>
      <c r="BO56" s="29"/>
      <c r="BP56" s="29"/>
      <c r="BQ56" s="29"/>
      <c r="BR56" s="29"/>
      <c r="BS56" s="29"/>
      <c r="BT56" s="29"/>
      <c r="BU56" s="29"/>
      <c r="BV56" s="29"/>
      <c r="BW56" s="29"/>
      <c r="BX56" s="29"/>
      <c r="BY56" s="29"/>
      <c r="BZ56" s="29"/>
      <c r="CA56" s="29"/>
      <c r="CB56" s="29"/>
      <c r="CC56" s="29"/>
      <c r="CD56" s="29"/>
      <c r="CE56" s="29"/>
      <c r="CF56" s="29"/>
      <c r="CG56" s="29"/>
      <c r="CH56" s="29"/>
      <c r="CI56" s="29"/>
      <c r="CJ56" s="29"/>
      <c r="CK56" s="29"/>
      <c r="CL56" s="29"/>
      <c r="CM56" s="29"/>
      <c r="CN56" s="29"/>
      <c r="CO56" s="29"/>
      <c r="CP56" s="29"/>
      <c r="CQ56" s="29"/>
      <c r="CR56" s="29"/>
      <c r="CS56" s="29"/>
      <c r="CT56" s="29"/>
      <c r="CU56" s="29"/>
      <c r="CV56" s="29"/>
      <c r="CW56" s="29"/>
      <c r="CX56" s="29"/>
      <c r="CY56" s="29"/>
      <c r="CZ56" s="29"/>
      <c r="DA56" s="29"/>
      <c r="DB56" s="29"/>
      <c r="DC56" s="29"/>
      <c r="DD56" s="29"/>
      <c r="DE56" s="29"/>
      <c r="DF56" s="29"/>
      <c r="DG56" s="29"/>
      <c r="DH56" s="29"/>
      <c r="DI56" s="29"/>
      <c r="DJ56" s="29"/>
      <c r="DK56" s="29"/>
      <c r="DL56" s="29"/>
      <c r="DM56" s="29"/>
      <c r="DN56" s="29"/>
      <c r="DO56" s="29"/>
      <c r="DP56" s="29"/>
      <c r="DQ56" s="29"/>
      <c r="DR56" s="29"/>
      <c r="DS56" s="29"/>
      <c r="DT56" s="29"/>
      <c r="DU56" s="29"/>
      <c r="DV56" s="29"/>
      <c r="DW56" s="29"/>
      <c r="DX56" s="29"/>
      <c r="DY56" s="29"/>
      <c r="DZ56" s="29"/>
      <c r="EA56" s="29"/>
      <c r="EB56" s="29"/>
      <c r="EC56" s="29"/>
      <c r="ED56" s="29"/>
      <c r="EE56" s="29"/>
      <c r="EF56" s="29"/>
      <c r="EG56" s="29"/>
      <c r="EH56" s="29"/>
      <c r="EI56" s="29"/>
      <c r="EJ56" s="29"/>
      <c r="EK56" s="29"/>
      <c r="EL56" s="29"/>
      <c r="EM56" s="29"/>
      <c r="EN56" s="29"/>
      <c r="EO56" s="29"/>
      <c r="EP56" s="29"/>
      <c r="EQ56" s="29"/>
      <c r="ER56" s="29"/>
      <c r="ES56" s="29"/>
      <c r="ET56" s="29"/>
      <c r="EU56" s="29"/>
      <c r="EV56" s="29"/>
      <c r="EW56" s="29"/>
      <c r="EX56" s="29"/>
      <c r="EY56" s="29"/>
      <c r="EZ56" s="29"/>
      <c r="FA56" s="29"/>
      <c r="FB56" s="29"/>
      <c r="FC56" s="29"/>
      <c r="FD56" s="29"/>
      <c r="FE56" s="29"/>
      <c r="FF56" s="29"/>
      <c r="FG56" s="29"/>
      <c r="FH56" s="29"/>
      <c r="FI56" s="29"/>
      <c r="FJ56" s="29"/>
      <c r="FK56" s="29"/>
      <c r="FL56" s="29"/>
      <c r="FM56" s="29"/>
      <c r="FN56" s="29"/>
      <c r="FO56" s="29"/>
      <c r="FP56" s="29"/>
      <c r="FQ56" s="29"/>
      <c r="FR56" s="29"/>
      <c r="FS56" s="29"/>
      <c r="FT56" s="29"/>
      <c r="FU56" s="29"/>
      <c r="FV56" s="29"/>
      <c r="FW56" s="29"/>
      <c r="FX56" s="29"/>
      <c r="FY56" s="29"/>
      <c r="FZ56" s="29"/>
      <c r="GA56" s="29"/>
      <c r="GB56" s="29"/>
      <c r="GC56" s="29"/>
      <c r="GD56" s="29"/>
      <c r="GE56" s="29"/>
      <c r="GF56" s="29"/>
      <c r="GG56" s="29"/>
      <c r="GH56" s="29"/>
      <c r="GI56" s="29"/>
      <c r="GJ56" s="29"/>
      <c r="GK56" s="29"/>
      <c r="GL56" s="29"/>
      <c r="GM56" s="29"/>
      <c r="GN56" s="29"/>
      <c r="GO56" s="29"/>
      <c r="GP56" s="29"/>
      <c r="GQ56" s="29"/>
      <c r="GR56" s="29"/>
      <c r="GS56" s="29"/>
      <c r="GT56" s="29"/>
      <c r="GU56" s="29"/>
      <c r="GV56" s="29"/>
      <c r="GW56" s="29"/>
      <c r="GX56" s="29"/>
      <c r="GY56" s="29"/>
      <c r="GZ56" s="29"/>
      <c r="HA56" s="29"/>
      <c r="HB56" s="29"/>
      <c r="HC56" s="29"/>
      <c r="HD56" s="29"/>
      <c r="HE56" s="29"/>
      <c r="HF56" s="29"/>
      <c r="HG56" s="29"/>
      <c r="HH56" s="29"/>
      <c r="HI56" s="29"/>
      <c r="HJ56" s="29"/>
      <c r="HK56" s="29"/>
      <c r="HL56" s="29"/>
      <c r="HM56" s="29"/>
      <c r="HN56" s="29"/>
      <c r="HO56" s="29"/>
      <c r="HP56" s="29"/>
      <c r="HQ56" s="29"/>
      <c r="HR56" s="29"/>
      <c r="HS56" s="29"/>
      <c r="HT56" s="29"/>
      <c r="HU56" s="29"/>
      <c r="HV56" s="29"/>
      <c r="HW56" s="29"/>
      <c r="HX56" s="29"/>
      <c r="HY56" s="29"/>
      <c r="HZ56" s="29"/>
      <c r="IA56" s="29"/>
      <c r="IB56" s="29"/>
      <c r="IC56" s="29"/>
      <c r="ID56" s="29"/>
      <c r="IE56" s="29"/>
      <c r="IF56" s="29"/>
      <c r="IG56" s="29"/>
      <c r="IH56" s="29"/>
      <c r="II56" s="29"/>
      <c r="IJ56" s="29"/>
      <c r="IK56" s="29"/>
      <c r="IL56" s="29"/>
      <c r="IM56" s="29"/>
      <c r="IN56" s="29"/>
      <c r="IO56" s="29"/>
      <c r="IP56" s="29"/>
      <c r="IQ56" s="29"/>
      <c r="IR56" s="29"/>
      <c r="IS56" s="29"/>
      <c r="IT56" s="29"/>
      <c r="IU56" s="29"/>
      <c r="IV56" s="29"/>
    </row>
    <row r="57" spans="1:256" s="28" customFormat="1" x14ac:dyDescent="0.25">
      <c r="A57" s="47"/>
      <c r="B57" s="48"/>
      <c r="C57" s="45"/>
      <c r="D57" s="45"/>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c r="BP57" s="29"/>
      <c r="BQ57" s="29"/>
      <c r="BR57" s="29"/>
      <c r="BS57" s="29"/>
      <c r="BT57" s="29"/>
      <c r="BU57" s="29"/>
      <c r="BV57" s="29"/>
      <c r="BW57" s="29"/>
      <c r="BX57" s="29"/>
      <c r="BY57" s="29"/>
      <c r="BZ57" s="29"/>
      <c r="CA57" s="29"/>
      <c r="CB57" s="29"/>
      <c r="CC57" s="29"/>
      <c r="CD57" s="29"/>
      <c r="CE57" s="29"/>
      <c r="CF57" s="29"/>
      <c r="CG57" s="29"/>
      <c r="CH57" s="29"/>
      <c r="CI57" s="29"/>
      <c r="CJ57" s="29"/>
      <c r="CK57" s="29"/>
      <c r="CL57" s="29"/>
      <c r="CM57" s="29"/>
      <c r="CN57" s="29"/>
      <c r="CO57" s="29"/>
      <c r="CP57" s="29"/>
      <c r="CQ57" s="29"/>
      <c r="CR57" s="29"/>
      <c r="CS57" s="29"/>
      <c r="CT57" s="29"/>
      <c r="CU57" s="29"/>
      <c r="CV57" s="29"/>
      <c r="CW57" s="29"/>
      <c r="CX57" s="29"/>
      <c r="CY57" s="29"/>
      <c r="CZ57" s="29"/>
      <c r="DA57" s="29"/>
      <c r="DB57" s="29"/>
      <c r="DC57" s="29"/>
      <c r="DD57" s="29"/>
      <c r="DE57" s="29"/>
      <c r="DF57" s="29"/>
      <c r="DG57" s="29"/>
      <c r="DH57" s="29"/>
      <c r="DI57" s="29"/>
      <c r="DJ57" s="29"/>
      <c r="DK57" s="29"/>
      <c r="DL57" s="29"/>
      <c r="DM57" s="29"/>
      <c r="DN57" s="29"/>
      <c r="DO57" s="29"/>
      <c r="DP57" s="29"/>
      <c r="DQ57" s="29"/>
      <c r="DR57" s="29"/>
      <c r="DS57" s="29"/>
      <c r="DT57" s="29"/>
      <c r="DU57" s="29"/>
      <c r="DV57" s="29"/>
      <c r="DW57" s="29"/>
      <c r="DX57" s="29"/>
      <c r="DY57" s="29"/>
      <c r="DZ57" s="29"/>
      <c r="EA57" s="29"/>
      <c r="EB57" s="29"/>
      <c r="EC57" s="29"/>
      <c r="ED57" s="29"/>
      <c r="EE57" s="29"/>
      <c r="EF57" s="29"/>
      <c r="EG57" s="29"/>
      <c r="EH57" s="29"/>
      <c r="EI57" s="29"/>
      <c r="EJ57" s="29"/>
      <c r="EK57" s="29"/>
      <c r="EL57" s="29"/>
      <c r="EM57" s="29"/>
      <c r="EN57" s="29"/>
      <c r="EO57" s="29"/>
      <c r="EP57" s="29"/>
      <c r="EQ57" s="29"/>
      <c r="ER57" s="29"/>
      <c r="ES57" s="29"/>
      <c r="ET57" s="29"/>
      <c r="EU57" s="29"/>
      <c r="EV57" s="29"/>
      <c r="EW57" s="29"/>
      <c r="EX57" s="29"/>
      <c r="EY57" s="29"/>
      <c r="EZ57" s="29"/>
      <c r="FA57" s="29"/>
      <c r="FB57" s="29"/>
      <c r="FC57" s="29"/>
      <c r="FD57" s="29"/>
      <c r="FE57" s="29"/>
      <c r="FF57" s="29"/>
      <c r="FG57" s="29"/>
      <c r="FH57" s="29"/>
      <c r="FI57" s="29"/>
      <c r="FJ57" s="29"/>
      <c r="FK57" s="29"/>
      <c r="FL57" s="29"/>
      <c r="FM57" s="29"/>
      <c r="FN57" s="29"/>
      <c r="FO57" s="29"/>
      <c r="FP57" s="29"/>
      <c r="FQ57" s="29"/>
      <c r="FR57" s="29"/>
      <c r="FS57" s="29"/>
      <c r="FT57" s="29"/>
      <c r="FU57" s="29"/>
      <c r="FV57" s="29"/>
      <c r="FW57" s="29"/>
      <c r="FX57" s="29"/>
      <c r="FY57" s="29"/>
      <c r="FZ57" s="29"/>
      <c r="GA57" s="29"/>
      <c r="GB57" s="29"/>
      <c r="GC57" s="29"/>
      <c r="GD57" s="29"/>
      <c r="GE57" s="29"/>
      <c r="GF57" s="29"/>
      <c r="GG57" s="29"/>
      <c r="GH57" s="29"/>
      <c r="GI57" s="29"/>
      <c r="GJ57" s="29"/>
      <c r="GK57" s="29"/>
      <c r="GL57" s="29"/>
      <c r="GM57" s="29"/>
      <c r="GN57" s="29"/>
      <c r="GO57" s="29"/>
      <c r="GP57" s="29"/>
      <c r="GQ57" s="29"/>
      <c r="GR57" s="29"/>
      <c r="GS57" s="29"/>
      <c r="GT57" s="29"/>
      <c r="GU57" s="29"/>
      <c r="GV57" s="29"/>
      <c r="GW57" s="29"/>
      <c r="GX57" s="29"/>
      <c r="GY57" s="29"/>
      <c r="GZ57" s="29"/>
      <c r="HA57" s="29"/>
      <c r="HB57" s="29"/>
      <c r="HC57" s="29"/>
      <c r="HD57" s="29"/>
      <c r="HE57" s="29"/>
      <c r="HF57" s="29"/>
      <c r="HG57" s="29"/>
      <c r="HH57" s="29"/>
      <c r="HI57" s="29"/>
      <c r="HJ57" s="29"/>
      <c r="HK57" s="29"/>
      <c r="HL57" s="29"/>
      <c r="HM57" s="29"/>
      <c r="HN57" s="29"/>
      <c r="HO57" s="29"/>
      <c r="HP57" s="29"/>
      <c r="HQ57" s="29"/>
      <c r="HR57" s="29"/>
      <c r="HS57" s="29"/>
      <c r="HT57" s="29"/>
      <c r="HU57" s="29"/>
      <c r="HV57" s="29"/>
      <c r="HW57" s="29"/>
      <c r="HX57" s="29"/>
      <c r="HY57" s="29"/>
      <c r="HZ57" s="29"/>
      <c r="IA57" s="29"/>
      <c r="IB57" s="29"/>
      <c r="IC57" s="29"/>
      <c r="ID57" s="29"/>
      <c r="IE57" s="29"/>
      <c r="IF57" s="29"/>
      <c r="IG57" s="29"/>
      <c r="IH57" s="29"/>
      <c r="II57" s="29"/>
      <c r="IJ57" s="29"/>
      <c r="IK57" s="29"/>
      <c r="IL57" s="29"/>
      <c r="IM57" s="29"/>
      <c r="IN57" s="29"/>
      <c r="IO57" s="29"/>
      <c r="IP57" s="29"/>
      <c r="IQ57" s="29"/>
      <c r="IR57" s="29"/>
      <c r="IS57" s="29"/>
      <c r="IT57" s="29"/>
      <c r="IU57" s="29"/>
      <c r="IV57" s="29"/>
    </row>
  </sheetData>
  <mergeCells count="70">
    <mergeCell ref="M5:P5"/>
    <mergeCell ref="A1:D1"/>
    <mergeCell ref="E2:H2"/>
    <mergeCell ref="A3:D3"/>
    <mergeCell ref="A5:D5"/>
    <mergeCell ref="I5:L5"/>
    <mergeCell ref="BI5:BL5"/>
    <mergeCell ref="Q5:T5"/>
    <mergeCell ref="U5:X5"/>
    <mergeCell ref="Y5:AB5"/>
    <mergeCell ref="AC5:AF5"/>
    <mergeCell ref="AG5:AJ5"/>
    <mergeCell ref="AK5:AN5"/>
    <mergeCell ref="AO5:AR5"/>
    <mergeCell ref="AS5:AV5"/>
    <mergeCell ref="AW5:AZ5"/>
    <mergeCell ref="BA5:BD5"/>
    <mergeCell ref="BE5:BH5"/>
    <mergeCell ref="DE5:DH5"/>
    <mergeCell ref="BM5:BP5"/>
    <mergeCell ref="BQ5:BT5"/>
    <mergeCell ref="BU5:BX5"/>
    <mergeCell ref="BY5:CB5"/>
    <mergeCell ref="CC5:CF5"/>
    <mergeCell ref="CG5:CJ5"/>
    <mergeCell ref="CK5:CN5"/>
    <mergeCell ref="CO5:CR5"/>
    <mergeCell ref="CS5:CV5"/>
    <mergeCell ref="CW5:CZ5"/>
    <mergeCell ref="DA5:DD5"/>
    <mergeCell ref="FA5:FD5"/>
    <mergeCell ref="DI5:DL5"/>
    <mergeCell ref="DM5:DP5"/>
    <mergeCell ref="DQ5:DT5"/>
    <mergeCell ref="DU5:DX5"/>
    <mergeCell ref="DY5:EB5"/>
    <mergeCell ref="EC5:EF5"/>
    <mergeCell ref="EG5:EJ5"/>
    <mergeCell ref="EK5:EN5"/>
    <mergeCell ref="EO5:ER5"/>
    <mergeCell ref="ES5:EV5"/>
    <mergeCell ref="EW5:EZ5"/>
    <mergeCell ref="GW5:GZ5"/>
    <mergeCell ref="FE5:FH5"/>
    <mergeCell ref="FI5:FL5"/>
    <mergeCell ref="FM5:FP5"/>
    <mergeCell ref="FQ5:FT5"/>
    <mergeCell ref="FU5:FX5"/>
    <mergeCell ref="FY5:GB5"/>
    <mergeCell ref="IC5:IF5"/>
    <mergeCell ref="IG5:IJ5"/>
    <mergeCell ref="IK5:IN5"/>
    <mergeCell ref="IO5:IR5"/>
    <mergeCell ref="IS5:IV5"/>
    <mergeCell ref="A7:A8"/>
    <mergeCell ref="B7:B8"/>
    <mergeCell ref="C7:D7"/>
    <mergeCell ref="B53:D53"/>
    <mergeCell ref="HY5:IB5"/>
    <mergeCell ref="HA5:HD5"/>
    <mergeCell ref="HE5:HH5"/>
    <mergeCell ref="HI5:HL5"/>
    <mergeCell ref="HM5:HP5"/>
    <mergeCell ref="HQ5:HT5"/>
    <mergeCell ref="HU5:HX5"/>
    <mergeCell ref="GC5:GF5"/>
    <mergeCell ref="GG5:GJ5"/>
    <mergeCell ref="GK5:GN5"/>
    <mergeCell ref="GO5:GR5"/>
    <mergeCell ref="GS5:GV5"/>
  </mergeCells>
  <printOptions horizontalCentered="1" verticalCentered="1"/>
  <pageMargins left="0.78740157480314965" right="0.78740157480314965" top="0.39370078740157483" bottom="0.39370078740157483" header="0.19685039370078741" footer="0.19685039370078741"/>
  <pageSetup paperSize="9" scale="84" orientation="portrait" r:id="rId1"/>
  <headerFooter>
    <oddHeader>&amp;C&amp;F</oddHeader>
    <oddFooter>Página &amp;P de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IV201"/>
  <sheetViews>
    <sheetView view="pageBreakPreview" topLeftCell="A165" zoomScaleNormal="100" zoomScaleSheetLayoutView="100" workbookViewId="0">
      <selection activeCell="H189" sqref="H189"/>
    </sheetView>
  </sheetViews>
  <sheetFormatPr defaultRowHeight="15" x14ac:dyDescent="0.25"/>
  <cols>
    <col min="1" max="1" width="10.42578125" style="142" customWidth="1"/>
    <col min="2" max="6" width="20" style="142" customWidth="1"/>
    <col min="7" max="7" width="16.42578125" style="142" customWidth="1"/>
    <col min="8" max="8" width="16.85546875" style="142" customWidth="1"/>
    <col min="9" max="9" width="10.5703125" style="142" bestFit="1" customWidth="1"/>
    <col min="10" max="255" width="9.140625" style="142"/>
    <col min="256" max="256" width="14.140625" style="142" customWidth="1"/>
    <col min="257" max="258" width="9.140625" style="142"/>
    <col min="259" max="259" width="9.5703125" style="142" customWidth="1"/>
    <col min="260" max="260" width="17" style="142" customWidth="1"/>
    <col min="261" max="261" width="15.85546875" style="142" bestFit="1" customWidth="1"/>
    <col min="262" max="262" width="14.28515625" style="142" bestFit="1" customWidth="1"/>
    <col min="263" max="263" width="14.28515625" style="142" customWidth="1"/>
    <col min="264" max="511" width="9.140625" style="142"/>
    <col min="512" max="512" width="14.140625" style="142" customWidth="1"/>
    <col min="513" max="514" width="9.140625" style="142"/>
    <col min="515" max="515" width="9.5703125" style="142" customWidth="1"/>
    <col min="516" max="516" width="17" style="142" customWidth="1"/>
    <col min="517" max="517" width="15.85546875" style="142" bestFit="1" customWidth="1"/>
    <col min="518" max="518" width="14.28515625" style="142" bestFit="1" customWidth="1"/>
    <col min="519" max="519" width="14.28515625" style="142" customWidth="1"/>
    <col min="520" max="767" width="9.140625" style="142"/>
    <col min="768" max="768" width="14.140625" style="142" customWidth="1"/>
    <col min="769" max="770" width="9.140625" style="142"/>
    <col min="771" max="771" width="9.5703125" style="142" customWidth="1"/>
    <col min="772" max="772" width="17" style="142" customWidth="1"/>
    <col min="773" max="773" width="15.85546875" style="142" bestFit="1" customWidth="1"/>
    <col min="774" max="774" width="14.28515625" style="142" bestFit="1" customWidth="1"/>
    <col min="775" max="775" width="14.28515625" style="142" customWidth="1"/>
    <col min="776" max="1023" width="9.140625" style="142"/>
    <col min="1024" max="1024" width="14.140625" style="142" customWidth="1"/>
    <col min="1025" max="1026" width="9.140625" style="142"/>
    <col min="1027" max="1027" width="9.5703125" style="142" customWidth="1"/>
    <col min="1028" max="1028" width="17" style="142" customWidth="1"/>
    <col min="1029" max="1029" width="15.85546875" style="142" bestFit="1" customWidth="1"/>
    <col min="1030" max="1030" width="14.28515625" style="142" bestFit="1" customWidth="1"/>
    <col min="1031" max="1031" width="14.28515625" style="142" customWidth="1"/>
    <col min="1032" max="1279" width="9.140625" style="142"/>
    <col min="1280" max="1280" width="14.140625" style="142" customWidth="1"/>
    <col min="1281" max="1282" width="9.140625" style="142"/>
    <col min="1283" max="1283" width="9.5703125" style="142" customWidth="1"/>
    <col min="1284" max="1284" width="17" style="142" customWidth="1"/>
    <col min="1285" max="1285" width="15.85546875" style="142" bestFit="1" customWidth="1"/>
    <col min="1286" max="1286" width="14.28515625" style="142" bestFit="1" customWidth="1"/>
    <col min="1287" max="1287" width="14.28515625" style="142" customWidth="1"/>
    <col min="1288" max="1535" width="9.140625" style="142"/>
    <col min="1536" max="1536" width="14.140625" style="142" customWidth="1"/>
    <col min="1537" max="1538" width="9.140625" style="142"/>
    <col min="1539" max="1539" width="9.5703125" style="142" customWidth="1"/>
    <col min="1540" max="1540" width="17" style="142" customWidth="1"/>
    <col min="1541" max="1541" width="15.85546875" style="142" bestFit="1" customWidth="1"/>
    <col min="1542" max="1542" width="14.28515625" style="142" bestFit="1" customWidth="1"/>
    <col min="1543" max="1543" width="14.28515625" style="142" customWidth="1"/>
    <col min="1544" max="1791" width="9.140625" style="142"/>
    <col min="1792" max="1792" width="14.140625" style="142" customWidth="1"/>
    <col min="1793" max="1794" width="9.140625" style="142"/>
    <col min="1795" max="1795" width="9.5703125" style="142" customWidth="1"/>
    <col min="1796" max="1796" width="17" style="142" customWidth="1"/>
    <col min="1797" max="1797" width="15.85546875" style="142" bestFit="1" customWidth="1"/>
    <col min="1798" max="1798" width="14.28515625" style="142" bestFit="1" customWidth="1"/>
    <col min="1799" max="1799" width="14.28515625" style="142" customWidth="1"/>
    <col min="1800" max="2047" width="9.140625" style="142"/>
    <col min="2048" max="2048" width="14.140625" style="142" customWidth="1"/>
    <col min="2049" max="2050" width="9.140625" style="142"/>
    <col min="2051" max="2051" width="9.5703125" style="142" customWidth="1"/>
    <col min="2052" max="2052" width="17" style="142" customWidth="1"/>
    <col min="2053" max="2053" width="15.85546875" style="142" bestFit="1" customWidth="1"/>
    <col min="2054" max="2054" width="14.28515625" style="142" bestFit="1" customWidth="1"/>
    <col min="2055" max="2055" width="14.28515625" style="142" customWidth="1"/>
    <col min="2056" max="2303" width="9.140625" style="142"/>
    <col min="2304" max="2304" width="14.140625" style="142" customWidth="1"/>
    <col min="2305" max="2306" width="9.140625" style="142"/>
    <col min="2307" max="2307" width="9.5703125" style="142" customWidth="1"/>
    <col min="2308" max="2308" width="17" style="142" customWidth="1"/>
    <col min="2309" max="2309" width="15.85546875" style="142" bestFit="1" customWidth="1"/>
    <col min="2310" max="2310" width="14.28515625" style="142" bestFit="1" customWidth="1"/>
    <col min="2311" max="2311" width="14.28515625" style="142" customWidth="1"/>
    <col min="2312" max="2559" width="9.140625" style="142"/>
    <col min="2560" max="2560" width="14.140625" style="142" customWidth="1"/>
    <col min="2561" max="2562" width="9.140625" style="142"/>
    <col min="2563" max="2563" width="9.5703125" style="142" customWidth="1"/>
    <col min="2564" max="2564" width="17" style="142" customWidth="1"/>
    <col min="2565" max="2565" width="15.85546875" style="142" bestFit="1" customWidth="1"/>
    <col min="2566" max="2566" width="14.28515625" style="142" bestFit="1" customWidth="1"/>
    <col min="2567" max="2567" width="14.28515625" style="142" customWidth="1"/>
    <col min="2568" max="2815" width="9.140625" style="142"/>
    <col min="2816" max="2816" width="14.140625" style="142" customWidth="1"/>
    <col min="2817" max="2818" width="9.140625" style="142"/>
    <col min="2819" max="2819" width="9.5703125" style="142" customWidth="1"/>
    <col min="2820" max="2820" width="17" style="142" customWidth="1"/>
    <col min="2821" max="2821" width="15.85546875" style="142" bestFit="1" customWidth="1"/>
    <col min="2822" max="2822" width="14.28515625" style="142" bestFit="1" customWidth="1"/>
    <col min="2823" max="2823" width="14.28515625" style="142" customWidth="1"/>
    <col min="2824" max="3071" width="9.140625" style="142"/>
    <col min="3072" max="3072" width="14.140625" style="142" customWidth="1"/>
    <col min="3073" max="3074" width="9.140625" style="142"/>
    <col min="3075" max="3075" width="9.5703125" style="142" customWidth="1"/>
    <col min="3076" max="3076" width="17" style="142" customWidth="1"/>
    <col min="3077" max="3077" width="15.85546875" style="142" bestFit="1" customWidth="1"/>
    <col min="3078" max="3078" width="14.28515625" style="142" bestFit="1" customWidth="1"/>
    <col min="3079" max="3079" width="14.28515625" style="142" customWidth="1"/>
    <col min="3080" max="3327" width="9.140625" style="142"/>
    <col min="3328" max="3328" width="14.140625" style="142" customWidth="1"/>
    <col min="3329" max="3330" width="9.140625" style="142"/>
    <col min="3331" max="3331" width="9.5703125" style="142" customWidth="1"/>
    <col min="3332" max="3332" width="17" style="142" customWidth="1"/>
    <col min="3333" max="3333" width="15.85546875" style="142" bestFit="1" customWidth="1"/>
    <col min="3334" max="3334" width="14.28515625" style="142" bestFit="1" customWidth="1"/>
    <col min="3335" max="3335" width="14.28515625" style="142" customWidth="1"/>
    <col min="3336" max="3583" width="9.140625" style="142"/>
    <col min="3584" max="3584" width="14.140625" style="142" customWidth="1"/>
    <col min="3585" max="3586" width="9.140625" style="142"/>
    <col min="3587" max="3587" width="9.5703125" style="142" customWidth="1"/>
    <col min="3588" max="3588" width="17" style="142" customWidth="1"/>
    <col min="3589" max="3589" width="15.85546875" style="142" bestFit="1" customWidth="1"/>
    <col min="3590" max="3590" width="14.28515625" style="142" bestFit="1" customWidth="1"/>
    <col min="3591" max="3591" width="14.28515625" style="142" customWidth="1"/>
    <col min="3592" max="3839" width="9.140625" style="142"/>
    <col min="3840" max="3840" width="14.140625" style="142" customWidth="1"/>
    <col min="3841" max="3842" width="9.140625" style="142"/>
    <col min="3843" max="3843" width="9.5703125" style="142" customWidth="1"/>
    <col min="3844" max="3844" width="17" style="142" customWidth="1"/>
    <col min="3845" max="3845" width="15.85546875" style="142" bestFit="1" customWidth="1"/>
    <col min="3846" max="3846" width="14.28515625" style="142" bestFit="1" customWidth="1"/>
    <col min="3847" max="3847" width="14.28515625" style="142" customWidth="1"/>
    <col min="3848" max="4095" width="9.140625" style="142"/>
    <col min="4096" max="4096" width="14.140625" style="142" customWidth="1"/>
    <col min="4097" max="4098" width="9.140625" style="142"/>
    <col min="4099" max="4099" width="9.5703125" style="142" customWidth="1"/>
    <col min="4100" max="4100" width="17" style="142" customWidth="1"/>
    <col min="4101" max="4101" width="15.85546875" style="142" bestFit="1" customWidth="1"/>
    <col min="4102" max="4102" width="14.28515625" style="142" bestFit="1" customWidth="1"/>
    <col min="4103" max="4103" width="14.28515625" style="142" customWidth="1"/>
    <col min="4104" max="4351" width="9.140625" style="142"/>
    <col min="4352" max="4352" width="14.140625" style="142" customWidth="1"/>
    <col min="4353" max="4354" width="9.140625" style="142"/>
    <col min="4355" max="4355" width="9.5703125" style="142" customWidth="1"/>
    <col min="4356" max="4356" width="17" style="142" customWidth="1"/>
    <col min="4357" max="4357" width="15.85546875" style="142" bestFit="1" customWidth="1"/>
    <col min="4358" max="4358" width="14.28515625" style="142" bestFit="1" customWidth="1"/>
    <col min="4359" max="4359" width="14.28515625" style="142" customWidth="1"/>
    <col min="4360" max="4607" width="9.140625" style="142"/>
    <col min="4608" max="4608" width="14.140625" style="142" customWidth="1"/>
    <col min="4609" max="4610" width="9.140625" style="142"/>
    <col min="4611" max="4611" width="9.5703125" style="142" customWidth="1"/>
    <col min="4612" max="4612" width="17" style="142" customWidth="1"/>
    <col min="4613" max="4613" width="15.85546875" style="142" bestFit="1" customWidth="1"/>
    <col min="4614" max="4614" width="14.28515625" style="142" bestFit="1" customWidth="1"/>
    <col min="4615" max="4615" width="14.28515625" style="142" customWidth="1"/>
    <col min="4616" max="4863" width="9.140625" style="142"/>
    <col min="4864" max="4864" width="14.140625" style="142" customWidth="1"/>
    <col min="4865" max="4866" width="9.140625" style="142"/>
    <col min="4867" max="4867" width="9.5703125" style="142" customWidth="1"/>
    <col min="4868" max="4868" width="17" style="142" customWidth="1"/>
    <col min="4869" max="4869" width="15.85546875" style="142" bestFit="1" customWidth="1"/>
    <col min="4870" max="4870" width="14.28515625" style="142" bestFit="1" customWidth="1"/>
    <col min="4871" max="4871" width="14.28515625" style="142" customWidth="1"/>
    <col min="4872" max="5119" width="9.140625" style="142"/>
    <col min="5120" max="5120" width="14.140625" style="142" customWidth="1"/>
    <col min="5121" max="5122" width="9.140625" style="142"/>
    <col min="5123" max="5123" width="9.5703125" style="142" customWidth="1"/>
    <col min="5124" max="5124" width="17" style="142" customWidth="1"/>
    <col min="5125" max="5125" width="15.85546875" style="142" bestFit="1" customWidth="1"/>
    <col min="5126" max="5126" width="14.28515625" style="142" bestFit="1" customWidth="1"/>
    <col min="5127" max="5127" width="14.28515625" style="142" customWidth="1"/>
    <col min="5128" max="5375" width="9.140625" style="142"/>
    <col min="5376" max="5376" width="14.140625" style="142" customWidth="1"/>
    <col min="5377" max="5378" width="9.140625" style="142"/>
    <col min="5379" max="5379" width="9.5703125" style="142" customWidth="1"/>
    <col min="5380" max="5380" width="17" style="142" customWidth="1"/>
    <col min="5381" max="5381" width="15.85546875" style="142" bestFit="1" customWidth="1"/>
    <col min="5382" max="5382" width="14.28515625" style="142" bestFit="1" customWidth="1"/>
    <col min="5383" max="5383" width="14.28515625" style="142" customWidth="1"/>
    <col min="5384" max="5631" width="9.140625" style="142"/>
    <col min="5632" max="5632" width="14.140625" style="142" customWidth="1"/>
    <col min="5633" max="5634" width="9.140625" style="142"/>
    <col min="5635" max="5635" width="9.5703125" style="142" customWidth="1"/>
    <col min="5636" max="5636" width="17" style="142" customWidth="1"/>
    <col min="5637" max="5637" width="15.85546875" style="142" bestFit="1" customWidth="1"/>
    <col min="5638" max="5638" width="14.28515625" style="142" bestFit="1" customWidth="1"/>
    <col min="5639" max="5639" width="14.28515625" style="142" customWidth="1"/>
    <col min="5640" max="5887" width="9.140625" style="142"/>
    <col min="5888" max="5888" width="14.140625" style="142" customWidth="1"/>
    <col min="5889" max="5890" width="9.140625" style="142"/>
    <col min="5891" max="5891" width="9.5703125" style="142" customWidth="1"/>
    <col min="5892" max="5892" width="17" style="142" customWidth="1"/>
    <col min="5893" max="5893" width="15.85546875" style="142" bestFit="1" customWidth="1"/>
    <col min="5894" max="5894" width="14.28515625" style="142" bestFit="1" customWidth="1"/>
    <col min="5895" max="5895" width="14.28515625" style="142" customWidth="1"/>
    <col min="5896" max="6143" width="9.140625" style="142"/>
    <col min="6144" max="6144" width="14.140625" style="142" customWidth="1"/>
    <col min="6145" max="6146" width="9.140625" style="142"/>
    <col min="6147" max="6147" width="9.5703125" style="142" customWidth="1"/>
    <col min="6148" max="6148" width="17" style="142" customWidth="1"/>
    <col min="6149" max="6149" width="15.85546875" style="142" bestFit="1" customWidth="1"/>
    <col min="6150" max="6150" width="14.28515625" style="142" bestFit="1" customWidth="1"/>
    <col min="6151" max="6151" width="14.28515625" style="142" customWidth="1"/>
    <col min="6152" max="6399" width="9.140625" style="142"/>
    <col min="6400" max="6400" width="14.140625" style="142" customWidth="1"/>
    <col min="6401" max="6402" width="9.140625" style="142"/>
    <col min="6403" max="6403" width="9.5703125" style="142" customWidth="1"/>
    <col min="6404" max="6404" width="17" style="142" customWidth="1"/>
    <col min="6405" max="6405" width="15.85546875" style="142" bestFit="1" customWidth="1"/>
    <col min="6406" max="6406" width="14.28515625" style="142" bestFit="1" customWidth="1"/>
    <col min="6407" max="6407" width="14.28515625" style="142" customWidth="1"/>
    <col min="6408" max="6655" width="9.140625" style="142"/>
    <col min="6656" max="6656" width="14.140625" style="142" customWidth="1"/>
    <col min="6657" max="6658" width="9.140625" style="142"/>
    <col min="6659" max="6659" width="9.5703125" style="142" customWidth="1"/>
    <col min="6660" max="6660" width="17" style="142" customWidth="1"/>
    <col min="6661" max="6661" width="15.85546875" style="142" bestFit="1" customWidth="1"/>
    <col min="6662" max="6662" width="14.28515625" style="142" bestFit="1" customWidth="1"/>
    <col min="6663" max="6663" width="14.28515625" style="142" customWidth="1"/>
    <col min="6664" max="6911" width="9.140625" style="142"/>
    <col min="6912" max="6912" width="14.140625" style="142" customWidth="1"/>
    <col min="6913" max="6914" width="9.140625" style="142"/>
    <col min="6915" max="6915" width="9.5703125" style="142" customWidth="1"/>
    <col min="6916" max="6916" width="17" style="142" customWidth="1"/>
    <col min="6917" max="6917" width="15.85546875" style="142" bestFit="1" customWidth="1"/>
    <col min="6918" max="6918" width="14.28515625" style="142" bestFit="1" customWidth="1"/>
    <col min="6919" max="6919" width="14.28515625" style="142" customWidth="1"/>
    <col min="6920" max="7167" width="9.140625" style="142"/>
    <col min="7168" max="7168" width="14.140625" style="142" customWidth="1"/>
    <col min="7169" max="7170" width="9.140625" style="142"/>
    <col min="7171" max="7171" width="9.5703125" style="142" customWidth="1"/>
    <col min="7172" max="7172" width="17" style="142" customWidth="1"/>
    <col min="7173" max="7173" width="15.85546875" style="142" bestFit="1" customWidth="1"/>
    <col min="7174" max="7174" width="14.28515625" style="142" bestFit="1" customWidth="1"/>
    <col min="7175" max="7175" width="14.28515625" style="142" customWidth="1"/>
    <col min="7176" max="7423" width="9.140625" style="142"/>
    <col min="7424" max="7424" width="14.140625" style="142" customWidth="1"/>
    <col min="7425" max="7426" width="9.140625" style="142"/>
    <col min="7427" max="7427" width="9.5703125" style="142" customWidth="1"/>
    <col min="7428" max="7428" width="17" style="142" customWidth="1"/>
    <col min="7429" max="7429" width="15.85546875" style="142" bestFit="1" customWidth="1"/>
    <col min="7430" max="7430" width="14.28515625" style="142" bestFit="1" customWidth="1"/>
    <col min="7431" max="7431" width="14.28515625" style="142" customWidth="1"/>
    <col min="7432" max="7679" width="9.140625" style="142"/>
    <col min="7680" max="7680" width="14.140625" style="142" customWidth="1"/>
    <col min="7681" max="7682" width="9.140625" style="142"/>
    <col min="7683" max="7683" width="9.5703125" style="142" customWidth="1"/>
    <col min="7684" max="7684" width="17" style="142" customWidth="1"/>
    <col min="7685" max="7685" width="15.85546875" style="142" bestFit="1" customWidth="1"/>
    <col min="7686" max="7686" width="14.28515625" style="142" bestFit="1" customWidth="1"/>
    <col min="7687" max="7687" width="14.28515625" style="142" customWidth="1"/>
    <col min="7688" max="7935" width="9.140625" style="142"/>
    <col min="7936" max="7936" width="14.140625" style="142" customWidth="1"/>
    <col min="7937" max="7938" width="9.140625" style="142"/>
    <col min="7939" max="7939" width="9.5703125" style="142" customWidth="1"/>
    <col min="7940" max="7940" width="17" style="142" customWidth="1"/>
    <col min="7941" max="7941" width="15.85546875" style="142" bestFit="1" customWidth="1"/>
    <col min="7942" max="7942" width="14.28515625" style="142" bestFit="1" customWidth="1"/>
    <col min="7943" max="7943" width="14.28515625" style="142" customWidth="1"/>
    <col min="7944" max="8191" width="9.140625" style="142"/>
    <col min="8192" max="8192" width="14.140625" style="142" customWidth="1"/>
    <col min="8193" max="8194" width="9.140625" style="142"/>
    <col min="8195" max="8195" width="9.5703125" style="142" customWidth="1"/>
    <col min="8196" max="8196" width="17" style="142" customWidth="1"/>
    <col min="8197" max="8197" width="15.85546875" style="142" bestFit="1" customWidth="1"/>
    <col min="8198" max="8198" width="14.28515625" style="142" bestFit="1" customWidth="1"/>
    <col min="8199" max="8199" width="14.28515625" style="142" customWidth="1"/>
    <col min="8200" max="8447" width="9.140625" style="142"/>
    <col min="8448" max="8448" width="14.140625" style="142" customWidth="1"/>
    <col min="8449" max="8450" width="9.140625" style="142"/>
    <col min="8451" max="8451" width="9.5703125" style="142" customWidth="1"/>
    <col min="8452" max="8452" width="17" style="142" customWidth="1"/>
    <col min="8453" max="8453" width="15.85546875" style="142" bestFit="1" customWidth="1"/>
    <col min="8454" max="8454" width="14.28515625" style="142" bestFit="1" customWidth="1"/>
    <col min="8455" max="8455" width="14.28515625" style="142" customWidth="1"/>
    <col min="8456" max="8703" width="9.140625" style="142"/>
    <col min="8704" max="8704" width="14.140625" style="142" customWidth="1"/>
    <col min="8705" max="8706" width="9.140625" style="142"/>
    <col min="8707" max="8707" width="9.5703125" style="142" customWidth="1"/>
    <col min="8708" max="8708" width="17" style="142" customWidth="1"/>
    <col min="8709" max="8709" width="15.85546875" style="142" bestFit="1" customWidth="1"/>
    <col min="8710" max="8710" width="14.28515625" style="142" bestFit="1" customWidth="1"/>
    <col min="8711" max="8711" width="14.28515625" style="142" customWidth="1"/>
    <col min="8712" max="8959" width="9.140625" style="142"/>
    <col min="8960" max="8960" width="14.140625" style="142" customWidth="1"/>
    <col min="8961" max="8962" width="9.140625" style="142"/>
    <col min="8963" max="8963" width="9.5703125" style="142" customWidth="1"/>
    <col min="8964" max="8964" width="17" style="142" customWidth="1"/>
    <col min="8965" max="8965" width="15.85546875" style="142" bestFit="1" customWidth="1"/>
    <col min="8966" max="8966" width="14.28515625" style="142" bestFit="1" customWidth="1"/>
    <col min="8967" max="8967" width="14.28515625" style="142" customWidth="1"/>
    <col min="8968" max="9215" width="9.140625" style="142"/>
    <col min="9216" max="9216" width="14.140625" style="142" customWidth="1"/>
    <col min="9217" max="9218" width="9.140625" style="142"/>
    <col min="9219" max="9219" width="9.5703125" style="142" customWidth="1"/>
    <col min="9220" max="9220" width="17" style="142" customWidth="1"/>
    <col min="9221" max="9221" width="15.85546875" style="142" bestFit="1" customWidth="1"/>
    <col min="9222" max="9222" width="14.28515625" style="142" bestFit="1" customWidth="1"/>
    <col min="9223" max="9223" width="14.28515625" style="142" customWidth="1"/>
    <col min="9224" max="9471" width="9.140625" style="142"/>
    <col min="9472" max="9472" width="14.140625" style="142" customWidth="1"/>
    <col min="9473" max="9474" width="9.140625" style="142"/>
    <col min="9475" max="9475" width="9.5703125" style="142" customWidth="1"/>
    <col min="9476" max="9476" width="17" style="142" customWidth="1"/>
    <col min="9477" max="9477" width="15.85546875" style="142" bestFit="1" customWidth="1"/>
    <col min="9478" max="9478" width="14.28515625" style="142" bestFit="1" customWidth="1"/>
    <col min="9479" max="9479" width="14.28515625" style="142" customWidth="1"/>
    <col min="9480" max="9727" width="9.140625" style="142"/>
    <col min="9728" max="9728" width="14.140625" style="142" customWidth="1"/>
    <col min="9729" max="9730" width="9.140625" style="142"/>
    <col min="9731" max="9731" width="9.5703125" style="142" customWidth="1"/>
    <col min="9732" max="9732" width="17" style="142" customWidth="1"/>
    <col min="9733" max="9733" width="15.85546875" style="142" bestFit="1" customWidth="1"/>
    <col min="9734" max="9734" width="14.28515625" style="142" bestFit="1" customWidth="1"/>
    <col min="9735" max="9735" width="14.28515625" style="142" customWidth="1"/>
    <col min="9736" max="9983" width="9.140625" style="142"/>
    <col min="9984" max="9984" width="14.140625" style="142" customWidth="1"/>
    <col min="9985" max="9986" width="9.140625" style="142"/>
    <col min="9987" max="9987" width="9.5703125" style="142" customWidth="1"/>
    <col min="9988" max="9988" width="17" style="142" customWidth="1"/>
    <col min="9989" max="9989" width="15.85546875" style="142" bestFit="1" customWidth="1"/>
    <col min="9990" max="9990" width="14.28515625" style="142" bestFit="1" customWidth="1"/>
    <col min="9991" max="9991" width="14.28515625" style="142" customWidth="1"/>
    <col min="9992" max="10239" width="9.140625" style="142"/>
    <col min="10240" max="10240" width="14.140625" style="142" customWidth="1"/>
    <col min="10241" max="10242" width="9.140625" style="142"/>
    <col min="10243" max="10243" width="9.5703125" style="142" customWidth="1"/>
    <col min="10244" max="10244" width="17" style="142" customWidth="1"/>
    <col min="10245" max="10245" width="15.85546875" style="142" bestFit="1" customWidth="1"/>
    <col min="10246" max="10246" width="14.28515625" style="142" bestFit="1" customWidth="1"/>
    <col min="10247" max="10247" width="14.28515625" style="142" customWidth="1"/>
    <col min="10248" max="10495" width="9.140625" style="142"/>
    <col min="10496" max="10496" width="14.140625" style="142" customWidth="1"/>
    <col min="10497" max="10498" width="9.140625" style="142"/>
    <col min="10499" max="10499" width="9.5703125" style="142" customWidth="1"/>
    <col min="10500" max="10500" width="17" style="142" customWidth="1"/>
    <col min="10501" max="10501" width="15.85546875" style="142" bestFit="1" customWidth="1"/>
    <col min="10502" max="10502" width="14.28515625" style="142" bestFit="1" customWidth="1"/>
    <col min="10503" max="10503" width="14.28515625" style="142" customWidth="1"/>
    <col min="10504" max="10751" width="9.140625" style="142"/>
    <col min="10752" max="10752" width="14.140625" style="142" customWidth="1"/>
    <col min="10753" max="10754" width="9.140625" style="142"/>
    <col min="10755" max="10755" width="9.5703125" style="142" customWidth="1"/>
    <col min="10756" max="10756" width="17" style="142" customWidth="1"/>
    <col min="10757" max="10757" width="15.85546875" style="142" bestFit="1" customWidth="1"/>
    <col min="10758" max="10758" width="14.28515625" style="142" bestFit="1" customWidth="1"/>
    <col min="10759" max="10759" width="14.28515625" style="142" customWidth="1"/>
    <col min="10760" max="11007" width="9.140625" style="142"/>
    <col min="11008" max="11008" width="14.140625" style="142" customWidth="1"/>
    <col min="11009" max="11010" width="9.140625" style="142"/>
    <col min="11011" max="11011" width="9.5703125" style="142" customWidth="1"/>
    <col min="11012" max="11012" width="17" style="142" customWidth="1"/>
    <col min="11013" max="11013" width="15.85546875" style="142" bestFit="1" customWidth="1"/>
    <col min="11014" max="11014" width="14.28515625" style="142" bestFit="1" customWidth="1"/>
    <col min="11015" max="11015" width="14.28515625" style="142" customWidth="1"/>
    <col min="11016" max="11263" width="9.140625" style="142"/>
    <col min="11264" max="11264" width="14.140625" style="142" customWidth="1"/>
    <col min="11265" max="11266" width="9.140625" style="142"/>
    <col min="11267" max="11267" width="9.5703125" style="142" customWidth="1"/>
    <col min="11268" max="11268" width="17" style="142" customWidth="1"/>
    <col min="11269" max="11269" width="15.85546875" style="142" bestFit="1" customWidth="1"/>
    <col min="11270" max="11270" width="14.28515625" style="142" bestFit="1" customWidth="1"/>
    <col min="11271" max="11271" width="14.28515625" style="142" customWidth="1"/>
    <col min="11272" max="11519" width="9.140625" style="142"/>
    <col min="11520" max="11520" width="14.140625" style="142" customWidth="1"/>
    <col min="11521" max="11522" width="9.140625" style="142"/>
    <col min="11523" max="11523" width="9.5703125" style="142" customWidth="1"/>
    <col min="11524" max="11524" width="17" style="142" customWidth="1"/>
    <col min="11525" max="11525" width="15.85546875" style="142" bestFit="1" customWidth="1"/>
    <col min="11526" max="11526" width="14.28515625" style="142" bestFit="1" customWidth="1"/>
    <col min="11527" max="11527" width="14.28515625" style="142" customWidth="1"/>
    <col min="11528" max="11775" width="9.140625" style="142"/>
    <col min="11776" max="11776" width="14.140625" style="142" customWidth="1"/>
    <col min="11777" max="11778" width="9.140625" style="142"/>
    <col min="11779" max="11779" width="9.5703125" style="142" customWidth="1"/>
    <col min="11780" max="11780" width="17" style="142" customWidth="1"/>
    <col min="11781" max="11781" width="15.85546875" style="142" bestFit="1" customWidth="1"/>
    <col min="11782" max="11782" width="14.28515625" style="142" bestFit="1" customWidth="1"/>
    <col min="11783" max="11783" width="14.28515625" style="142" customWidth="1"/>
    <col min="11784" max="12031" width="9.140625" style="142"/>
    <col min="12032" max="12032" width="14.140625" style="142" customWidth="1"/>
    <col min="12033" max="12034" width="9.140625" style="142"/>
    <col min="12035" max="12035" width="9.5703125" style="142" customWidth="1"/>
    <col min="12036" max="12036" width="17" style="142" customWidth="1"/>
    <col min="12037" max="12037" width="15.85546875" style="142" bestFit="1" customWidth="1"/>
    <col min="12038" max="12038" width="14.28515625" style="142" bestFit="1" customWidth="1"/>
    <col min="12039" max="12039" width="14.28515625" style="142" customWidth="1"/>
    <col min="12040" max="12287" width="9.140625" style="142"/>
    <col min="12288" max="12288" width="14.140625" style="142" customWidth="1"/>
    <col min="12289" max="12290" width="9.140625" style="142"/>
    <col min="12291" max="12291" width="9.5703125" style="142" customWidth="1"/>
    <col min="12292" max="12292" width="17" style="142" customWidth="1"/>
    <col min="12293" max="12293" width="15.85546875" style="142" bestFit="1" customWidth="1"/>
    <col min="12294" max="12294" width="14.28515625" style="142" bestFit="1" customWidth="1"/>
    <col min="12295" max="12295" width="14.28515625" style="142" customWidth="1"/>
    <col min="12296" max="12543" width="9.140625" style="142"/>
    <col min="12544" max="12544" width="14.140625" style="142" customWidth="1"/>
    <col min="12545" max="12546" width="9.140625" style="142"/>
    <col min="12547" max="12547" width="9.5703125" style="142" customWidth="1"/>
    <col min="12548" max="12548" width="17" style="142" customWidth="1"/>
    <col min="12549" max="12549" width="15.85546875" style="142" bestFit="1" customWidth="1"/>
    <col min="12550" max="12550" width="14.28515625" style="142" bestFit="1" customWidth="1"/>
    <col min="12551" max="12551" width="14.28515625" style="142" customWidth="1"/>
    <col min="12552" max="12799" width="9.140625" style="142"/>
    <col min="12800" max="12800" width="14.140625" style="142" customWidth="1"/>
    <col min="12801" max="12802" width="9.140625" style="142"/>
    <col min="12803" max="12803" width="9.5703125" style="142" customWidth="1"/>
    <col min="12804" max="12804" width="17" style="142" customWidth="1"/>
    <col min="12805" max="12805" width="15.85546875" style="142" bestFit="1" customWidth="1"/>
    <col min="12806" max="12806" width="14.28515625" style="142" bestFit="1" customWidth="1"/>
    <col min="12807" max="12807" width="14.28515625" style="142" customWidth="1"/>
    <col min="12808" max="13055" width="9.140625" style="142"/>
    <col min="13056" max="13056" width="14.140625" style="142" customWidth="1"/>
    <col min="13057" max="13058" width="9.140625" style="142"/>
    <col min="13059" max="13059" width="9.5703125" style="142" customWidth="1"/>
    <col min="13060" max="13060" width="17" style="142" customWidth="1"/>
    <col min="13061" max="13061" width="15.85546875" style="142" bestFit="1" customWidth="1"/>
    <col min="13062" max="13062" width="14.28515625" style="142" bestFit="1" customWidth="1"/>
    <col min="13063" max="13063" width="14.28515625" style="142" customWidth="1"/>
    <col min="13064" max="13311" width="9.140625" style="142"/>
    <col min="13312" max="13312" width="14.140625" style="142" customWidth="1"/>
    <col min="13313" max="13314" width="9.140625" style="142"/>
    <col min="13315" max="13315" width="9.5703125" style="142" customWidth="1"/>
    <col min="13316" max="13316" width="17" style="142" customWidth="1"/>
    <col min="13317" max="13317" width="15.85546875" style="142" bestFit="1" customWidth="1"/>
    <col min="13318" max="13318" width="14.28515625" style="142" bestFit="1" customWidth="1"/>
    <col min="13319" max="13319" width="14.28515625" style="142" customWidth="1"/>
    <col min="13320" max="13567" width="9.140625" style="142"/>
    <col min="13568" max="13568" width="14.140625" style="142" customWidth="1"/>
    <col min="13569" max="13570" width="9.140625" style="142"/>
    <col min="13571" max="13571" width="9.5703125" style="142" customWidth="1"/>
    <col min="13572" max="13572" width="17" style="142" customWidth="1"/>
    <col min="13573" max="13573" width="15.85546875" style="142" bestFit="1" customWidth="1"/>
    <col min="13574" max="13574" width="14.28515625" style="142" bestFit="1" customWidth="1"/>
    <col min="13575" max="13575" width="14.28515625" style="142" customWidth="1"/>
    <col min="13576" max="13823" width="9.140625" style="142"/>
    <col min="13824" max="13824" width="14.140625" style="142" customWidth="1"/>
    <col min="13825" max="13826" width="9.140625" style="142"/>
    <col min="13827" max="13827" width="9.5703125" style="142" customWidth="1"/>
    <col min="13828" max="13828" width="17" style="142" customWidth="1"/>
    <col min="13829" max="13829" width="15.85546875" style="142" bestFit="1" customWidth="1"/>
    <col min="13830" max="13830" width="14.28515625" style="142" bestFit="1" customWidth="1"/>
    <col min="13831" max="13831" width="14.28515625" style="142" customWidth="1"/>
    <col min="13832" max="14079" width="9.140625" style="142"/>
    <col min="14080" max="14080" width="14.140625" style="142" customWidth="1"/>
    <col min="14081" max="14082" width="9.140625" style="142"/>
    <col min="14083" max="14083" width="9.5703125" style="142" customWidth="1"/>
    <col min="14084" max="14084" width="17" style="142" customWidth="1"/>
    <col min="14085" max="14085" width="15.85546875" style="142" bestFit="1" customWidth="1"/>
    <col min="14086" max="14086" width="14.28515625" style="142" bestFit="1" customWidth="1"/>
    <col min="14087" max="14087" width="14.28515625" style="142" customWidth="1"/>
    <col min="14088" max="14335" width="9.140625" style="142"/>
    <col min="14336" max="14336" width="14.140625" style="142" customWidth="1"/>
    <col min="14337" max="14338" width="9.140625" style="142"/>
    <col min="14339" max="14339" width="9.5703125" style="142" customWidth="1"/>
    <col min="14340" max="14340" width="17" style="142" customWidth="1"/>
    <col min="14341" max="14341" width="15.85546875" style="142" bestFit="1" customWidth="1"/>
    <col min="14342" max="14342" width="14.28515625" style="142" bestFit="1" customWidth="1"/>
    <col min="14343" max="14343" width="14.28515625" style="142" customWidth="1"/>
    <col min="14344" max="14591" width="9.140625" style="142"/>
    <col min="14592" max="14592" width="14.140625" style="142" customWidth="1"/>
    <col min="14593" max="14594" width="9.140625" style="142"/>
    <col min="14595" max="14595" width="9.5703125" style="142" customWidth="1"/>
    <col min="14596" max="14596" width="17" style="142" customWidth="1"/>
    <col min="14597" max="14597" width="15.85546875" style="142" bestFit="1" customWidth="1"/>
    <col min="14598" max="14598" width="14.28515625" style="142" bestFit="1" customWidth="1"/>
    <col min="14599" max="14599" width="14.28515625" style="142" customWidth="1"/>
    <col min="14600" max="14847" width="9.140625" style="142"/>
    <col min="14848" max="14848" width="14.140625" style="142" customWidth="1"/>
    <col min="14849" max="14850" width="9.140625" style="142"/>
    <col min="14851" max="14851" width="9.5703125" style="142" customWidth="1"/>
    <col min="14852" max="14852" width="17" style="142" customWidth="1"/>
    <col min="14853" max="14853" width="15.85546875" style="142" bestFit="1" customWidth="1"/>
    <col min="14854" max="14854" width="14.28515625" style="142" bestFit="1" customWidth="1"/>
    <col min="14855" max="14855" width="14.28515625" style="142" customWidth="1"/>
    <col min="14856" max="15103" width="9.140625" style="142"/>
    <col min="15104" max="15104" width="14.140625" style="142" customWidth="1"/>
    <col min="15105" max="15106" width="9.140625" style="142"/>
    <col min="15107" max="15107" width="9.5703125" style="142" customWidth="1"/>
    <col min="15108" max="15108" width="17" style="142" customWidth="1"/>
    <col min="15109" max="15109" width="15.85546875" style="142" bestFit="1" customWidth="1"/>
    <col min="15110" max="15110" width="14.28515625" style="142" bestFit="1" customWidth="1"/>
    <col min="15111" max="15111" width="14.28515625" style="142" customWidth="1"/>
    <col min="15112" max="15359" width="9.140625" style="142"/>
    <col min="15360" max="15360" width="14.140625" style="142" customWidth="1"/>
    <col min="15361" max="15362" width="9.140625" style="142"/>
    <col min="15363" max="15363" width="9.5703125" style="142" customWidth="1"/>
    <col min="15364" max="15364" width="17" style="142" customWidth="1"/>
    <col min="15365" max="15365" width="15.85546875" style="142" bestFit="1" customWidth="1"/>
    <col min="15366" max="15366" width="14.28515625" style="142" bestFit="1" customWidth="1"/>
    <col min="15367" max="15367" width="14.28515625" style="142" customWidth="1"/>
    <col min="15368" max="15615" width="9.140625" style="142"/>
    <col min="15616" max="15616" width="14.140625" style="142" customWidth="1"/>
    <col min="15617" max="15618" width="9.140625" style="142"/>
    <col min="15619" max="15619" width="9.5703125" style="142" customWidth="1"/>
    <col min="15620" max="15620" width="17" style="142" customWidth="1"/>
    <col min="15621" max="15621" width="15.85546875" style="142" bestFit="1" customWidth="1"/>
    <col min="15622" max="15622" width="14.28515625" style="142" bestFit="1" customWidth="1"/>
    <col min="15623" max="15623" width="14.28515625" style="142" customWidth="1"/>
    <col min="15624" max="15871" width="9.140625" style="142"/>
    <col min="15872" max="15872" width="14.140625" style="142" customWidth="1"/>
    <col min="15873" max="15874" width="9.140625" style="142"/>
    <col min="15875" max="15875" width="9.5703125" style="142" customWidth="1"/>
    <col min="15876" max="15876" width="17" style="142" customWidth="1"/>
    <col min="15877" max="15877" width="15.85546875" style="142" bestFit="1" customWidth="1"/>
    <col min="15878" max="15878" width="14.28515625" style="142" bestFit="1" customWidth="1"/>
    <col min="15879" max="15879" width="14.28515625" style="142" customWidth="1"/>
    <col min="15880" max="16127" width="9.140625" style="142"/>
    <col min="16128" max="16128" width="14.140625" style="142" customWidth="1"/>
    <col min="16129" max="16130" width="9.140625" style="142"/>
    <col min="16131" max="16131" width="9.5703125" style="142" customWidth="1"/>
    <col min="16132" max="16132" width="17" style="142" customWidth="1"/>
    <col min="16133" max="16133" width="15.85546875" style="142" bestFit="1" customWidth="1"/>
    <col min="16134" max="16134" width="14.28515625" style="142" bestFit="1" customWidth="1"/>
    <col min="16135" max="16135" width="14.28515625" style="142" customWidth="1"/>
    <col min="16136" max="16384" width="9.140625" style="142"/>
  </cols>
  <sheetData>
    <row r="1" spans="1:8" ht="18.75" x14ac:dyDescent="0.3">
      <c r="A1" s="651" t="s">
        <v>1950</v>
      </c>
      <c r="B1" s="651"/>
      <c r="C1" s="651"/>
      <c r="D1" s="651"/>
      <c r="E1" s="651"/>
      <c r="F1" s="651"/>
      <c r="G1" s="651"/>
      <c r="H1" s="651"/>
    </row>
    <row r="2" spans="1:8" ht="15.75" thickBot="1" x14ac:dyDescent="0.3">
      <c r="A2" s="652"/>
      <c r="B2" s="652"/>
      <c r="C2" s="652"/>
      <c r="D2" s="652"/>
      <c r="E2" s="652"/>
      <c r="F2" s="652"/>
    </row>
    <row r="3" spans="1:8" x14ac:dyDescent="0.25">
      <c r="A3" s="143"/>
      <c r="B3" s="423" t="s">
        <v>1951</v>
      </c>
      <c r="C3" s="424"/>
      <c r="D3" s="424"/>
      <c r="E3" s="425"/>
      <c r="F3" s="426"/>
      <c r="G3" s="426"/>
      <c r="H3" s="426"/>
    </row>
    <row r="4" spans="1:8" ht="9" customHeight="1" x14ac:dyDescent="0.25">
      <c r="A4" s="145"/>
      <c r="B4" s="427" t="s">
        <v>1952</v>
      </c>
      <c r="C4" s="427" t="s">
        <v>1953</v>
      </c>
      <c r="D4" s="428"/>
      <c r="E4" s="146"/>
      <c r="F4" s="147" t="s">
        <v>1954</v>
      </c>
      <c r="G4" s="147"/>
      <c r="H4" s="147" t="s">
        <v>1955</v>
      </c>
    </row>
    <row r="5" spans="1:8" x14ac:dyDescent="0.25">
      <c r="A5" s="145"/>
      <c r="B5" s="429" t="s">
        <v>1956</v>
      </c>
      <c r="C5" s="429" t="s">
        <v>1957</v>
      </c>
      <c r="D5" s="430" t="s">
        <v>1958</v>
      </c>
      <c r="E5" s="430" t="s">
        <v>1959</v>
      </c>
      <c r="F5" s="431" t="s">
        <v>1960</v>
      </c>
      <c r="G5" s="430" t="s">
        <v>1959</v>
      </c>
      <c r="H5" s="431" t="s">
        <v>1961</v>
      </c>
    </row>
    <row r="6" spans="1:8" x14ac:dyDescent="0.25">
      <c r="A6" s="148" t="s">
        <v>4643</v>
      </c>
      <c r="B6" s="146">
        <v>402.98599999999999</v>
      </c>
      <c r="C6" s="432">
        <v>366.983</v>
      </c>
      <c r="D6" s="146"/>
      <c r="E6" s="146"/>
      <c r="F6" s="433">
        <v>384.87599999999998</v>
      </c>
      <c r="G6" s="149"/>
      <c r="H6" s="433">
        <v>409.166</v>
      </c>
    </row>
    <row r="7" spans="1:8" x14ac:dyDescent="0.25">
      <c r="A7" s="148" t="s">
        <v>4644</v>
      </c>
      <c r="B7" s="146">
        <v>402.98599999999999</v>
      </c>
      <c r="C7" s="432">
        <v>367.47699999999998</v>
      </c>
      <c r="D7" s="146">
        <f t="shared" ref="D7:D63" si="0">C7/C6</f>
        <v>1.0013461114002555</v>
      </c>
      <c r="E7" s="146">
        <f t="shared" ref="E7:G63" si="1">F7/F6</f>
        <v>1.0008054542242177</v>
      </c>
      <c r="F7" s="433">
        <v>385.18599999999998</v>
      </c>
      <c r="G7" s="146">
        <f t="shared" si="1"/>
        <v>1.0026786194356325</v>
      </c>
      <c r="H7" s="433">
        <v>410.262</v>
      </c>
    </row>
    <row r="8" spans="1:8" x14ac:dyDescent="0.25">
      <c r="A8" s="148" t="s">
        <v>4645</v>
      </c>
      <c r="B8" s="146">
        <v>402.98599999999999</v>
      </c>
      <c r="C8" s="432">
        <v>367.13</v>
      </c>
      <c r="D8" s="146">
        <f t="shared" si="0"/>
        <v>0.99905572321533054</v>
      </c>
      <c r="E8" s="146">
        <f t="shared" si="1"/>
        <v>0.99947298188407685</v>
      </c>
      <c r="F8" s="433">
        <v>384.983</v>
      </c>
      <c r="G8" s="146">
        <f t="shared" si="1"/>
        <v>0.99745040973816734</v>
      </c>
      <c r="H8" s="433">
        <v>409.21600000000001</v>
      </c>
    </row>
    <row r="9" spans="1:8" x14ac:dyDescent="0.25">
      <c r="A9" s="148" t="s">
        <v>4646</v>
      </c>
      <c r="B9" s="146">
        <v>402.98599999999999</v>
      </c>
      <c r="C9" s="432">
        <v>363.51499999999999</v>
      </c>
      <c r="D9" s="146">
        <f t="shared" si="0"/>
        <v>0.99015335167379404</v>
      </c>
      <c r="E9" s="146">
        <f t="shared" si="1"/>
        <v>0.99451404347724437</v>
      </c>
      <c r="F9" s="433">
        <v>382.87099999999998</v>
      </c>
      <c r="G9" s="146">
        <f t="shared" si="1"/>
        <v>0.99957479668439153</v>
      </c>
      <c r="H9" s="433">
        <v>409.04199999999997</v>
      </c>
    </row>
    <row r="10" spans="1:8" x14ac:dyDescent="0.25">
      <c r="A10" s="148" t="s">
        <v>4647</v>
      </c>
      <c r="B10" s="146">
        <v>402.98599999999999</v>
      </c>
      <c r="C10" s="432">
        <v>362.51499999999999</v>
      </c>
      <c r="D10" s="146">
        <f t="shared" si="0"/>
        <v>0.99724908188107786</v>
      </c>
      <c r="E10" s="146">
        <f t="shared" si="1"/>
        <v>0.99847468207307422</v>
      </c>
      <c r="F10" s="433">
        <v>382.28699999999998</v>
      </c>
      <c r="G10" s="146">
        <f t="shared" si="1"/>
        <v>1.0139349993399212</v>
      </c>
      <c r="H10" s="433">
        <v>414.74200000000002</v>
      </c>
    </row>
    <row r="11" spans="1:8" x14ac:dyDescent="0.25">
      <c r="A11" s="148" t="s">
        <v>4648</v>
      </c>
      <c r="B11" s="146">
        <v>431.43799999999999</v>
      </c>
      <c r="C11" s="432">
        <v>362.11</v>
      </c>
      <c r="D11" s="146">
        <f t="shared" si="0"/>
        <v>0.99888280484945458</v>
      </c>
      <c r="E11" s="146">
        <f t="shared" si="1"/>
        <v>1.0308773251509993</v>
      </c>
      <c r="F11" s="433">
        <v>394.09100000000001</v>
      </c>
      <c r="G11" s="146">
        <f t="shared" si="1"/>
        <v>1.0070284658896373</v>
      </c>
      <c r="H11" s="433">
        <v>417.65699999999998</v>
      </c>
    </row>
    <row r="12" spans="1:8" x14ac:dyDescent="0.25">
      <c r="A12" s="148" t="s">
        <v>4649</v>
      </c>
      <c r="B12" s="146">
        <v>431.51600000000002</v>
      </c>
      <c r="C12" s="432">
        <v>362.57299999999998</v>
      </c>
      <c r="D12" s="146">
        <f t="shared" si="0"/>
        <v>1.0012786169948358</v>
      </c>
      <c r="E12" s="146">
        <f t="shared" si="1"/>
        <v>1.0022507491924455</v>
      </c>
      <c r="F12" s="433">
        <v>394.97800000000001</v>
      </c>
      <c r="G12" s="146">
        <f t="shared" si="1"/>
        <v>1.0026337401264676</v>
      </c>
      <c r="H12" s="433">
        <v>418.75700000000001</v>
      </c>
    </row>
    <row r="13" spans="1:8" x14ac:dyDescent="0.25">
      <c r="A13" s="148" t="s">
        <v>4650</v>
      </c>
      <c r="B13" s="146">
        <v>431.51600000000002</v>
      </c>
      <c r="C13" s="432">
        <v>362.80900000000003</v>
      </c>
      <c r="D13" s="146">
        <f t="shared" si="0"/>
        <v>1.0006509034042801</v>
      </c>
      <c r="E13" s="146">
        <f t="shared" si="1"/>
        <v>0.99887082318508869</v>
      </c>
      <c r="F13" s="433">
        <v>394.53199999999998</v>
      </c>
      <c r="G13" s="146">
        <f t="shared" si="1"/>
        <v>0.99945314346984049</v>
      </c>
      <c r="H13" s="433">
        <v>418.52800000000002</v>
      </c>
    </row>
    <row r="14" spans="1:8" x14ac:dyDescent="0.25">
      <c r="A14" s="148" t="s">
        <v>4651</v>
      </c>
      <c r="B14" s="146">
        <v>431.51600000000002</v>
      </c>
      <c r="C14" s="432">
        <v>363.88</v>
      </c>
      <c r="D14" s="146">
        <f t="shared" si="0"/>
        <v>1.0029519664616919</v>
      </c>
      <c r="E14" s="146">
        <f t="shared" si="1"/>
        <v>1.001586690053025</v>
      </c>
      <c r="F14" s="433">
        <v>395.15800000000002</v>
      </c>
      <c r="G14" s="146">
        <f t="shared" si="1"/>
        <v>1.0014789930422814</v>
      </c>
      <c r="H14" s="433">
        <v>419.14699999999999</v>
      </c>
    </row>
    <row r="15" spans="1:8" x14ac:dyDescent="0.25">
      <c r="A15" s="148" t="s">
        <v>4652</v>
      </c>
      <c r="B15" s="146">
        <v>431.51600000000002</v>
      </c>
      <c r="C15" s="432">
        <v>364.09</v>
      </c>
      <c r="D15" s="146">
        <f t="shared" si="0"/>
        <v>1.0005771133340662</v>
      </c>
      <c r="E15" s="146">
        <f t="shared" si="1"/>
        <v>1.000311267897904</v>
      </c>
      <c r="F15" s="433">
        <v>395.28100000000001</v>
      </c>
      <c r="G15" s="146">
        <f t="shared" si="1"/>
        <v>1.000615535838262</v>
      </c>
      <c r="H15" s="433">
        <v>419.40499999999997</v>
      </c>
    </row>
    <row r="16" spans="1:8" x14ac:dyDescent="0.25">
      <c r="A16" s="148" t="s">
        <v>4653</v>
      </c>
      <c r="B16" s="146">
        <v>431.51600000000002</v>
      </c>
      <c r="C16" s="432">
        <v>365.57100000000003</v>
      </c>
      <c r="D16" s="146">
        <f t="shared" si="0"/>
        <v>1.0040676755747207</v>
      </c>
      <c r="E16" s="146">
        <f t="shared" si="1"/>
        <v>1.0021883166658656</v>
      </c>
      <c r="F16" s="433">
        <v>396.14600000000002</v>
      </c>
      <c r="G16" s="146">
        <f t="shared" si="1"/>
        <v>1.0029327261239136</v>
      </c>
      <c r="H16" s="433">
        <v>420.63499999999999</v>
      </c>
    </row>
    <row r="17" spans="1:8" x14ac:dyDescent="0.25">
      <c r="A17" s="148" t="s">
        <v>4654</v>
      </c>
      <c r="B17" s="146">
        <v>431.51600000000002</v>
      </c>
      <c r="C17" s="432">
        <v>366.93200000000002</v>
      </c>
      <c r="D17" s="146">
        <f t="shared" si="0"/>
        <v>1.0037229430124381</v>
      </c>
      <c r="E17" s="146">
        <f t="shared" si="1"/>
        <v>1.0020068358635452</v>
      </c>
      <c r="F17" s="433">
        <v>396.94099999999997</v>
      </c>
      <c r="G17" s="146">
        <f t="shared" si="1"/>
        <v>1.0009889809454753</v>
      </c>
      <c r="H17" s="433">
        <v>421.05099999999999</v>
      </c>
    </row>
    <row r="18" spans="1:8" x14ac:dyDescent="0.25">
      <c r="A18" s="148" t="s">
        <v>4655</v>
      </c>
      <c r="B18" s="146">
        <v>431.53899999999999</v>
      </c>
      <c r="C18" s="432">
        <v>367.06799999999998</v>
      </c>
      <c r="D18" s="146">
        <f t="shared" si="0"/>
        <v>1.0003706408816893</v>
      </c>
      <c r="E18" s="146">
        <f t="shared" si="1"/>
        <v>1.0002242146817788</v>
      </c>
      <c r="F18" s="433">
        <v>397.03</v>
      </c>
      <c r="G18" s="146">
        <f t="shared" si="1"/>
        <v>1.006386399747299</v>
      </c>
      <c r="H18" s="433">
        <v>423.74</v>
      </c>
    </row>
    <row r="19" spans="1:8" x14ac:dyDescent="0.25">
      <c r="A19" s="148" t="s">
        <v>4656</v>
      </c>
      <c r="B19" s="146">
        <v>432.923</v>
      </c>
      <c r="C19" s="432">
        <v>367.06799999999998</v>
      </c>
      <c r="D19" s="146">
        <f t="shared" si="0"/>
        <v>1</v>
      </c>
      <c r="E19" s="146">
        <f t="shared" si="1"/>
        <v>1.0023852101856283</v>
      </c>
      <c r="F19" s="433">
        <v>397.97699999999998</v>
      </c>
      <c r="G19" s="146">
        <f t="shared" si="1"/>
        <v>1.0036059848020011</v>
      </c>
      <c r="H19" s="433">
        <v>425.26799999999997</v>
      </c>
    </row>
    <row r="20" spans="1:8" x14ac:dyDescent="0.25">
      <c r="A20" s="148" t="s">
        <v>4657</v>
      </c>
      <c r="B20" s="146">
        <v>433.64800000000002</v>
      </c>
      <c r="C20" s="432">
        <v>369.43299999999999</v>
      </c>
      <c r="D20" s="146">
        <f t="shared" si="0"/>
        <v>1.0064429479006616</v>
      </c>
      <c r="E20" s="146">
        <f t="shared" si="1"/>
        <v>1.0033343635436218</v>
      </c>
      <c r="F20" s="433">
        <v>399.30399999999997</v>
      </c>
      <c r="G20" s="146">
        <f t="shared" si="1"/>
        <v>1.0075434784653443</v>
      </c>
      <c r="H20" s="433">
        <v>428.476</v>
      </c>
    </row>
    <row r="21" spans="1:8" x14ac:dyDescent="0.25">
      <c r="A21" s="148" t="s">
        <v>4658</v>
      </c>
      <c r="B21" s="146">
        <v>433.65100000000001</v>
      </c>
      <c r="C21" s="432">
        <v>372.339</v>
      </c>
      <c r="D21" s="146">
        <f t="shared" si="0"/>
        <v>1.0078661083335814</v>
      </c>
      <c r="E21" s="146">
        <f t="shared" si="1"/>
        <v>1.004254903532146</v>
      </c>
      <c r="F21" s="433">
        <v>401.00299999999999</v>
      </c>
      <c r="G21" s="146">
        <f t="shared" si="1"/>
        <v>1.0084088723755824</v>
      </c>
      <c r="H21" s="433">
        <v>432.07900000000001</v>
      </c>
    </row>
    <row r="22" spans="1:8" x14ac:dyDescent="0.25">
      <c r="A22" s="148" t="s">
        <v>4659</v>
      </c>
      <c r="B22" s="146">
        <v>433.65100000000001</v>
      </c>
      <c r="C22" s="432">
        <v>374.00099999999998</v>
      </c>
      <c r="D22" s="146">
        <f t="shared" si="0"/>
        <v>1.0044636742323527</v>
      </c>
      <c r="E22" s="146">
        <f t="shared" si="1"/>
        <v>1.0024214282686164</v>
      </c>
      <c r="F22" s="433">
        <v>401.97399999999999</v>
      </c>
      <c r="G22" s="146">
        <f t="shared" si="1"/>
        <v>1.0181332580384606</v>
      </c>
      <c r="H22" s="433">
        <v>439.91399999999999</v>
      </c>
    </row>
    <row r="23" spans="1:8" x14ac:dyDescent="0.25">
      <c r="A23" s="148" t="s">
        <v>4660</v>
      </c>
      <c r="B23" s="146">
        <v>466.65600000000001</v>
      </c>
      <c r="C23" s="432">
        <v>378.262</v>
      </c>
      <c r="D23" s="146">
        <f t="shared" si="0"/>
        <v>1.0113930176657282</v>
      </c>
      <c r="E23" s="146">
        <f t="shared" si="1"/>
        <v>1.0409379711125595</v>
      </c>
      <c r="F23" s="433">
        <v>418.43</v>
      </c>
      <c r="G23" s="146">
        <f t="shared" si="1"/>
        <v>1.0109203162436295</v>
      </c>
      <c r="H23" s="433">
        <v>444.71800000000002</v>
      </c>
    </row>
    <row r="24" spans="1:8" x14ac:dyDescent="0.25">
      <c r="A24" s="148" t="s">
        <v>4661</v>
      </c>
      <c r="B24" s="146">
        <v>466.65600000000001</v>
      </c>
      <c r="C24" s="432">
        <v>380.24400000000003</v>
      </c>
      <c r="D24" s="146">
        <f t="shared" si="0"/>
        <v>1.0052397544559062</v>
      </c>
      <c r="E24" s="146">
        <f t="shared" si="1"/>
        <v>1.0027674879908228</v>
      </c>
      <c r="F24" s="433">
        <v>419.58800000000002</v>
      </c>
      <c r="G24" s="146">
        <f t="shared" si="1"/>
        <v>1.0044297734744265</v>
      </c>
      <c r="H24" s="433">
        <v>446.68799999999999</v>
      </c>
    </row>
    <row r="25" spans="1:8" x14ac:dyDescent="0.25">
      <c r="A25" s="148" t="s">
        <v>4662</v>
      </c>
      <c r="B25" s="146">
        <v>466.65600000000001</v>
      </c>
      <c r="C25" s="432">
        <v>381.99900000000002</v>
      </c>
      <c r="D25" s="146">
        <f t="shared" si="0"/>
        <v>1.0046154574431154</v>
      </c>
      <c r="E25" s="146">
        <f t="shared" si="1"/>
        <v>1.0024428725321028</v>
      </c>
      <c r="F25" s="433">
        <v>420.613</v>
      </c>
      <c r="G25" s="146">
        <f t="shared" si="1"/>
        <v>1.0013611290207034</v>
      </c>
      <c r="H25" s="433">
        <v>447.29599999999999</v>
      </c>
    </row>
    <row r="26" spans="1:8" x14ac:dyDescent="0.25">
      <c r="A26" s="148" t="s">
        <v>4663</v>
      </c>
      <c r="B26" s="146">
        <v>466.65600000000001</v>
      </c>
      <c r="C26" s="432">
        <v>382.95299999999997</v>
      </c>
      <c r="D26" s="146">
        <f t="shared" si="0"/>
        <v>1.0024973887366195</v>
      </c>
      <c r="E26" s="146">
        <f t="shared" si="1"/>
        <v>1.0013242576905612</v>
      </c>
      <c r="F26" s="433">
        <v>421.17</v>
      </c>
      <c r="G26" s="146">
        <f t="shared" si="1"/>
        <v>1.0020702174846186</v>
      </c>
      <c r="H26" s="433">
        <v>448.22199999999998</v>
      </c>
    </row>
    <row r="27" spans="1:8" x14ac:dyDescent="0.25">
      <c r="A27" s="148" t="s">
        <v>4664</v>
      </c>
      <c r="B27" s="146">
        <v>466.65600000000001</v>
      </c>
      <c r="C27" s="432">
        <v>384.21699999999998</v>
      </c>
      <c r="D27" s="146">
        <f t="shared" si="0"/>
        <v>1.0033006661391868</v>
      </c>
      <c r="E27" s="146">
        <f t="shared" si="1"/>
        <v>1.0017522615570909</v>
      </c>
      <c r="F27" s="433">
        <v>421.90800000000002</v>
      </c>
      <c r="G27" s="146">
        <f t="shared" si="1"/>
        <v>1.0019655438599624</v>
      </c>
      <c r="H27" s="433">
        <v>449.10300000000001</v>
      </c>
    </row>
    <row r="28" spans="1:8" x14ac:dyDescent="0.25">
      <c r="A28" s="148" t="s">
        <v>4665</v>
      </c>
      <c r="B28" s="146">
        <v>476.19099999999997</v>
      </c>
      <c r="C28" s="432">
        <v>384.20100000000002</v>
      </c>
      <c r="D28" s="146">
        <f t="shared" si="0"/>
        <v>0.99995835686604195</v>
      </c>
      <c r="E28" s="146">
        <f t="shared" si="1"/>
        <v>1.0095423646861401</v>
      </c>
      <c r="F28" s="433">
        <v>425.93400000000003</v>
      </c>
      <c r="G28" s="146">
        <f t="shared" si="1"/>
        <v>1.0036962567606984</v>
      </c>
      <c r="H28" s="433">
        <v>450.76299999999998</v>
      </c>
    </row>
    <row r="29" spans="1:8" x14ac:dyDescent="0.25">
      <c r="A29" s="148" t="s">
        <v>4666</v>
      </c>
      <c r="B29" s="146">
        <v>476.59500000000003</v>
      </c>
      <c r="C29" s="432">
        <v>383.68799999999999</v>
      </c>
      <c r="D29" s="146">
        <f t="shared" si="0"/>
        <v>0.99866476141394733</v>
      </c>
      <c r="E29" s="146">
        <f t="shared" si="1"/>
        <v>0.99969713617602718</v>
      </c>
      <c r="F29" s="433">
        <v>425.80500000000001</v>
      </c>
      <c r="G29" s="146">
        <f t="shared" si="1"/>
        <v>1.0066620374786752</v>
      </c>
      <c r="H29" s="433">
        <v>453.76600000000002</v>
      </c>
    </row>
    <row r="30" spans="1:8" x14ac:dyDescent="0.25">
      <c r="A30" s="148" t="s">
        <v>4667</v>
      </c>
      <c r="B30" s="146">
        <v>476.59500000000003</v>
      </c>
      <c r="C30" s="432">
        <v>384.875</v>
      </c>
      <c r="D30" s="146">
        <f t="shared" si="0"/>
        <v>1.0030936594316215</v>
      </c>
      <c r="E30" s="146">
        <f t="shared" si="1"/>
        <v>1.0016275055483144</v>
      </c>
      <c r="F30" s="433">
        <v>426.49799999999999</v>
      </c>
      <c r="G30" s="146">
        <f t="shared" si="1"/>
        <v>1.0040836025616728</v>
      </c>
      <c r="H30" s="433">
        <v>455.61900000000003</v>
      </c>
    </row>
    <row r="31" spans="1:8" x14ac:dyDescent="0.25">
      <c r="A31" s="148" t="s">
        <v>4668</v>
      </c>
      <c r="B31" s="146">
        <v>476.59500000000003</v>
      </c>
      <c r="C31" s="432">
        <v>384.755</v>
      </c>
      <c r="D31" s="146">
        <f t="shared" si="0"/>
        <v>0.99968821045794087</v>
      </c>
      <c r="E31" s="146">
        <f t="shared" si="1"/>
        <v>0.99983587261839446</v>
      </c>
      <c r="F31" s="433">
        <v>426.428</v>
      </c>
      <c r="G31" s="146">
        <f t="shared" si="1"/>
        <v>1.002848871535208</v>
      </c>
      <c r="H31" s="433">
        <v>456.91699999999997</v>
      </c>
    </row>
    <row r="32" spans="1:8" x14ac:dyDescent="0.25">
      <c r="A32" s="148" t="s">
        <v>4669</v>
      </c>
      <c r="B32" s="146">
        <v>476.59500000000003</v>
      </c>
      <c r="C32" s="432">
        <v>385.12099999999998</v>
      </c>
      <c r="D32" s="146">
        <f t="shared" si="0"/>
        <v>1.0009512546945458</v>
      </c>
      <c r="E32" s="146">
        <f t="shared" si="1"/>
        <v>1.0005018432185504</v>
      </c>
      <c r="F32" s="433">
        <v>426.642</v>
      </c>
      <c r="G32" s="146">
        <f t="shared" si="1"/>
        <v>1.0043115051530147</v>
      </c>
      <c r="H32" s="433">
        <v>458.887</v>
      </c>
    </row>
    <row r="33" spans="1:8" x14ac:dyDescent="0.25">
      <c r="A33" s="148" t="s">
        <v>4670</v>
      </c>
      <c r="B33" s="146">
        <v>476.59500000000003</v>
      </c>
      <c r="C33" s="432">
        <v>386.4</v>
      </c>
      <c r="D33" s="146">
        <f t="shared" si="0"/>
        <v>1.0033210341684822</v>
      </c>
      <c r="E33" s="146">
        <f t="shared" si="1"/>
        <v>1.0017508824728929</v>
      </c>
      <c r="F33" s="433">
        <v>427.38900000000001</v>
      </c>
      <c r="G33" s="146">
        <f t="shared" si="1"/>
        <v>1.0106322471545284</v>
      </c>
      <c r="H33" s="433">
        <v>463.76600000000002</v>
      </c>
    </row>
    <row r="34" spans="1:8" x14ac:dyDescent="0.25">
      <c r="A34" s="148" t="s">
        <v>4671</v>
      </c>
      <c r="B34" s="146">
        <v>521.79700000000003</v>
      </c>
      <c r="C34" s="432">
        <v>387.19400000000002</v>
      </c>
      <c r="D34" s="146">
        <f t="shared" si="0"/>
        <v>1.0020548654244308</v>
      </c>
      <c r="E34" s="146">
        <f t="shared" si="1"/>
        <v>1.0458411423784888</v>
      </c>
      <c r="F34" s="433">
        <v>446.98099999999999</v>
      </c>
      <c r="G34" s="146">
        <f t="shared" si="1"/>
        <v>1.0294092279296023</v>
      </c>
      <c r="H34" s="433">
        <v>477.40499999999997</v>
      </c>
    </row>
    <row r="35" spans="1:8" x14ac:dyDescent="0.25">
      <c r="A35" s="148" t="s">
        <v>4672</v>
      </c>
      <c r="B35" s="146">
        <v>521.79700000000003</v>
      </c>
      <c r="C35" s="432">
        <v>387.08</v>
      </c>
      <c r="D35" s="146">
        <f t="shared" si="0"/>
        <v>0.99970557395000947</v>
      </c>
      <c r="E35" s="146">
        <f t="shared" si="1"/>
        <v>0.99985010548546804</v>
      </c>
      <c r="F35" s="433">
        <v>446.91399999999999</v>
      </c>
      <c r="G35" s="146">
        <f t="shared" si="1"/>
        <v>1.0037243011698662</v>
      </c>
      <c r="H35" s="433">
        <v>479.18299999999999</v>
      </c>
    </row>
    <row r="36" spans="1:8" x14ac:dyDescent="0.25">
      <c r="A36" s="148" t="s">
        <v>4673</v>
      </c>
      <c r="B36" s="146">
        <v>521.79700000000003</v>
      </c>
      <c r="C36" s="432">
        <v>388.18700000000001</v>
      </c>
      <c r="D36" s="146">
        <f t="shared" si="0"/>
        <v>1.0028598739278702</v>
      </c>
      <c r="E36" s="146">
        <f t="shared" si="1"/>
        <v>1.0014454682556375</v>
      </c>
      <c r="F36" s="433">
        <v>447.56</v>
      </c>
      <c r="G36" s="146">
        <f t="shared" si="1"/>
        <v>1.0044805429241019</v>
      </c>
      <c r="H36" s="433">
        <v>481.33</v>
      </c>
    </row>
    <row r="37" spans="1:8" x14ac:dyDescent="0.25">
      <c r="A37" s="148" t="s">
        <v>4674</v>
      </c>
      <c r="B37" s="146">
        <v>521.79700000000003</v>
      </c>
      <c r="C37" s="432">
        <v>389.791</v>
      </c>
      <c r="D37" s="146">
        <f t="shared" si="0"/>
        <v>1.0041320291508988</v>
      </c>
      <c r="E37" s="146">
        <f t="shared" si="1"/>
        <v>1.002093574045938</v>
      </c>
      <c r="F37" s="433">
        <v>448.49700000000001</v>
      </c>
      <c r="G37" s="146">
        <f t="shared" si="1"/>
        <v>1.0013213387904349</v>
      </c>
      <c r="H37" s="433">
        <v>481.96600000000001</v>
      </c>
    </row>
    <row r="38" spans="1:8" x14ac:dyDescent="0.25">
      <c r="A38" s="148" t="s">
        <v>4675</v>
      </c>
      <c r="B38" s="146">
        <v>521.79700000000003</v>
      </c>
      <c r="C38" s="432">
        <v>391.12299999999999</v>
      </c>
      <c r="D38" s="146">
        <f t="shared" si="0"/>
        <v>1.0034172158926193</v>
      </c>
      <c r="E38" s="146">
        <f t="shared" si="1"/>
        <v>1.0017346827292044</v>
      </c>
      <c r="F38" s="433">
        <v>449.27499999999998</v>
      </c>
      <c r="G38" s="146">
        <f t="shared" si="1"/>
        <v>1.0014357859268082</v>
      </c>
      <c r="H38" s="433">
        <v>482.65800000000002</v>
      </c>
    </row>
    <row r="39" spans="1:8" x14ac:dyDescent="0.25">
      <c r="A39" s="148" t="s">
        <v>4676</v>
      </c>
      <c r="B39" s="146">
        <v>521.79700000000003</v>
      </c>
      <c r="C39" s="432">
        <v>391.86900000000003</v>
      </c>
      <c r="D39" s="146">
        <f t="shared" si="0"/>
        <v>1.0019073283851885</v>
      </c>
      <c r="E39" s="146">
        <f t="shared" si="1"/>
        <v>1.0009704523955263</v>
      </c>
      <c r="F39" s="433">
        <v>449.71100000000001</v>
      </c>
      <c r="G39" s="146">
        <f t="shared" si="1"/>
        <v>1.0022790464469664</v>
      </c>
      <c r="H39" s="433">
        <v>483.75799999999998</v>
      </c>
    </row>
    <row r="40" spans="1:8" x14ac:dyDescent="0.25">
      <c r="A40" s="148" t="s">
        <v>4677</v>
      </c>
      <c r="B40" s="146">
        <v>552.02700000000004</v>
      </c>
      <c r="C40" s="432">
        <v>394.53699999999998</v>
      </c>
      <c r="D40" s="146">
        <f t="shared" si="0"/>
        <v>1.0068083977043347</v>
      </c>
      <c r="E40" s="146">
        <f t="shared" si="1"/>
        <v>1.03191160545328</v>
      </c>
      <c r="F40" s="433">
        <v>464.06200000000001</v>
      </c>
      <c r="G40" s="146">
        <f t="shared" si="1"/>
        <v>1.0071585379466592</v>
      </c>
      <c r="H40" s="433">
        <v>487.221</v>
      </c>
    </row>
    <row r="41" spans="1:8" x14ac:dyDescent="0.25">
      <c r="A41" s="148" t="s">
        <v>4678</v>
      </c>
      <c r="B41" s="146">
        <v>552.02700000000004</v>
      </c>
      <c r="C41" s="432">
        <v>394.01100000000002</v>
      </c>
      <c r="D41" s="146">
        <f t="shared" si="0"/>
        <v>0.99866679170774875</v>
      </c>
      <c r="E41" s="146">
        <f t="shared" si="1"/>
        <v>0.99933845046567049</v>
      </c>
      <c r="F41" s="433">
        <v>463.755</v>
      </c>
      <c r="G41" s="146">
        <f t="shared" si="1"/>
        <v>1.0010836971312813</v>
      </c>
      <c r="H41" s="433">
        <v>487.74900000000002</v>
      </c>
    </row>
    <row r="42" spans="1:8" x14ac:dyDescent="0.25">
      <c r="A42" s="148" t="s">
        <v>4679</v>
      </c>
      <c r="B42" s="146">
        <v>552.02700000000004</v>
      </c>
      <c r="C42" s="432">
        <v>394.30700000000002</v>
      </c>
      <c r="D42" s="146">
        <f t="shared" si="0"/>
        <v>1.0007512480616023</v>
      </c>
      <c r="E42" s="146">
        <f t="shared" si="1"/>
        <v>1.0003730418000885</v>
      </c>
      <c r="F42" s="433">
        <v>463.928</v>
      </c>
      <c r="G42" s="146">
        <f t="shared" si="1"/>
        <v>1.008932873260632</v>
      </c>
      <c r="H42" s="433">
        <v>492.10599999999999</v>
      </c>
    </row>
    <row r="43" spans="1:8" x14ac:dyDescent="0.25">
      <c r="A43" s="148" t="s">
        <v>4680</v>
      </c>
      <c r="B43" s="146">
        <v>552.02700000000004</v>
      </c>
      <c r="C43" s="432">
        <v>396.536</v>
      </c>
      <c r="D43" s="146">
        <f t="shared" si="0"/>
        <v>1.0056529556918847</v>
      </c>
      <c r="E43" s="146">
        <f t="shared" si="1"/>
        <v>1.0028064699694781</v>
      </c>
      <c r="F43" s="433">
        <v>465.23</v>
      </c>
      <c r="G43" s="146">
        <f t="shared" si="1"/>
        <v>1.0030034179627967</v>
      </c>
      <c r="H43" s="433">
        <v>493.584</v>
      </c>
    </row>
    <row r="44" spans="1:8" x14ac:dyDescent="0.25">
      <c r="A44" s="148" t="s">
        <v>4681</v>
      </c>
      <c r="B44" s="146">
        <v>552.02700000000004</v>
      </c>
      <c r="C44" s="432">
        <v>399.709</v>
      </c>
      <c r="D44" s="146">
        <f t="shared" si="0"/>
        <v>1.0080017955494582</v>
      </c>
      <c r="E44" s="146">
        <f t="shared" si="1"/>
        <v>1.0039851256367818</v>
      </c>
      <c r="F44" s="433">
        <v>467.084</v>
      </c>
      <c r="G44" s="146">
        <f t="shared" si="1"/>
        <v>1.005054864015041</v>
      </c>
      <c r="H44" s="433">
        <v>496.07900000000001</v>
      </c>
    </row>
    <row r="45" spans="1:8" x14ac:dyDescent="0.25">
      <c r="A45" s="148" t="s">
        <v>4682</v>
      </c>
      <c r="B45" s="146">
        <v>552.02700000000004</v>
      </c>
      <c r="C45" s="432">
        <v>402.88099999999997</v>
      </c>
      <c r="D45" s="146">
        <f t="shared" si="0"/>
        <v>1.0079357732750576</v>
      </c>
      <c r="E45" s="146">
        <f t="shared" si="1"/>
        <v>1.0039671665053824</v>
      </c>
      <c r="F45" s="433">
        <v>468.93700000000001</v>
      </c>
      <c r="G45" s="146">
        <f t="shared" si="1"/>
        <v>1.0074826791700515</v>
      </c>
      <c r="H45" s="433">
        <v>499.791</v>
      </c>
    </row>
    <row r="46" spans="1:8" x14ac:dyDescent="0.25">
      <c r="A46" s="148" t="s">
        <v>4683</v>
      </c>
      <c r="B46" s="146">
        <v>552.02700000000004</v>
      </c>
      <c r="C46" s="432">
        <v>404.18200000000002</v>
      </c>
      <c r="D46" s="146">
        <f t="shared" si="0"/>
        <v>1.0032292413888966</v>
      </c>
      <c r="E46" s="146">
        <f t="shared" si="1"/>
        <v>1.0016206867873509</v>
      </c>
      <c r="F46" s="433">
        <v>469.697</v>
      </c>
      <c r="G46" s="146">
        <f t="shared" si="1"/>
        <v>1.0187938558317378</v>
      </c>
      <c r="H46" s="433">
        <v>509.18400000000003</v>
      </c>
    </row>
    <row r="47" spans="1:8" x14ac:dyDescent="0.25">
      <c r="A47" s="148" t="s">
        <v>4684</v>
      </c>
      <c r="B47" s="146">
        <v>567.56500000000005</v>
      </c>
      <c r="C47" s="432">
        <v>405.00099999999998</v>
      </c>
      <c r="D47" s="146">
        <f t="shared" si="0"/>
        <v>1.0020263148779509</v>
      </c>
      <c r="E47" s="146">
        <f t="shared" si="1"/>
        <v>1.0330340623848993</v>
      </c>
      <c r="F47" s="433">
        <v>485.21300000000002</v>
      </c>
      <c r="G47" s="146">
        <f t="shared" si="1"/>
        <v>1.0073038430115635</v>
      </c>
      <c r="H47" s="433">
        <v>512.90300000000002</v>
      </c>
    </row>
    <row r="48" spans="1:8" x14ac:dyDescent="0.25">
      <c r="A48" s="148" t="s">
        <v>4685</v>
      </c>
      <c r="B48" s="146">
        <v>605.82899999999995</v>
      </c>
      <c r="C48" s="432">
        <v>406.03800000000001</v>
      </c>
      <c r="D48" s="146">
        <f t="shared" si="0"/>
        <v>1.0025604875049692</v>
      </c>
      <c r="E48" s="146">
        <f t="shared" si="1"/>
        <v>1.0171759618971461</v>
      </c>
      <c r="F48" s="433">
        <v>493.54700000000003</v>
      </c>
      <c r="G48" s="146">
        <f t="shared" si="1"/>
        <v>1.0066581790319027</v>
      </c>
      <c r="H48" s="433">
        <v>516.31799999999998</v>
      </c>
    </row>
    <row r="49" spans="1:8" x14ac:dyDescent="0.25">
      <c r="A49" s="148" t="s">
        <v>4686</v>
      </c>
      <c r="B49" s="146">
        <v>605.82899999999995</v>
      </c>
      <c r="C49" s="432">
        <v>407.64499999999998</v>
      </c>
      <c r="D49" s="146">
        <f t="shared" si="0"/>
        <v>1.0039577576482988</v>
      </c>
      <c r="E49" s="146">
        <f t="shared" si="1"/>
        <v>1.001902554366656</v>
      </c>
      <c r="F49" s="433">
        <v>494.48599999999999</v>
      </c>
      <c r="G49" s="146">
        <f t="shared" si="1"/>
        <v>1.0025933630049699</v>
      </c>
      <c r="H49" s="433">
        <v>517.65700000000004</v>
      </c>
    </row>
    <row r="50" spans="1:8" x14ac:dyDescent="0.25">
      <c r="A50" s="148" t="s">
        <v>4687</v>
      </c>
      <c r="B50" s="146">
        <v>605.82899999999995</v>
      </c>
      <c r="C50" s="432">
        <v>409.298</v>
      </c>
      <c r="D50" s="146">
        <f t="shared" si="0"/>
        <v>1.0040549988347705</v>
      </c>
      <c r="E50" s="146">
        <f t="shared" si="1"/>
        <v>1.0019535436796998</v>
      </c>
      <c r="F50" s="433">
        <v>495.452</v>
      </c>
      <c r="G50" s="146">
        <f t="shared" si="1"/>
        <v>1.0022389342750122</v>
      </c>
      <c r="H50" s="433">
        <v>518.81600000000003</v>
      </c>
    </row>
    <row r="51" spans="1:8" x14ac:dyDescent="0.25">
      <c r="A51" s="148" t="s">
        <v>4688</v>
      </c>
      <c r="B51" s="146">
        <v>605.82899999999995</v>
      </c>
      <c r="C51" s="432">
        <v>411.38200000000001</v>
      </c>
      <c r="D51" s="146">
        <f t="shared" si="0"/>
        <v>1.0050916447185181</v>
      </c>
      <c r="E51" s="146">
        <f t="shared" si="1"/>
        <v>1.0024583612539661</v>
      </c>
      <c r="F51" s="433">
        <v>496.67</v>
      </c>
      <c r="G51" s="146">
        <f t="shared" si="1"/>
        <v>1.0021028649848887</v>
      </c>
      <c r="H51" s="433">
        <v>519.90700000000004</v>
      </c>
    </row>
    <row r="52" spans="1:8" x14ac:dyDescent="0.25">
      <c r="A52" s="148" t="s">
        <v>4689</v>
      </c>
      <c r="B52" s="146">
        <v>605.82899999999995</v>
      </c>
      <c r="C52" s="432">
        <v>412.23099999999999</v>
      </c>
      <c r="D52" s="146">
        <f t="shared" si="0"/>
        <v>1.0020637752745623</v>
      </c>
      <c r="E52" s="146">
        <f t="shared" si="1"/>
        <v>1.0009986510157649</v>
      </c>
      <c r="F52" s="433">
        <v>497.166</v>
      </c>
      <c r="G52" s="146">
        <f t="shared" si="1"/>
        <v>1.0033294416116729</v>
      </c>
      <c r="H52" s="433">
        <v>521.63800000000003</v>
      </c>
    </row>
    <row r="53" spans="1:8" x14ac:dyDescent="0.25">
      <c r="A53" s="148" t="s">
        <v>4690</v>
      </c>
      <c r="B53" s="146">
        <v>605.82899999999995</v>
      </c>
      <c r="C53" s="432">
        <v>412.36700000000002</v>
      </c>
      <c r="D53" s="146">
        <f t="shared" si="0"/>
        <v>1.0003299121123836</v>
      </c>
      <c r="E53" s="146">
        <f t="shared" si="1"/>
        <v>1.0001609120494965</v>
      </c>
      <c r="F53" s="433">
        <v>497.24599999999998</v>
      </c>
      <c r="G53" s="146">
        <f t="shared" si="1"/>
        <v>1.0016026439791579</v>
      </c>
      <c r="H53" s="433">
        <v>522.47400000000005</v>
      </c>
    </row>
    <row r="54" spans="1:8" x14ac:dyDescent="0.25">
      <c r="A54" s="148" t="s">
        <v>4691</v>
      </c>
      <c r="B54" s="146">
        <v>605.82899999999995</v>
      </c>
      <c r="C54" s="432">
        <v>414.29899999999998</v>
      </c>
      <c r="D54" s="146">
        <f t="shared" si="0"/>
        <v>1.0046851469685982</v>
      </c>
      <c r="E54" s="146">
        <f t="shared" si="1"/>
        <v>1.0022705059467547</v>
      </c>
      <c r="F54" s="433">
        <v>498.375</v>
      </c>
      <c r="G54" s="146">
        <f t="shared" si="1"/>
        <v>1.0064615655515872</v>
      </c>
      <c r="H54" s="433">
        <v>525.85</v>
      </c>
    </row>
    <row r="55" spans="1:8" x14ac:dyDescent="0.25">
      <c r="A55" s="148" t="s">
        <v>4692</v>
      </c>
      <c r="B55" s="146">
        <v>606.11900000000003</v>
      </c>
      <c r="C55" s="432">
        <v>415.74200000000002</v>
      </c>
      <c r="D55" s="146">
        <f t="shared" si="0"/>
        <v>1.0034829917523336</v>
      </c>
      <c r="E55" s="146">
        <f t="shared" si="1"/>
        <v>1.0019382994732882</v>
      </c>
      <c r="F55" s="433">
        <v>499.34100000000001</v>
      </c>
      <c r="G55" s="146">
        <f t="shared" si="1"/>
        <v>1.0060454502234477</v>
      </c>
      <c r="H55" s="433">
        <v>529.029</v>
      </c>
    </row>
    <row r="56" spans="1:8" x14ac:dyDescent="0.25">
      <c r="A56" s="148" t="s">
        <v>4693</v>
      </c>
      <c r="B56" s="146">
        <v>606.11900000000003</v>
      </c>
      <c r="C56" s="432">
        <v>417.38200000000001</v>
      </c>
      <c r="D56" s="146">
        <f t="shared" si="0"/>
        <v>1.0039447541985174</v>
      </c>
      <c r="E56" s="146">
        <f t="shared" si="1"/>
        <v>1.0019185286207219</v>
      </c>
      <c r="F56" s="433">
        <v>500.29899999999998</v>
      </c>
      <c r="G56" s="146">
        <f t="shared" si="1"/>
        <v>1.0050318602571882</v>
      </c>
      <c r="H56" s="433">
        <v>531.69100000000003</v>
      </c>
    </row>
    <row r="57" spans="1:8" x14ac:dyDescent="0.25">
      <c r="A57" s="148" t="s">
        <v>4694</v>
      </c>
      <c r="B57" s="146">
        <v>606.11900000000003</v>
      </c>
      <c r="C57" s="432">
        <v>417.70699999999999</v>
      </c>
      <c r="D57" s="146">
        <f t="shared" si="0"/>
        <v>1.0007786631910336</v>
      </c>
      <c r="E57" s="146">
        <f t="shared" si="1"/>
        <v>1.0003797728958084</v>
      </c>
      <c r="F57" s="433">
        <v>500.48899999999998</v>
      </c>
      <c r="G57" s="146">
        <f t="shared" si="1"/>
        <v>1.0073538954016523</v>
      </c>
      <c r="H57" s="433">
        <v>535.601</v>
      </c>
    </row>
    <row r="58" spans="1:8" x14ac:dyDescent="0.25">
      <c r="A58" s="148" t="s">
        <v>4695</v>
      </c>
      <c r="B58" s="146">
        <v>606.11900000000003</v>
      </c>
      <c r="C58" s="432">
        <v>419.53199999999998</v>
      </c>
      <c r="D58" s="146">
        <f t="shared" si="0"/>
        <v>1.0043690912529595</v>
      </c>
      <c r="E58" s="146">
        <f t="shared" si="1"/>
        <v>1.0021299169412314</v>
      </c>
      <c r="F58" s="433">
        <v>501.55500000000001</v>
      </c>
      <c r="G58" s="146">
        <f t="shared" si="1"/>
        <v>1.0225055591755803</v>
      </c>
      <c r="H58" s="433">
        <v>547.65499999999997</v>
      </c>
    </row>
    <row r="59" spans="1:8" x14ac:dyDescent="0.25">
      <c r="A59" s="148" t="s">
        <v>4696</v>
      </c>
      <c r="B59" s="146">
        <v>656.91399999999999</v>
      </c>
      <c r="C59" s="432">
        <v>422.29</v>
      </c>
      <c r="D59" s="146">
        <f t="shared" si="0"/>
        <v>1.0065739919720069</v>
      </c>
      <c r="E59" s="146">
        <f t="shared" si="1"/>
        <v>1.046066732462043</v>
      </c>
      <c r="F59" s="433">
        <v>524.66</v>
      </c>
      <c r="G59" s="146">
        <f t="shared" si="1"/>
        <v>1.0114908108206808</v>
      </c>
      <c r="H59" s="433">
        <v>553.94799999999998</v>
      </c>
    </row>
    <row r="60" spans="1:8" x14ac:dyDescent="0.25">
      <c r="A60" s="148" t="s">
        <v>4697</v>
      </c>
      <c r="B60" s="146">
        <v>656.91300000000001</v>
      </c>
      <c r="C60" s="432">
        <v>425.12900000000002</v>
      </c>
      <c r="D60" s="146">
        <f t="shared" si="0"/>
        <v>1.006722868171162</v>
      </c>
      <c r="E60" s="146">
        <f t="shared" si="1"/>
        <v>1.003160141806122</v>
      </c>
      <c r="F60" s="433">
        <v>526.31799999999998</v>
      </c>
      <c r="G60" s="146">
        <f t="shared" si="1"/>
        <v>1.0047874529739254</v>
      </c>
      <c r="H60" s="433">
        <v>556.6</v>
      </c>
    </row>
    <row r="61" spans="1:8" x14ac:dyDescent="0.25">
      <c r="A61" s="148" t="s">
        <v>4698</v>
      </c>
      <c r="B61" s="146">
        <v>656.91300000000001</v>
      </c>
      <c r="C61" s="432">
        <v>427.66800000000001</v>
      </c>
      <c r="D61" s="146">
        <f t="shared" si="0"/>
        <v>1.0059723048768727</v>
      </c>
      <c r="E61" s="146">
        <f t="shared" si="1"/>
        <v>1.0028176881657098</v>
      </c>
      <c r="F61" s="433">
        <v>527.80100000000004</v>
      </c>
      <c r="G61" s="146">
        <f t="shared" si="1"/>
        <v>1.0031261228889687</v>
      </c>
      <c r="H61" s="433">
        <v>558.34</v>
      </c>
    </row>
    <row r="62" spans="1:8" x14ac:dyDescent="0.25">
      <c r="A62" s="148" t="s">
        <v>4699</v>
      </c>
      <c r="B62" s="146">
        <v>656.91300000000001</v>
      </c>
      <c r="C62" s="432">
        <v>431.714</v>
      </c>
      <c r="D62" s="146">
        <f t="shared" si="0"/>
        <v>1.0094606096317704</v>
      </c>
      <c r="E62" s="146">
        <f t="shared" si="1"/>
        <v>1.0044789608204605</v>
      </c>
      <c r="F62" s="433">
        <v>530.16499999999996</v>
      </c>
      <c r="G62" s="146">
        <f t="shared" si="1"/>
        <v>1.0043468137693878</v>
      </c>
      <c r="H62" s="433">
        <v>560.76700000000005</v>
      </c>
    </row>
    <row r="63" spans="1:8" x14ac:dyDescent="0.25">
      <c r="A63" s="148" t="s">
        <v>4700</v>
      </c>
      <c r="B63" s="146">
        <v>656.91300000000001</v>
      </c>
      <c r="C63" s="432">
        <v>433.53800000000001</v>
      </c>
      <c r="D63" s="146">
        <f t="shared" si="0"/>
        <v>1.0042250193415085</v>
      </c>
      <c r="E63" s="146">
        <f t="shared" si="1"/>
        <v>1.0020088085784615</v>
      </c>
      <c r="F63" s="433">
        <v>531.23</v>
      </c>
      <c r="G63" s="146">
        <f t="shared" si="1"/>
        <v>1.0026285426924193</v>
      </c>
      <c r="H63" s="433">
        <v>562.24099999999999</v>
      </c>
    </row>
    <row r="64" spans="1:8" x14ac:dyDescent="0.25">
      <c r="A64" s="148" t="s">
        <v>4701</v>
      </c>
      <c r="B64" s="146">
        <v>656.91300000000001</v>
      </c>
      <c r="C64" s="434">
        <v>433.89</v>
      </c>
      <c r="D64" s="146">
        <f>C64/C63</f>
        <v>1.0008119242142557</v>
      </c>
      <c r="E64" s="146">
        <f>F64/F63</f>
        <v>1.0003858968808237</v>
      </c>
      <c r="F64" s="433">
        <v>531.43499999999995</v>
      </c>
      <c r="G64" s="146">
        <f t="shared" ref="G64:G127" si="2">H64/H63</f>
        <v>1.0034860495766051</v>
      </c>
      <c r="H64" s="433">
        <v>564.20100000000002</v>
      </c>
    </row>
    <row r="65" spans="1:10" x14ac:dyDescent="0.25">
      <c r="A65" s="148" t="s">
        <v>4702</v>
      </c>
      <c r="B65" s="146">
        <v>656.91300000000001</v>
      </c>
      <c r="C65" s="432">
        <v>434.113</v>
      </c>
      <c r="D65" s="146">
        <f>C65/C64</f>
        <v>1.0005139551499229</v>
      </c>
      <c r="E65" s="146">
        <f t="shared" ref="E65:E123" si="3">F65/F64</f>
        <v>1.0002446206967928</v>
      </c>
      <c r="F65" s="433">
        <f>531.565</f>
        <v>531.56500000000005</v>
      </c>
      <c r="G65" s="146">
        <f t="shared" si="2"/>
        <v>1.0009996437439848</v>
      </c>
      <c r="H65" s="433">
        <v>564.76499999999999</v>
      </c>
    </row>
    <row r="66" spans="1:10" x14ac:dyDescent="0.25">
      <c r="A66" s="148" t="s">
        <v>4703</v>
      </c>
      <c r="B66" s="146">
        <v>657.10199999999998</v>
      </c>
      <c r="C66" s="432">
        <v>436.47300000000001</v>
      </c>
      <c r="D66" s="146">
        <f t="shared" ref="D66:D78" si="4">C66/C65</f>
        <v>1.0054363725573756</v>
      </c>
      <c r="E66" s="146">
        <f t="shared" si="3"/>
        <v>1.0027447254804209</v>
      </c>
      <c r="F66" s="433">
        <v>533.024</v>
      </c>
      <c r="G66" s="146">
        <f t="shared" si="2"/>
        <v>1.0087735606845325</v>
      </c>
      <c r="H66" s="433">
        <v>569.72</v>
      </c>
    </row>
    <row r="67" spans="1:10" x14ac:dyDescent="0.25">
      <c r="A67" s="148" t="s">
        <v>4704</v>
      </c>
      <c r="B67" s="146">
        <v>657.10199999999998</v>
      </c>
      <c r="C67" s="432">
        <v>437.45800000000003</v>
      </c>
      <c r="D67" s="146">
        <f t="shared" si="4"/>
        <v>1.0022567260746942</v>
      </c>
      <c r="E67" s="146">
        <f t="shared" si="3"/>
        <v>1.0010787506753918</v>
      </c>
      <c r="F67" s="433">
        <v>533.59900000000005</v>
      </c>
      <c r="G67" s="146">
        <f t="shared" si="2"/>
        <v>1.0032594958927192</v>
      </c>
      <c r="H67" s="433">
        <v>571.577</v>
      </c>
    </row>
    <row r="68" spans="1:10" x14ac:dyDescent="0.25">
      <c r="A68" s="148" t="s">
        <v>4705</v>
      </c>
      <c r="B68" s="146">
        <v>657.10199999999998</v>
      </c>
      <c r="C68" s="432">
        <v>441.60899999999998</v>
      </c>
      <c r="D68" s="146">
        <f t="shared" si="4"/>
        <v>1.0094889109354497</v>
      </c>
      <c r="E68" s="146">
        <f t="shared" si="3"/>
        <v>1.0045446112155381</v>
      </c>
      <c r="F68" s="433">
        <v>536.024</v>
      </c>
      <c r="G68" s="146">
        <f t="shared" si="2"/>
        <v>1.0027625324322007</v>
      </c>
      <c r="H68" s="433">
        <v>573.15599999999995</v>
      </c>
      <c r="J68" s="435"/>
    </row>
    <row r="69" spans="1:10" ht="13.5" customHeight="1" x14ac:dyDescent="0.25">
      <c r="A69" s="148" t="s">
        <v>4706</v>
      </c>
      <c r="B69" s="146">
        <v>657.10199999999998</v>
      </c>
      <c r="C69" s="432">
        <v>444.45800000000003</v>
      </c>
      <c r="D69" s="146">
        <f t="shared" si="4"/>
        <v>1.0064514083725651</v>
      </c>
      <c r="E69" s="146">
        <f t="shared" si="3"/>
        <v>1.003104338611704</v>
      </c>
      <c r="F69" s="433">
        <v>537.68799999999999</v>
      </c>
      <c r="G69" s="146">
        <f t="shared" si="2"/>
        <v>1.0088422698183392</v>
      </c>
      <c r="H69" s="433">
        <v>578.22400000000005</v>
      </c>
    </row>
    <row r="70" spans="1:10" x14ac:dyDescent="0.25">
      <c r="A70" s="148" t="s">
        <v>4707</v>
      </c>
      <c r="B70" s="146">
        <v>657.10199999999998</v>
      </c>
      <c r="C70" s="434">
        <v>447.08</v>
      </c>
      <c r="D70" s="146">
        <f t="shared" si="4"/>
        <v>1.0058993200707378</v>
      </c>
      <c r="E70" s="146">
        <f t="shared" si="3"/>
        <v>1.0028492359881567</v>
      </c>
      <c r="F70" s="436">
        <v>539.22</v>
      </c>
      <c r="G70" s="146">
        <f t="shared" si="2"/>
        <v>1.0205370237139932</v>
      </c>
      <c r="H70" s="436">
        <v>590.09900000000005</v>
      </c>
    </row>
    <row r="71" spans="1:10" x14ac:dyDescent="0.25">
      <c r="A71" s="148" t="s">
        <v>4708</v>
      </c>
      <c r="B71" s="146">
        <v>674.85699999999997</v>
      </c>
      <c r="C71" s="434">
        <v>448.44400000000002</v>
      </c>
      <c r="D71" s="146">
        <f t="shared" si="4"/>
        <v>1.0030509081148788</v>
      </c>
      <c r="E71" s="146">
        <f t="shared" si="3"/>
        <v>1.0154092949074589</v>
      </c>
      <c r="F71" s="436">
        <v>547.529</v>
      </c>
      <c r="G71" s="146">
        <f t="shared" si="2"/>
        <v>1.0066327853461876</v>
      </c>
      <c r="H71" s="436">
        <v>594.01300000000003</v>
      </c>
    </row>
    <row r="72" spans="1:10" x14ac:dyDescent="0.25">
      <c r="A72" s="148" t="s">
        <v>4709</v>
      </c>
      <c r="B72" s="150">
        <v>702.87</v>
      </c>
      <c r="C72" s="434">
        <v>451.66</v>
      </c>
      <c r="D72" s="146">
        <f t="shared" si="4"/>
        <v>1.0071714639955045</v>
      </c>
      <c r="E72" s="146">
        <f t="shared" si="3"/>
        <v>1.0250799501030996</v>
      </c>
      <c r="F72" s="436">
        <v>561.26099999999997</v>
      </c>
      <c r="G72" s="146">
        <f t="shared" si="2"/>
        <v>1.0074543823114983</v>
      </c>
      <c r="H72" s="436">
        <v>598.44100000000003</v>
      </c>
    </row>
    <row r="73" spans="1:10" x14ac:dyDescent="0.25">
      <c r="A73" s="148" t="s">
        <v>4710</v>
      </c>
      <c r="B73" s="150">
        <v>702.87</v>
      </c>
      <c r="C73" s="434">
        <v>452.65499999999997</v>
      </c>
      <c r="D73" s="146">
        <f t="shared" si="4"/>
        <v>1.0022029845458973</v>
      </c>
      <c r="E73" s="146">
        <f t="shared" si="3"/>
        <v>1.0010351690211863</v>
      </c>
      <c r="F73" s="436">
        <v>561.84199999999998</v>
      </c>
      <c r="G73" s="146">
        <f t="shared" si="2"/>
        <v>1.0007636508862194</v>
      </c>
      <c r="H73" s="436">
        <v>598.89800000000002</v>
      </c>
    </row>
    <row r="74" spans="1:10" x14ac:dyDescent="0.25">
      <c r="A74" s="148" t="s">
        <v>4711</v>
      </c>
      <c r="B74" s="150">
        <v>702.87</v>
      </c>
      <c r="C74" s="432">
        <v>452.86799999999999</v>
      </c>
      <c r="D74" s="146">
        <f t="shared" si="4"/>
        <v>1.0004705570467576</v>
      </c>
      <c r="E74" s="146">
        <f t="shared" si="3"/>
        <v>1.0002207026174619</v>
      </c>
      <c r="F74" s="433">
        <v>561.96600000000001</v>
      </c>
      <c r="G74" s="146">
        <f t="shared" si="2"/>
        <v>1.0015445034045865</v>
      </c>
      <c r="H74" s="433">
        <v>599.82299999999998</v>
      </c>
    </row>
    <row r="75" spans="1:10" x14ac:dyDescent="0.25">
      <c r="A75" s="148" t="s">
        <v>4712</v>
      </c>
      <c r="B75" s="150">
        <v>702.87</v>
      </c>
      <c r="C75" s="432">
        <v>454.75200000000001</v>
      </c>
      <c r="D75" s="146">
        <f t="shared" si="4"/>
        <v>1.0041601526272557</v>
      </c>
      <c r="E75" s="146">
        <f t="shared" si="3"/>
        <v>1.0019591932608023</v>
      </c>
      <c r="F75" s="433">
        <v>563.06700000000001</v>
      </c>
      <c r="G75" s="146">
        <f t="shared" si="2"/>
        <v>1.0017371791345113</v>
      </c>
      <c r="H75" s="433">
        <v>600.86500000000001</v>
      </c>
    </row>
    <row r="76" spans="1:10" x14ac:dyDescent="0.25">
      <c r="A76" s="148" t="s">
        <v>4713</v>
      </c>
      <c r="B76" s="150">
        <v>702.87</v>
      </c>
      <c r="C76" s="432">
        <v>456.26100000000002</v>
      </c>
      <c r="D76" s="146">
        <f t="shared" si="4"/>
        <v>1.0033182921680388</v>
      </c>
      <c r="E76" s="146">
        <f t="shared" si="3"/>
        <v>1.0015664210475839</v>
      </c>
      <c r="F76" s="433">
        <v>563.94899999999996</v>
      </c>
      <c r="G76" s="146">
        <f t="shared" si="2"/>
        <v>1.0044252868780841</v>
      </c>
      <c r="H76" s="433">
        <v>603.524</v>
      </c>
    </row>
    <row r="77" spans="1:10" x14ac:dyDescent="0.25">
      <c r="A77" s="148" t="s">
        <v>4714</v>
      </c>
      <c r="B77" s="150">
        <v>702.87</v>
      </c>
      <c r="C77" s="432">
        <v>456.137</v>
      </c>
      <c r="D77" s="146">
        <f t="shared" si="4"/>
        <v>0.99972822573044806</v>
      </c>
      <c r="E77" s="146">
        <f t="shared" si="3"/>
        <v>0.99987232888080302</v>
      </c>
      <c r="F77" s="433">
        <v>563.87699999999995</v>
      </c>
      <c r="G77" s="146">
        <f t="shared" si="2"/>
        <v>1.0008317813376104</v>
      </c>
      <c r="H77" s="433">
        <v>604.02599999999995</v>
      </c>
    </row>
    <row r="78" spans="1:10" x14ac:dyDescent="0.25">
      <c r="A78" s="148" t="s">
        <v>4715</v>
      </c>
      <c r="B78" s="150">
        <v>702.87</v>
      </c>
      <c r="C78" s="432">
        <v>459.35199999999998</v>
      </c>
      <c r="D78" s="146">
        <f t="shared" si="4"/>
        <v>1.0070483210088197</v>
      </c>
      <c r="E78" s="146">
        <f t="shared" si="3"/>
        <v>1.0033305135694488</v>
      </c>
      <c r="F78" s="433">
        <v>565.755</v>
      </c>
      <c r="G78" s="146">
        <f t="shared" si="2"/>
        <v>1.0091751017340314</v>
      </c>
      <c r="H78" s="433">
        <v>609.56799999999998</v>
      </c>
    </row>
    <row r="79" spans="1:10" x14ac:dyDescent="0.25">
      <c r="A79" s="437" t="s">
        <v>4716</v>
      </c>
      <c r="B79" s="438">
        <v>702.87</v>
      </c>
      <c r="C79" s="439">
        <v>463.13600000000002</v>
      </c>
      <c r="D79" s="440">
        <f>C79/C78</f>
        <v>1.0082376913565196</v>
      </c>
      <c r="E79" s="440">
        <f t="shared" si="3"/>
        <v>1.0039080520720101</v>
      </c>
      <c r="F79" s="441">
        <v>567.96600000000001</v>
      </c>
      <c r="G79" s="146">
        <f t="shared" si="2"/>
        <v>1.0030825108929602</v>
      </c>
      <c r="H79" s="441">
        <v>611.447</v>
      </c>
    </row>
    <row r="80" spans="1:10" x14ac:dyDescent="0.25">
      <c r="A80" s="148" t="s">
        <v>4717</v>
      </c>
      <c r="B80" s="150">
        <v>702.87</v>
      </c>
      <c r="C80" s="432">
        <v>465.08199999999999</v>
      </c>
      <c r="D80" s="146">
        <f>C80/C79</f>
        <v>1.0042017895391417</v>
      </c>
      <c r="E80" s="146">
        <f t="shared" si="3"/>
        <v>1.0020018803942488</v>
      </c>
      <c r="F80" s="433">
        <v>569.10299999999995</v>
      </c>
      <c r="G80" s="146">
        <f t="shared" si="2"/>
        <v>1.006216401421546</v>
      </c>
      <c r="H80" s="433">
        <v>615.24800000000005</v>
      </c>
    </row>
    <row r="81" spans="1:256" x14ac:dyDescent="0.25">
      <c r="A81" s="148" t="s">
        <v>4718</v>
      </c>
      <c r="B81" s="150">
        <v>702.87</v>
      </c>
      <c r="C81" s="432">
        <v>470.01299999999998</v>
      </c>
      <c r="D81" s="146">
        <f t="shared" ref="D81:D82" si="5">C81/C80</f>
        <v>1.0106024313991941</v>
      </c>
      <c r="E81" s="146">
        <f t="shared" si="3"/>
        <v>1.0050623525091242</v>
      </c>
      <c r="F81" s="433">
        <v>571.98400000000004</v>
      </c>
      <c r="G81" s="146">
        <f t="shared" si="2"/>
        <v>1.0045705146542532</v>
      </c>
      <c r="H81" s="433">
        <v>618.05999999999995</v>
      </c>
    </row>
    <row r="82" spans="1:256" x14ac:dyDescent="0.25">
      <c r="A82" s="442" t="s">
        <v>4719</v>
      </c>
      <c r="B82" s="443">
        <v>702.87</v>
      </c>
      <c r="C82" s="444">
        <v>473.93200000000002</v>
      </c>
      <c r="D82" s="445">
        <f t="shared" si="5"/>
        <v>1.0083380672449487</v>
      </c>
      <c r="E82" s="445">
        <f t="shared" si="3"/>
        <v>1.0040018601918934</v>
      </c>
      <c r="F82" s="446">
        <v>574.27300000000002</v>
      </c>
      <c r="G82" s="146">
        <f t="shared" si="2"/>
        <v>1.0095314370773065</v>
      </c>
      <c r="H82" s="446">
        <v>623.95100000000002</v>
      </c>
    </row>
    <row r="83" spans="1:256" s="194" customFormat="1" x14ac:dyDescent="0.25">
      <c r="A83" s="148" t="s">
        <v>4720</v>
      </c>
      <c r="B83" s="146">
        <v>702.87</v>
      </c>
      <c r="C83" s="432">
        <v>474.298</v>
      </c>
      <c r="D83" s="146">
        <f>C83/C82</f>
        <v>1.0007722626874742</v>
      </c>
      <c r="E83" s="146">
        <f t="shared" si="3"/>
        <v>1.0003726450660224</v>
      </c>
      <c r="F83" s="433">
        <v>574.48699999999997</v>
      </c>
      <c r="G83" s="146">
        <f t="shared" si="2"/>
        <v>1.0183540053626006</v>
      </c>
      <c r="H83" s="433">
        <v>635.40300000000002</v>
      </c>
      <c r="I83" s="142"/>
      <c r="J83" s="142"/>
      <c r="K83" s="142"/>
      <c r="L83" s="142"/>
      <c r="M83" s="142"/>
      <c r="N83" s="142"/>
      <c r="O83" s="142"/>
      <c r="P83" s="142"/>
      <c r="Q83" s="142"/>
      <c r="R83" s="142"/>
      <c r="S83" s="142"/>
      <c r="T83" s="142"/>
      <c r="U83" s="142"/>
      <c r="V83" s="142"/>
      <c r="W83" s="142"/>
      <c r="X83" s="142"/>
      <c r="Y83" s="142"/>
      <c r="Z83" s="142"/>
      <c r="AA83" s="142"/>
      <c r="AB83" s="142"/>
      <c r="AC83" s="142"/>
      <c r="AD83" s="142"/>
      <c r="AE83" s="142"/>
      <c r="AF83" s="142"/>
      <c r="AG83" s="142"/>
      <c r="AH83" s="142"/>
      <c r="AI83" s="142"/>
      <c r="AJ83" s="142"/>
      <c r="AK83" s="142"/>
      <c r="AL83" s="142"/>
      <c r="AM83" s="142"/>
      <c r="AN83" s="142"/>
      <c r="AO83" s="142"/>
      <c r="AP83" s="142"/>
      <c r="AQ83" s="142"/>
      <c r="AR83" s="142"/>
      <c r="AS83" s="142"/>
      <c r="AT83" s="142"/>
      <c r="AU83" s="142"/>
      <c r="AV83" s="142"/>
      <c r="AW83" s="142"/>
      <c r="AX83" s="142"/>
      <c r="AY83" s="142"/>
      <c r="AZ83" s="142"/>
      <c r="BA83" s="142"/>
      <c r="BB83" s="142"/>
      <c r="BC83" s="142"/>
      <c r="BD83" s="142"/>
      <c r="BE83" s="142"/>
      <c r="BF83" s="142"/>
      <c r="BG83" s="142"/>
      <c r="BH83" s="142"/>
      <c r="BI83" s="142"/>
      <c r="BJ83" s="142"/>
      <c r="BK83" s="142"/>
      <c r="BL83" s="142"/>
      <c r="BM83" s="142"/>
      <c r="BN83" s="142"/>
      <c r="BO83" s="142"/>
      <c r="BP83" s="142"/>
      <c r="BQ83" s="142"/>
      <c r="BR83" s="142"/>
      <c r="BS83" s="142"/>
      <c r="BT83" s="142"/>
      <c r="BU83" s="142"/>
      <c r="BV83" s="142"/>
      <c r="BW83" s="142"/>
      <c r="BX83" s="142"/>
      <c r="BY83" s="142"/>
      <c r="BZ83" s="142"/>
      <c r="CA83" s="142"/>
      <c r="CB83" s="142"/>
      <c r="CC83" s="142"/>
      <c r="CD83" s="142"/>
      <c r="CE83" s="142"/>
      <c r="CF83" s="142"/>
      <c r="CG83" s="142"/>
      <c r="CH83" s="142"/>
      <c r="CI83" s="142"/>
      <c r="CJ83" s="142"/>
      <c r="CK83" s="142"/>
      <c r="CL83" s="142"/>
      <c r="CM83" s="142"/>
      <c r="CN83" s="142"/>
      <c r="CO83" s="142"/>
      <c r="CP83" s="142"/>
      <c r="CQ83" s="142"/>
      <c r="CR83" s="142"/>
      <c r="CS83" s="142"/>
      <c r="CT83" s="142"/>
      <c r="CU83" s="142"/>
      <c r="CV83" s="142"/>
      <c r="CW83" s="142"/>
      <c r="CX83" s="142"/>
      <c r="CY83" s="142"/>
      <c r="CZ83" s="142"/>
      <c r="DA83" s="142"/>
      <c r="DB83" s="142"/>
      <c r="DC83" s="142"/>
      <c r="DD83" s="142"/>
      <c r="DE83" s="142"/>
      <c r="DF83" s="142"/>
      <c r="DG83" s="142"/>
      <c r="DH83" s="142"/>
      <c r="DI83" s="142"/>
      <c r="DJ83" s="142"/>
      <c r="DK83" s="142"/>
      <c r="DL83" s="142"/>
      <c r="DM83" s="142"/>
      <c r="DN83" s="142"/>
      <c r="DO83" s="142"/>
      <c r="DP83" s="142"/>
      <c r="DQ83" s="142"/>
      <c r="DR83" s="142"/>
      <c r="DS83" s="142"/>
      <c r="DT83" s="142"/>
      <c r="DU83" s="142"/>
      <c r="DV83" s="142"/>
      <c r="DW83" s="142"/>
      <c r="DX83" s="142"/>
      <c r="DY83" s="142"/>
      <c r="DZ83" s="142"/>
      <c r="EA83" s="142"/>
      <c r="EB83" s="142"/>
      <c r="EC83" s="142"/>
      <c r="ED83" s="142"/>
      <c r="EE83" s="142"/>
      <c r="EF83" s="142"/>
      <c r="EG83" s="142"/>
      <c r="EH83" s="142"/>
      <c r="EI83" s="142"/>
      <c r="EJ83" s="142"/>
      <c r="EK83" s="142"/>
      <c r="EL83" s="142"/>
      <c r="EM83" s="142"/>
      <c r="EN83" s="142"/>
      <c r="EO83" s="142"/>
      <c r="EP83" s="142"/>
      <c r="EQ83" s="142"/>
      <c r="ER83" s="142"/>
      <c r="ES83" s="142"/>
      <c r="ET83" s="142"/>
      <c r="EU83" s="142"/>
      <c r="EV83" s="142"/>
      <c r="EW83" s="142"/>
      <c r="EX83" s="142"/>
      <c r="EY83" s="142"/>
      <c r="EZ83" s="142"/>
      <c r="FA83" s="142"/>
      <c r="FB83" s="142"/>
      <c r="FC83" s="142"/>
      <c r="FD83" s="142"/>
      <c r="FE83" s="142"/>
      <c r="FF83" s="142"/>
      <c r="FG83" s="142"/>
      <c r="FH83" s="142"/>
      <c r="FI83" s="142"/>
      <c r="FJ83" s="142"/>
      <c r="FK83" s="142"/>
      <c r="FL83" s="142"/>
      <c r="FM83" s="142"/>
      <c r="FN83" s="142"/>
      <c r="FO83" s="142"/>
      <c r="FP83" s="142"/>
      <c r="FQ83" s="142"/>
      <c r="FR83" s="142"/>
      <c r="FS83" s="142"/>
      <c r="FT83" s="142"/>
      <c r="FU83" s="142"/>
      <c r="FV83" s="142"/>
      <c r="FW83" s="142"/>
      <c r="FX83" s="142"/>
      <c r="FY83" s="142"/>
      <c r="FZ83" s="142"/>
      <c r="GA83" s="142"/>
      <c r="GB83" s="142"/>
      <c r="GC83" s="142"/>
      <c r="GD83" s="142"/>
      <c r="GE83" s="142"/>
      <c r="GF83" s="142"/>
      <c r="GG83" s="142"/>
      <c r="GH83" s="142"/>
      <c r="GI83" s="142"/>
      <c r="GJ83" s="142"/>
      <c r="GK83" s="142"/>
      <c r="GL83" s="142"/>
      <c r="GM83" s="142"/>
      <c r="GN83" s="142"/>
      <c r="GO83" s="142"/>
      <c r="GP83" s="142"/>
      <c r="GQ83" s="142"/>
      <c r="GR83" s="142"/>
      <c r="GS83" s="142"/>
      <c r="GT83" s="142"/>
      <c r="GU83" s="142"/>
      <c r="GV83" s="142"/>
      <c r="GW83" s="142"/>
      <c r="GX83" s="142"/>
      <c r="GY83" s="142"/>
      <c r="GZ83" s="142"/>
      <c r="HA83" s="142"/>
      <c r="HB83" s="142"/>
      <c r="HC83" s="142"/>
      <c r="HD83" s="142"/>
      <c r="HE83" s="142"/>
      <c r="HF83" s="142"/>
      <c r="HG83" s="142"/>
      <c r="HH83" s="142"/>
      <c r="HI83" s="142"/>
      <c r="HJ83" s="142"/>
      <c r="HK83" s="142"/>
      <c r="HL83" s="142"/>
      <c r="HM83" s="142"/>
      <c r="HN83" s="142"/>
      <c r="HO83" s="142"/>
      <c r="HP83" s="142"/>
      <c r="HQ83" s="142"/>
      <c r="HR83" s="142"/>
      <c r="HS83" s="142"/>
      <c r="HT83" s="142"/>
      <c r="HU83" s="142"/>
      <c r="HV83" s="142"/>
      <c r="HW83" s="142"/>
      <c r="HX83" s="142"/>
      <c r="HY83" s="142"/>
      <c r="HZ83" s="142"/>
      <c r="IA83" s="142"/>
      <c r="IB83" s="142"/>
      <c r="IC83" s="142"/>
      <c r="ID83" s="142"/>
      <c r="IE83" s="142"/>
      <c r="IF83" s="142"/>
      <c r="IG83" s="142"/>
      <c r="IH83" s="142"/>
      <c r="II83" s="142"/>
      <c r="IJ83" s="142"/>
      <c r="IK83" s="142"/>
      <c r="IL83" s="142"/>
      <c r="IM83" s="142"/>
      <c r="IN83" s="142"/>
      <c r="IO83" s="142"/>
      <c r="IP83" s="142"/>
      <c r="IQ83" s="142"/>
      <c r="IR83" s="142"/>
      <c r="IS83" s="142"/>
      <c r="IT83" s="142"/>
      <c r="IU83" s="142"/>
      <c r="IV83" s="142"/>
    </row>
    <row r="84" spans="1:256" s="194" customFormat="1" x14ac:dyDescent="0.25">
      <c r="A84" s="148" t="s">
        <v>4721</v>
      </c>
      <c r="B84" s="146">
        <v>730.06399999999996</v>
      </c>
      <c r="C84" s="432">
        <v>474.517</v>
      </c>
      <c r="D84" s="146">
        <f t="shared" ref="D84:D123" si="6">C84/C83</f>
        <v>1.0004617350273457</v>
      </c>
      <c r="E84" s="146">
        <f t="shared" si="3"/>
        <v>1.0202528516746245</v>
      </c>
      <c r="F84" s="433">
        <v>586.12199999999996</v>
      </c>
      <c r="G84" s="146">
        <f t="shared" si="2"/>
        <v>1.0054721176953838</v>
      </c>
      <c r="H84" s="433">
        <v>638.88</v>
      </c>
      <c r="I84" s="142"/>
      <c r="J84" s="142"/>
      <c r="K84" s="142"/>
      <c r="L84" s="142"/>
      <c r="M84" s="142"/>
      <c r="N84" s="142"/>
      <c r="O84" s="142"/>
      <c r="P84" s="142"/>
      <c r="Q84" s="142"/>
      <c r="R84" s="142"/>
      <c r="S84" s="142"/>
      <c r="T84" s="142"/>
      <c r="U84" s="142"/>
      <c r="V84" s="142"/>
      <c r="W84" s="142"/>
      <c r="X84" s="142"/>
      <c r="Y84" s="142"/>
      <c r="Z84" s="142"/>
      <c r="AA84" s="142"/>
      <c r="AB84" s="142"/>
      <c r="AC84" s="142"/>
      <c r="AD84" s="142"/>
      <c r="AE84" s="142"/>
      <c r="AF84" s="142"/>
      <c r="AG84" s="142"/>
      <c r="AH84" s="142"/>
      <c r="AI84" s="142"/>
      <c r="AJ84" s="142"/>
      <c r="AK84" s="142"/>
      <c r="AL84" s="142"/>
      <c r="AM84" s="142"/>
      <c r="AN84" s="142"/>
      <c r="AO84" s="142"/>
      <c r="AP84" s="142"/>
      <c r="AQ84" s="142"/>
      <c r="AR84" s="142"/>
      <c r="AS84" s="142"/>
      <c r="AT84" s="142"/>
      <c r="AU84" s="142"/>
      <c r="AV84" s="142"/>
      <c r="AW84" s="142"/>
      <c r="AX84" s="142"/>
      <c r="AY84" s="142"/>
      <c r="AZ84" s="142"/>
      <c r="BA84" s="142"/>
      <c r="BB84" s="142"/>
      <c r="BC84" s="142"/>
      <c r="BD84" s="142"/>
      <c r="BE84" s="142"/>
      <c r="BF84" s="142"/>
      <c r="BG84" s="142"/>
      <c r="BH84" s="142"/>
      <c r="BI84" s="142"/>
      <c r="BJ84" s="142"/>
      <c r="BK84" s="142"/>
      <c r="BL84" s="142"/>
      <c r="BM84" s="142"/>
      <c r="BN84" s="142"/>
      <c r="BO84" s="142"/>
      <c r="BP84" s="142"/>
      <c r="BQ84" s="142"/>
      <c r="BR84" s="142"/>
      <c r="BS84" s="142"/>
      <c r="BT84" s="142"/>
      <c r="BU84" s="142"/>
      <c r="BV84" s="142"/>
      <c r="BW84" s="142"/>
      <c r="BX84" s="142"/>
      <c r="BY84" s="142"/>
      <c r="BZ84" s="142"/>
      <c r="CA84" s="142"/>
      <c r="CB84" s="142"/>
      <c r="CC84" s="142"/>
      <c r="CD84" s="142"/>
      <c r="CE84" s="142"/>
      <c r="CF84" s="142"/>
      <c r="CG84" s="142"/>
      <c r="CH84" s="142"/>
      <c r="CI84" s="142"/>
      <c r="CJ84" s="142"/>
      <c r="CK84" s="142"/>
      <c r="CL84" s="142"/>
      <c r="CM84" s="142"/>
      <c r="CN84" s="142"/>
      <c r="CO84" s="142"/>
      <c r="CP84" s="142"/>
      <c r="CQ84" s="142"/>
      <c r="CR84" s="142"/>
      <c r="CS84" s="142"/>
      <c r="CT84" s="142"/>
      <c r="CU84" s="142"/>
      <c r="CV84" s="142"/>
      <c r="CW84" s="142"/>
      <c r="CX84" s="142"/>
      <c r="CY84" s="142"/>
      <c r="CZ84" s="142"/>
      <c r="DA84" s="142"/>
      <c r="DB84" s="142"/>
      <c r="DC84" s="142"/>
      <c r="DD84" s="142"/>
      <c r="DE84" s="142"/>
      <c r="DF84" s="142"/>
      <c r="DG84" s="142"/>
      <c r="DH84" s="142"/>
      <c r="DI84" s="142"/>
      <c r="DJ84" s="142"/>
      <c r="DK84" s="142"/>
      <c r="DL84" s="142"/>
      <c r="DM84" s="142"/>
      <c r="DN84" s="142"/>
      <c r="DO84" s="142"/>
      <c r="DP84" s="142"/>
      <c r="DQ84" s="142"/>
      <c r="DR84" s="142"/>
      <c r="DS84" s="142"/>
      <c r="DT84" s="142"/>
      <c r="DU84" s="142"/>
      <c r="DV84" s="142"/>
      <c r="DW84" s="142"/>
      <c r="DX84" s="142"/>
      <c r="DY84" s="142"/>
      <c r="DZ84" s="142"/>
      <c r="EA84" s="142"/>
      <c r="EB84" s="142"/>
      <c r="EC84" s="142"/>
      <c r="ED84" s="142"/>
      <c r="EE84" s="142"/>
      <c r="EF84" s="142"/>
      <c r="EG84" s="142"/>
      <c r="EH84" s="142"/>
      <c r="EI84" s="142"/>
      <c r="EJ84" s="142"/>
      <c r="EK84" s="142"/>
      <c r="EL84" s="142"/>
      <c r="EM84" s="142"/>
      <c r="EN84" s="142"/>
      <c r="EO84" s="142"/>
      <c r="EP84" s="142"/>
      <c r="EQ84" s="142"/>
      <c r="ER84" s="142"/>
      <c r="ES84" s="142"/>
      <c r="ET84" s="142"/>
      <c r="EU84" s="142"/>
      <c r="EV84" s="142"/>
      <c r="EW84" s="142"/>
      <c r="EX84" s="142"/>
      <c r="EY84" s="142"/>
      <c r="EZ84" s="142"/>
      <c r="FA84" s="142"/>
      <c r="FB84" s="142"/>
      <c r="FC84" s="142"/>
      <c r="FD84" s="142"/>
      <c r="FE84" s="142"/>
      <c r="FF84" s="142"/>
      <c r="FG84" s="142"/>
      <c r="FH84" s="142"/>
      <c r="FI84" s="142"/>
      <c r="FJ84" s="142"/>
      <c r="FK84" s="142"/>
      <c r="FL84" s="142"/>
      <c r="FM84" s="142"/>
      <c r="FN84" s="142"/>
      <c r="FO84" s="142"/>
      <c r="FP84" s="142"/>
      <c r="FQ84" s="142"/>
      <c r="FR84" s="142"/>
      <c r="FS84" s="142"/>
      <c r="FT84" s="142"/>
      <c r="FU84" s="142"/>
      <c r="FV84" s="142"/>
      <c r="FW84" s="142"/>
      <c r="FX84" s="142"/>
      <c r="FY84" s="142"/>
      <c r="FZ84" s="142"/>
      <c r="GA84" s="142"/>
      <c r="GB84" s="142"/>
      <c r="GC84" s="142"/>
      <c r="GD84" s="142"/>
      <c r="GE84" s="142"/>
      <c r="GF84" s="142"/>
      <c r="GG84" s="142"/>
      <c r="GH84" s="142"/>
      <c r="GI84" s="142"/>
      <c r="GJ84" s="142"/>
      <c r="GK84" s="142"/>
      <c r="GL84" s="142"/>
      <c r="GM84" s="142"/>
      <c r="GN84" s="142"/>
      <c r="GO84" s="142"/>
      <c r="GP84" s="142"/>
      <c r="GQ84" s="142"/>
      <c r="GR84" s="142"/>
      <c r="GS84" s="142"/>
      <c r="GT84" s="142"/>
      <c r="GU84" s="142"/>
      <c r="GV84" s="142"/>
      <c r="GW84" s="142"/>
      <c r="GX84" s="142"/>
      <c r="GY84" s="142"/>
      <c r="GZ84" s="142"/>
      <c r="HA84" s="142"/>
      <c r="HB84" s="142"/>
      <c r="HC84" s="142"/>
      <c r="HD84" s="142"/>
      <c r="HE84" s="142"/>
      <c r="HF84" s="142"/>
      <c r="HG84" s="142"/>
      <c r="HH84" s="142"/>
      <c r="HI84" s="142"/>
      <c r="HJ84" s="142"/>
      <c r="HK84" s="142"/>
      <c r="HL84" s="142"/>
      <c r="HM84" s="142"/>
      <c r="HN84" s="142"/>
      <c r="HO84" s="142"/>
      <c r="HP84" s="142"/>
      <c r="HQ84" s="142"/>
      <c r="HR84" s="142"/>
      <c r="HS84" s="142"/>
      <c r="HT84" s="142"/>
      <c r="HU84" s="142"/>
      <c r="HV84" s="142"/>
      <c r="HW84" s="142"/>
      <c r="HX84" s="142"/>
      <c r="HY84" s="142"/>
      <c r="HZ84" s="142"/>
      <c r="IA84" s="142"/>
      <c r="IB84" s="142"/>
      <c r="IC84" s="142"/>
      <c r="ID84" s="142"/>
      <c r="IE84" s="142"/>
      <c r="IF84" s="142"/>
      <c r="IG84" s="142"/>
      <c r="IH84" s="142"/>
      <c r="II84" s="142"/>
      <c r="IJ84" s="142"/>
      <c r="IK84" s="142"/>
      <c r="IL84" s="142"/>
      <c r="IM84" s="142"/>
      <c r="IN84" s="142"/>
      <c r="IO84" s="142"/>
      <c r="IP84" s="142"/>
      <c r="IQ84" s="142"/>
      <c r="IR84" s="142"/>
      <c r="IS84" s="142"/>
      <c r="IT84" s="142"/>
      <c r="IU84" s="142"/>
      <c r="IV84" s="142"/>
    </row>
    <row r="85" spans="1:256" s="194" customFormat="1" x14ac:dyDescent="0.25">
      <c r="A85" s="148" t="s">
        <v>4722</v>
      </c>
      <c r="B85" s="146">
        <v>756.18</v>
      </c>
      <c r="C85" s="432">
        <v>475.375</v>
      </c>
      <c r="D85" s="146">
        <f t="shared" si="6"/>
        <v>1.0018081543969974</v>
      </c>
      <c r="E85" s="146">
        <f t="shared" si="3"/>
        <v>1.0197075011686987</v>
      </c>
      <c r="F85" s="433">
        <v>597.673</v>
      </c>
      <c r="G85" s="146">
        <f t="shared" si="2"/>
        <v>1.0058915602304033</v>
      </c>
      <c r="H85" s="433">
        <v>642.64400000000001</v>
      </c>
      <c r="I85" s="142"/>
      <c r="J85" s="142"/>
      <c r="K85" s="142"/>
      <c r="L85" s="142"/>
      <c r="M85" s="142"/>
      <c r="N85" s="142"/>
      <c r="O85" s="142"/>
      <c r="P85" s="142"/>
      <c r="Q85" s="142"/>
      <c r="R85" s="142"/>
      <c r="S85" s="142"/>
      <c r="T85" s="142"/>
      <c r="U85" s="142"/>
      <c r="V85" s="142"/>
      <c r="W85" s="142"/>
      <c r="X85" s="142"/>
      <c r="Y85" s="142"/>
      <c r="Z85" s="142"/>
      <c r="AA85" s="142"/>
      <c r="AB85" s="142"/>
      <c r="AC85" s="142"/>
      <c r="AD85" s="142"/>
      <c r="AE85" s="142"/>
      <c r="AF85" s="142"/>
      <c r="AG85" s="142"/>
      <c r="AH85" s="142"/>
      <c r="AI85" s="142"/>
      <c r="AJ85" s="142"/>
      <c r="AK85" s="142"/>
      <c r="AL85" s="142"/>
      <c r="AM85" s="142"/>
      <c r="AN85" s="142"/>
      <c r="AO85" s="142"/>
      <c r="AP85" s="142"/>
      <c r="AQ85" s="142"/>
      <c r="AR85" s="142"/>
      <c r="AS85" s="142"/>
      <c r="AT85" s="142"/>
      <c r="AU85" s="142"/>
      <c r="AV85" s="142"/>
      <c r="AW85" s="142"/>
      <c r="AX85" s="142"/>
      <c r="AY85" s="142"/>
      <c r="AZ85" s="142"/>
      <c r="BA85" s="142"/>
      <c r="BB85" s="142"/>
      <c r="BC85" s="142"/>
      <c r="BD85" s="142"/>
      <c r="BE85" s="142"/>
      <c r="BF85" s="142"/>
      <c r="BG85" s="142"/>
      <c r="BH85" s="142"/>
      <c r="BI85" s="142"/>
      <c r="BJ85" s="142"/>
      <c r="BK85" s="142"/>
      <c r="BL85" s="142"/>
      <c r="BM85" s="142"/>
      <c r="BN85" s="142"/>
      <c r="BO85" s="142"/>
      <c r="BP85" s="142"/>
      <c r="BQ85" s="142"/>
      <c r="BR85" s="142"/>
      <c r="BS85" s="142"/>
      <c r="BT85" s="142"/>
      <c r="BU85" s="142"/>
      <c r="BV85" s="142"/>
      <c r="BW85" s="142"/>
      <c r="BX85" s="142"/>
      <c r="BY85" s="142"/>
      <c r="BZ85" s="142"/>
      <c r="CA85" s="142"/>
      <c r="CB85" s="142"/>
      <c r="CC85" s="142"/>
      <c r="CD85" s="142"/>
      <c r="CE85" s="142"/>
      <c r="CF85" s="142"/>
      <c r="CG85" s="142"/>
      <c r="CH85" s="142"/>
      <c r="CI85" s="142"/>
      <c r="CJ85" s="142"/>
      <c r="CK85" s="142"/>
      <c r="CL85" s="142"/>
      <c r="CM85" s="142"/>
      <c r="CN85" s="142"/>
      <c r="CO85" s="142"/>
      <c r="CP85" s="142"/>
      <c r="CQ85" s="142"/>
      <c r="CR85" s="142"/>
      <c r="CS85" s="142"/>
      <c r="CT85" s="142"/>
      <c r="CU85" s="142"/>
      <c r="CV85" s="142"/>
      <c r="CW85" s="142"/>
      <c r="CX85" s="142"/>
      <c r="CY85" s="142"/>
      <c r="CZ85" s="142"/>
      <c r="DA85" s="142"/>
      <c r="DB85" s="142"/>
      <c r="DC85" s="142"/>
      <c r="DD85" s="142"/>
      <c r="DE85" s="142"/>
      <c r="DF85" s="142"/>
      <c r="DG85" s="142"/>
      <c r="DH85" s="142"/>
      <c r="DI85" s="142"/>
      <c r="DJ85" s="142"/>
      <c r="DK85" s="142"/>
      <c r="DL85" s="142"/>
      <c r="DM85" s="142"/>
      <c r="DN85" s="142"/>
      <c r="DO85" s="142"/>
      <c r="DP85" s="142"/>
      <c r="DQ85" s="142"/>
      <c r="DR85" s="142"/>
      <c r="DS85" s="142"/>
      <c r="DT85" s="142"/>
      <c r="DU85" s="142"/>
      <c r="DV85" s="142"/>
      <c r="DW85" s="142"/>
      <c r="DX85" s="142"/>
      <c r="DY85" s="142"/>
      <c r="DZ85" s="142"/>
      <c r="EA85" s="142"/>
      <c r="EB85" s="142"/>
      <c r="EC85" s="142"/>
      <c r="ED85" s="142"/>
      <c r="EE85" s="142"/>
      <c r="EF85" s="142"/>
      <c r="EG85" s="142"/>
      <c r="EH85" s="142"/>
      <c r="EI85" s="142"/>
      <c r="EJ85" s="142"/>
      <c r="EK85" s="142"/>
      <c r="EL85" s="142"/>
      <c r="EM85" s="142"/>
      <c r="EN85" s="142"/>
      <c r="EO85" s="142"/>
      <c r="EP85" s="142"/>
      <c r="EQ85" s="142"/>
      <c r="ER85" s="142"/>
      <c r="ES85" s="142"/>
      <c r="ET85" s="142"/>
      <c r="EU85" s="142"/>
      <c r="EV85" s="142"/>
      <c r="EW85" s="142"/>
      <c r="EX85" s="142"/>
      <c r="EY85" s="142"/>
      <c r="EZ85" s="142"/>
      <c r="FA85" s="142"/>
      <c r="FB85" s="142"/>
      <c r="FC85" s="142"/>
      <c r="FD85" s="142"/>
      <c r="FE85" s="142"/>
      <c r="FF85" s="142"/>
      <c r="FG85" s="142"/>
      <c r="FH85" s="142"/>
      <c r="FI85" s="142"/>
      <c r="FJ85" s="142"/>
      <c r="FK85" s="142"/>
      <c r="FL85" s="142"/>
      <c r="FM85" s="142"/>
      <c r="FN85" s="142"/>
      <c r="FO85" s="142"/>
      <c r="FP85" s="142"/>
      <c r="FQ85" s="142"/>
      <c r="FR85" s="142"/>
      <c r="FS85" s="142"/>
      <c r="FT85" s="142"/>
      <c r="FU85" s="142"/>
      <c r="FV85" s="142"/>
      <c r="FW85" s="142"/>
      <c r="FX85" s="142"/>
      <c r="FY85" s="142"/>
      <c r="FZ85" s="142"/>
      <c r="GA85" s="142"/>
      <c r="GB85" s="142"/>
      <c r="GC85" s="142"/>
      <c r="GD85" s="142"/>
      <c r="GE85" s="142"/>
      <c r="GF85" s="142"/>
      <c r="GG85" s="142"/>
      <c r="GH85" s="142"/>
      <c r="GI85" s="142"/>
      <c r="GJ85" s="142"/>
      <c r="GK85" s="142"/>
      <c r="GL85" s="142"/>
      <c r="GM85" s="142"/>
      <c r="GN85" s="142"/>
      <c r="GO85" s="142"/>
      <c r="GP85" s="142"/>
      <c r="GQ85" s="142"/>
      <c r="GR85" s="142"/>
      <c r="GS85" s="142"/>
      <c r="GT85" s="142"/>
      <c r="GU85" s="142"/>
      <c r="GV85" s="142"/>
      <c r="GW85" s="142"/>
      <c r="GX85" s="142"/>
      <c r="GY85" s="142"/>
      <c r="GZ85" s="142"/>
      <c r="HA85" s="142"/>
      <c r="HB85" s="142"/>
      <c r="HC85" s="142"/>
      <c r="HD85" s="142"/>
      <c r="HE85" s="142"/>
      <c r="HF85" s="142"/>
      <c r="HG85" s="142"/>
      <c r="HH85" s="142"/>
      <c r="HI85" s="142"/>
      <c r="HJ85" s="142"/>
      <c r="HK85" s="142"/>
      <c r="HL85" s="142"/>
      <c r="HM85" s="142"/>
      <c r="HN85" s="142"/>
      <c r="HO85" s="142"/>
      <c r="HP85" s="142"/>
      <c r="HQ85" s="142"/>
      <c r="HR85" s="142"/>
      <c r="HS85" s="142"/>
      <c r="HT85" s="142"/>
      <c r="HU85" s="142"/>
      <c r="HV85" s="142"/>
      <c r="HW85" s="142"/>
      <c r="HX85" s="142"/>
      <c r="HY85" s="142"/>
      <c r="HZ85" s="142"/>
      <c r="IA85" s="142"/>
      <c r="IB85" s="142"/>
      <c r="IC85" s="142"/>
      <c r="ID85" s="142"/>
      <c r="IE85" s="142"/>
      <c r="IF85" s="142"/>
      <c r="IG85" s="142"/>
      <c r="IH85" s="142"/>
      <c r="II85" s="142"/>
      <c r="IJ85" s="142"/>
      <c r="IK85" s="142"/>
      <c r="IL85" s="142"/>
      <c r="IM85" s="142"/>
      <c r="IN85" s="142"/>
      <c r="IO85" s="142"/>
      <c r="IP85" s="142"/>
      <c r="IQ85" s="142"/>
      <c r="IR85" s="142"/>
      <c r="IS85" s="142"/>
      <c r="IT85" s="142"/>
      <c r="IU85" s="142"/>
      <c r="IV85" s="142"/>
    </row>
    <row r="86" spans="1:256" s="194" customFormat="1" x14ac:dyDescent="0.25">
      <c r="A86" s="148" t="s">
        <v>4723</v>
      </c>
      <c r="B86" s="146">
        <v>756.18</v>
      </c>
      <c r="C86" s="432">
        <v>477.48500000000001</v>
      </c>
      <c r="D86" s="146">
        <f t="shared" si="6"/>
        <v>1.0044386011043913</v>
      </c>
      <c r="E86" s="146">
        <f t="shared" si="3"/>
        <v>1.0020630010055664</v>
      </c>
      <c r="F86" s="433">
        <v>598.90599999999995</v>
      </c>
      <c r="G86" s="146">
        <f t="shared" si="2"/>
        <v>1.0021816122145388</v>
      </c>
      <c r="H86" s="433">
        <v>644.04600000000005</v>
      </c>
      <c r="I86" s="142"/>
      <c r="J86" s="435"/>
      <c r="K86" s="142"/>
      <c r="L86" s="142"/>
      <c r="M86" s="142"/>
      <c r="N86" s="142"/>
      <c r="O86" s="142"/>
      <c r="P86" s="142"/>
      <c r="Q86" s="142"/>
      <c r="R86" s="142"/>
      <c r="S86" s="142"/>
      <c r="T86" s="142"/>
      <c r="U86" s="142"/>
      <c r="V86" s="142"/>
      <c r="W86" s="142"/>
      <c r="X86" s="142"/>
      <c r="Y86" s="142"/>
      <c r="Z86" s="142"/>
      <c r="AA86" s="142"/>
      <c r="AB86" s="142"/>
      <c r="AC86" s="142"/>
      <c r="AD86" s="142"/>
      <c r="AE86" s="142"/>
      <c r="AF86" s="142"/>
      <c r="AG86" s="142"/>
      <c r="AH86" s="142"/>
      <c r="AI86" s="142"/>
      <c r="AJ86" s="142"/>
      <c r="AK86" s="142"/>
      <c r="AL86" s="142"/>
      <c r="AM86" s="142"/>
      <c r="AN86" s="142"/>
      <c r="AO86" s="142"/>
      <c r="AP86" s="142"/>
      <c r="AQ86" s="142"/>
      <c r="AR86" s="142"/>
      <c r="AS86" s="142"/>
      <c r="AT86" s="142"/>
      <c r="AU86" s="142"/>
      <c r="AV86" s="142"/>
      <c r="AW86" s="142"/>
      <c r="AX86" s="142"/>
      <c r="AY86" s="142"/>
      <c r="AZ86" s="142"/>
      <c r="BA86" s="142"/>
      <c r="BB86" s="142"/>
      <c r="BC86" s="142"/>
      <c r="BD86" s="142"/>
      <c r="BE86" s="142"/>
      <c r="BF86" s="142"/>
      <c r="BG86" s="142"/>
      <c r="BH86" s="142"/>
      <c r="BI86" s="142"/>
      <c r="BJ86" s="142"/>
      <c r="BK86" s="142"/>
      <c r="BL86" s="142"/>
      <c r="BM86" s="142"/>
      <c r="BN86" s="142"/>
      <c r="BO86" s="142"/>
      <c r="BP86" s="142"/>
      <c r="BQ86" s="142"/>
      <c r="BR86" s="142"/>
      <c r="BS86" s="142"/>
      <c r="BT86" s="142"/>
      <c r="BU86" s="142"/>
      <c r="BV86" s="142"/>
      <c r="BW86" s="142"/>
      <c r="BX86" s="142"/>
      <c r="BY86" s="142"/>
      <c r="BZ86" s="142"/>
      <c r="CA86" s="142"/>
      <c r="CB86" s="142"/>
      <c r="CC86" s="142"/>
      <c r="CD86" s="142"/>
      <c r="CE86" s="142"/>
      <c r="CF86" s="142"/>
      <c r="CG86" s="142"/>
      <c r="CH86" s="142"/>
      <c r="CI86" s="142"/>
      <c r="CJ86" s="142"/>
      <c r="CK86" s="142"/>
      <c r="CL86" s="142"/>
      <c r="CM86" s="142"/>
      <c r="CN86" s="142"/>
      <c r="CO86" s="142"/>
      <c r="CP86" s="142"/>
      <c r="CQ86" s="142"/>
      <c r="CR86" s="142"/>
      <c r="CS86" s="142"/>
      <c r="CT86" s="142"/>
      <c r="CU86" s="142"/>
      <c r="CV86" s="142"/>
      <c r="CW86" s="142"/>
      <c r="CX86" s="142"/>
      <c r="CY86" s="142"/>
      <c r="CZ86" s="142"/>
      <c r="DA86" s="142"/>
      <c r="DB86" s="142"/>
      <c r="DC86" s="142"/>
      <c r="DD86" s="142"/>
      <c r="DE86" s="142"/>
      <c r="DF86" s="142"/>
      <c r="DG86" s="142"/>
      <c r="DH86" s="142"/>
      <c r="DI86" s="142"/>
      <c r="DJ86" s="142"/>
      <c r="DK86" s="142"/>
      <c r="DL86" s="142"/>
      <c r="DM86" s="142"/>
      <c r="DN86" s="142"/>
      <c r="DO86" s="142"/>
      <c r="DP86" s="142"/>
      <c r="DQ86" s="142"/>
      <c r="DR86" s="142"/>
      <c r="DS86" s="142"/>
      <c r="DT86" s="142"/>
      <c r="DU86" s="142"/>
      <c r="DV86" s="142"/>
      <c r="DW86" s="142"/>
      <c r="DX86" s="142"/>
      <c r="DY86" s="142"/>
      <c r="DZ86" s="142"/>
      <c r="EA86" s="142"/>
      <c r="EB86" s="142"/>
      <c r="EC86" s="142"/>
      <c r="ED86" s="142"/>
      <c r="EE86" s="142"/>
      <c r="EF86" s="142"/>
      <c r="EG86" s="142"/>
      <c r="EH86" s="142"/>
      <c r="EI86" s="142"/>
      <c r="EJ86" s="142"/>
      <c r="EK86" s="142"/>
      <c r="EL86" s="142"/>
      <c r="EM86" s="142"/>
      <c r="EN86" s="142"/>
      <c r="EO86" s="142"/>
      <c r="EP86" s="142"/>
      <c r="EQ86" s="142"/>
      <c r="ER86" s="142"/>
      <c r="ES86" s="142"/>
      <c r="ET86" s="142"/>
      <c r="EU86" s="142"/>
      <c r="EV86" s="142"/>
      <c r="EW86" s="142"/>
      <c r="EX86" s="142"/>
      <c r="EY86" s="142"/>
      <c r="EZ86" s="142"/>
      <c r="FA86" s="142"/>
      <c r="FB86" s="142"/>
      <c r="FC86" s="142"/>
      <c r="FD86" s="142"/>
      <c r="FE86" s="142"/>
      <c r="FF86" s="142"/>
      <c r="FG86" s="142"/>
      <c r="FH86" s="142"/>
      <c r="FI86" s="142"/>
      <c r="FJ86" s="142"/>
      <c r="FK86" s="142"/>
      <c r="FL86" s="142"/>
      <c r="FM86" s="142"/>
      <c r="FN86" s="142"/>
      <c r="FO86" s="142"/>
      <c r="FP86" s="142"/>
      <c r="FQ86" s="142"/>
      <c r="FR86" s="142"/>
      <c r="FS86" s="142"/>
      <c r="FT86" s="142"/>
      <c r="FU86" s="142"/>
      <c r="FV86" s="142"/>
      <c r="FW86" s="142"/>
      <c r="FX86" s="142"/>
      <c r="FY86" s="142"/>
      <c r="FZ86" s="142"/>
      <c r="GA86" s="142"/>
      <c r="GB86" s="142"/>
      <c r="GC86" s="142"/>
      <c r="GD86" s="142"/>
      <c r="GE86" s="142"/>
      <c r="GF86" s="142"/>
      <c r="GG86" s="142"/>
      <c r="GH86" s="142"/>
      <c r="GI86" s="142"/>
      <c r="GJ86" s="142"/>
      <c r="GK86" s="142"/>
      <c r="GL86" s="142"/>
      <c r="GM86" s="142"/>
      <c r="GN86" s="142"/>
      <c r="GO86" s="142"/>
      <c r="GP86" s="142"/>
      <c r="GQ86" s="142"/>
      <c r="GR86" s="142"/>
      <c r="GS86" s="142"/>
      <c r="GT86" s="142"/>
      <c r="GU86" s="142"/>
      <c r="GV86" s="142"/>
      <c r="GW86" s="142"/>
      <c r="GX86" s="142"/>
      <c r="GY86" s="142"/>
      <c r="GZ86" s="142"/>
      <c r="HA86" s="142"/>
      <c r="HB86" s="142"/>
      <c r="HC86" s="142"/>
      <c r="HD86" s="142"/>
      <c r="HE86" s="142"/>
      <c r="HF86" s="142"/>
      <c r="HG86" s="142"/>
      <c r="HH86" s="142"/>
      <c r="HI86" s="142"/>
      <c r="HJ86" s="142"/>
      <c r="HK86" s="142"/>
      <c r="HL86" s="142"/>
      <c r="HM86" s="142"/>
      <c r="HN86" s="142"/>
      <c r="HO86" s="142"/>
      <c r="HP86" s="142"/>
      <c r="HQ86" s="142"/>
      <c r="HR86" s="142"/>
      <c r="HS86" s="142"/>
      <c r="HT86" s="142"/>
      <c r="HU86" s="142"/>
      <c r="HV86" s="142"/>
      <c r="HW86" s="142"/>
      <c r="HX86" s="142"/>
      <c r="HY86" s="142"/>
      <c r="HZ86" s="142"/>
      <c r="IA86" s="142"/>
      <c r="IB86" s="142"/>
      <c r="IC86" s="142"/>
      <c r="ID86" s="142"/>
      <c r="IE86" s="142"/>
      <c r="IF86" s="142"/>
      <c r="IG86" s="142"/>
      <c r="IH86" s="142"/>
      <c r="II86" s="142"/>
      <c r="IJ86" s="142"/>
      <c r="IK86" s="142"/>
      <c r="IL86" s="142"/>
      <c r="IM86" s="142"/>
      <c r="IN86" s="142"/>
      <c r="IO86" s="142"/>
      <c r="IP86" s="142"/>
      <c r="IQ86" s="142"/>
      <c r="IR86" s="142"/>
      <c r="IS86" s="142"/>
      <c r="IT86" s="142"/>
      <c r="IU86" s="142"/>
      <c r="IV86" s="142"/>
    </row>
    <row r="87" spans="1:256" s="194" customFormat="1" x14ac:dyDescent="0.25">
      <c r="A87" s="148" t="s">
        <v>4724</v>
      </c>
      <c r="B87" s="146">
        <v>756.18</v>
      </c>
      <c r="C87" s="432">
        <v>481.47899999999998</v>
      </c>
      <c r="D87" s="146">
        <f t="shared" si="6"/>
        <v>1.0083646606699685</v>
      </c>
      <c r="E87" s="146">
        <f t="shared" si="3"/>
        <v>1.0038954360116614</v>
      </c>
      <c r="F87" s="433">
        <v>601.23900000000003</v>
      </c>
      <c r="G87" s="146">
        <f t="shared" si="2"/>
        <v>1.0035851476447335</v>
      </c>
      <c r="H87" s="433">
        <v>646.35500000000002</v>
      </c>
      <c r="I87" s="142"/>
      <c r="J87" s="142"/>
      <c r="K87" s="142"/>
      <c r="L87" s="142"/>
      <c r="M87" s="142"/>
      <c r="N87" s="142"/>
      <c r="O87" s="142"/>
      <c r="P87" s="142"/>
      <c r="Q87" s="142"/>
      <c r="R87" s="142"/>
      <c r="S87" s="142"/>
      <c r="T87" s="142"/>
      <c r="U87" s="142"/>
      <c r="V87" s="142"/>
      <c r="W87" s="142"/>
      <c r="X87" s="142"/>
      <c r="Y87" s="142"/>
      <c r="Z87" s="142"/>
      <c r="AA87" s="142"/>
      <c r="AB87" s="142"/>
      <c r="AC87" s="142"/>
      <c r="AD87" s="142"/>
      <c r="AE87" s="142"/>
      <c r="AF87" s="142"/>
      <c r="AG87" s="142"/>
      <c r="AH87" s="142"/>
      <c r="AI87" s="142"/>
      <c r="AJ87" s="142"/>
      <c r="AK87" s="142"/>
      <c r="AL87" s="142"/>
      <c r="AM87" s="142"/>
      <c r="AN87" s="142"/>
      <c r="AO87" s="142"/>
      <c r="AP87" s="142"/>
      <c r="AQ87" s="142"/>
      <c r="AR87" s="142"/>
      <c r="AS87" s="142"/>
      <c r="AT87" s="142"/>
      <c r="AU87" s="142"/>
      <c r="AV87" s="142"/>
      <c r="AW87" s="142"/>
      <c r="AX87" s="142"/>
      <c r="AY87" s="142"/>
      <c r="AZ87" s="142"/>
      <c r="BA87" s="142"/>
      <c r="BB87" s="142"/>
      <c r="BC87" s="142"/>
      <c r="BD87" s="142"/>
      <c r="BE87" s="142"/>
      <c r="BF87" s="142"/>
      <c r="BG87" s="142"/>
      <c r="BH87" s="142"/>
      <c r="BI87" s="142"/>
      <c r="BJ87" s="142"/>
      <c r="BK87" s="142"/>
      <c r="BL87" s="142"/>
      <c r="BM87" s="142"/>
      <c r="BN87" s="142"/>
      <c r="BO87" s="142"/>
      <c r="BP87" s="142"/>
      <c r="BQ87" s="142"/>
      <c r="BR87" s="142"/>
      <c r="BS87" s="142"/>
      <c r="BT87" s="142"/>
      <c r="BU87" s="142"/>
      <c r="BV87" s="142"/>
      <c r="BW87" s="142"/>
      <c r="BX87" s="142"/>
      <c r="BY87" s="142"/>
      <c r="BZ87" s="142"/>
      <c r="CA87" s="142"/>
      <c r="CB87" s="142"/>
      <c r="CC87" s="142"/>
      <c r="CD87" s="142"/>
      <c r="CE87" s="142"/>
      <c r="CF87" s="142"/>
      <c r="CG87" s="142"/>
      <c r="CH87" s="142"/>
      <c r="CI87" s="142"/>
      <c r="CJ87" s="142"/>
      <c r="CK87" s="142"/>
      <c r="CL87" s="142"/>
      <c r="CM87" s="142"/>
      <c r="CN87" s="142"/>
      <c r="CO87" s="142"/>
      <c r="CP87" s="142"/>
      <c r="CQ87" s="142"/>
      <c r="CR87" s="142"/>
      <c r="CS87" s="142"/>
      <c r="CT87" s="142"/>
      <c r="CU87" s="142"/>
      <c r="CV87" s="142"/>
      <c r="CW87" s="142"/>
      <c r="CX87" s="142"/>
      <c r="CY87" s="142"/>
      <c r="CZ87" s="142"/>
      <c r="DA87" s="142"/>
      <c r="DB87" s="142"/>
      <c r="DC87" s="142"/>
      <c r="DD87" s="142"/>
      <c r="DE87" s="142"/>
      <c r="DF87" s="142"/>
      <c r="DG87" s="142"/>
      <c r="DH87" s="142"/>
      <c r="DI87" s="142"/>
      <c r="DJ87" s="142"/>
      <c r="DK87" s="142"/>
      <c r="DL87" s="142"/>
      <c r="DM87" s="142"/>
      <c r="DN87" s="142"/>
      <c r="DO87" s="142"/>
      <c r="DP87" s="142"/>
      <c r="DQ87" s="142"/>
      <c r="DR87" s="142"/>
      <c r="DS87" s="142"/>
      <c r="DT87" s="142"/>
      <c r="DU87" s="142"/>
      <c r="DV87" s="142"/>
      <c r="DW87" s="142"/>
      <c r="DX87" s="142"/>
      <c r="DY87" s="142"/>
      <c r="DZ87" s="142"/>
      <c r="EA87" s="142"/>
      <c r="EB87" s="142"/>
      <c r="EC87" s="142"/>
      <c r="ED87" s="142"/>
      <c r="EE87" s="142"/>
      <c r="EF87" s="142"/>
      <c r="EG87" s="142"/>
      <c r="EH87" s="142"/>
      <c r="EI87" s="142"/>
      <c r="EJ87" s="142"/>
      <c r="EK87" s="142"/>
      <c r="EL87" s="142"/>
      <c r="EM87" s="142"/>
      <c r="EN87" s="142"/>
      <c r="EO87" s="142"/>
      <c r="EP87" s="142"/>
      <c r="EQ87" s="142"/>
      <c r="ER87" s="142"/>
      <c r="ES87" s="142"/>
      <c r="ET87" s="142"/>
      <c r="EU87" s="142"/>
      <c r="EV87" s="142"/>
      <c r="EW87" s="142"/>
      <c r="EX87" s="142"/>
      <c r="EY87" s="142"/>
      <c r="EZ87" s="142"/>
      <c r="FA87" s="142"/>
      <c r="FB87" s="142"/>
      <c r="FC87" s="142"/>
      <c r="FD87" s="142"/>
      <c r="FE87" s="142"/>
      <c r="FF87" s="142"/>
      <c r="FG87" s="142"/>
      <c r="FH87" s="142"/>
      <c r="FI87" s="142"/>
      <c r="FJ87" s="142"/>
      <c r="FK87" s="142"/>
      <c r="FL87" s="142"/>
      <c r="FM87" s="142"/>
      <c r="FN87" s="142"/>
      <c r="FO87" s="142"/>
      <c r="FP87" s="142"/>
      <c r="FQ87" s="142"/>
      <c r="FR87" s="142"/>
      <c r="FS87" s="142"/>
      <c r="FT87" s="142"/>
      <c r="FU87" s="142"/>
      <c r="FV87" s="142"/>
      <c r="FW87" s="142"/>
      <c r="FX87" s="142"/>
      <c r="FY87" s="142"/>
      <c r="FZ87" s="142"/>
      <c r="GA87" s="142"/>
      <c r="GB87" s="142"/>
      <c r="GC87" s="142"/>
      <c r="GD87" s="142"/>
      <c r="GE87" s="142"/>
      <c r="GF87" s="142"/>
      <c r="GG87" s="142"/>
      <c r="GH87" s="142"/>
      <c r="GI87" s="142"/>
      <c r="GJ87" s="142"/>
      <c r="GK87" s="142"/>
      <c r="GL87" s="142"/>
      <c r="GM87" s="142"/>
      <c r="GN87" s="142"/>
      <c r="GO87" s="142"/>
      <c r="GP87" s="142"/>
      <c r="GQ87" s="142"/>
      <c r="GR87" s="142"/>
      <c r="GS87" s="142"/>
      <c r="GT87" s="142"/>
      <c r="GU87" s="142"/>
      <c r="GV87" s="142"/>
      <c r="GW87" s="142"/>
      <c r="GX87" s="142"/>
      <c r="GY87" s="142"/>
      <c r="GZ87" s="142"/>
      <c r="HA87" s="142"/>
      <c r="HB87" s="142"/>
      <c r="HC87" s="142"/>
      <c r="HD87" s="142"/>
      <c r="HE87" s="142"/>
      <c r="HF87" s="142"/>
      <c r="HG87" s="142"/>
      <c r="HH87" s="142"/>
      <c r="HI87" s="142"/>
      <c r="HJ87" s="142"/>
      <c r="HK87" s="142"/>
      <c r="HL87" s="142"/>
      <c r="HM87" s="142"/>
      <c r="HN87" s="142"/>
      <c r="HO87" s="142"/>
      <c r="HP87" s="142"/>
      <c r="HQ87" s="142"/>
      <c r="HR87" s="142"/>
      <c r="HS87" s="142"/>
      <c r="HT87" s="142"/>
      <c r="HU87" s="142"/>
      <c r="HV87" s="142"/>
      <c r="HW87" s="142"/>
      <c r="HX87" s="142"/>
      <c r="HY87" s="142"/>
      <c r="HZ87" s="142"/>
      <c r="IA87" s="142"/>
      <c r="IB87" s="142"/>
      <c r="IC87" s="142"/>
      <c r="ID87" s="142"/>
      <c r="IE87" s="142"/>
      <c r="IF87" s="142"/>
      <c r="IG87" s="142"/>
      <c r="IH87" s="142"/>
      <c r="II87" s="142"/>
      <c r="IJ87" s="142"/>
      <c r="IK87" s="142"/>
      <c r="IL87" s="142"/>
      <c r="IM87" s="142"/>
      <c r="IN87" s="142"/>
      <c r="IO87" s="142"/>
      <c r="IP87" s="142"/>
      <c r="IQ87" s="142"/>
      <c r="IR87" s="142"/>
      <c r="IS87" s="142"/>
      <c r="IT87" s="142"/>
      <c r="IU87" s="142"/>
      <c r="IV87" s="142"/>
    </row>
    <row r="88" spans="1:256" s="194" customFormat="1" x14ac:dyDescent="0.25">
      <c r="A88" s="148" t="s">
        <v>4725</v>
      </c>
      <c r="B88" s="146">
        <v>756.18</v>
      </c>
      <c r="C88" s="434">
        <v>484.09399999999999</v>
      </c>
      <c r="D88" s="146">
        <f t="shared" si="6"/>
        <v>1.0054311818376296</v>
      </c>
      <c r="E88" s="146">
        <f t="shared" si="3"/>
        <v>1.0025397554050883</v>
      </c>
      <c r="F88" s="436">
        <v>602.76599999999996</v>
      </c>
      <c r="G88" s="146">
        <f t="shared" si="2"/>
        <v>1.0033835895135026</v>
      </c>
      <c r="H88" s="436">
        <v>648.54200000000003</v>
      </c>
      <c r="I88" s="142"/>
      <c r="J88" s="142"/>
      <c r="K88" s="142"/>
      <c r="L88" s="142"/>
      <c r="M88" s="142"/>
      <c r="N88" s="142"/>
      <c r="O88" s="142"/>
      <c r="P88" s="142"/>
      <c r="Q88" s="142"/>
      <c r="R88" s="142"/>
      <c r="S88" s="142"/>
      <c r="T88" s="142"/>
      <c r="U88" s="142"/>
      <c r="V88" s="142"/>
      <c r="W88" s="142"/>
      <c r="X88" s="142"/>
      <c r="Y88" s="142"/>
      <c r="Z88" s="142"/>
      <c r="AA88" s="142"/>
      <c r="AB88" s="142"/>
      <c r="AC88" s="142"/>
      <c r="AD88" s="142"/>
      <c r="AE88" s="142"/>
      <c r="AF88" s="142"/>
      <c r="AG88" s="142"/>
      <c r="AH88" s="142"/>
      <c r="AI88" s="142"/>
      <c r="AJ88" s="142"/>
      <c r="AK88" s="142"/>
      <c r="AL88" s="142"/>
      <c r="AM88" s="142"/>
      <c r="AN88" s="142"/>
      <c r="AO88" s="142"/>
      <c r="AP88" s="142"/>
      <c r="AQ88" s="142"/>
      <c r="AR88" s="142"/>
      <c r="AS88" s="142"/>
      <c r="AT88" s="142"/>
      <c r="AU88" s="142"/>
      <c r="AV88" s="142"/>
      <c r="AW88" s="142"/>
      <c r="AX88" s="142"/>
      <c r="AY88" s="142"/>
      <c r="AZ88" s="142"/>
      <c r="BA88" s="142"/>
      <c r="BB88" s="142"/>
      <c r="BC88" s="142"/>
      <c r="BD88" s="142"/>
      <c r="BE88" s="142"/>
      <c r="BF88" s="142"/>
      <c r="BG88" s="142"/>
      <c r="BH88" s="142"/>
      <c r="BI88" s="142"/>
      <c r="BJ88" s="142"/>
      <c r="BK88" s="142"/>
      <c r="BL88" s="142"/>
      <c r="BM88" s="142"/>
      <c r="BN88" s="142"/>
      <c r="BO88" s="142"/>
      <c r="BP88" s="142"/>
      <c r="BQ88" s="142"/>
      <c r="BR88" s="142"/>
      <c r="BS88" s="142"/>
      <c r="BT88" s="142"/>
      <c r="BU88" s="142"/>
      <c r="BV88" s="142"/>
      <c r="BW88" s="142"/>
      <c r="BX88" s="142"/>
      <c r="BY88" s="142"/>
      <c r="BZ88" s="142"/>
      <c r="CA88" s="142"/>
      <c r="CB88" s="142"/>
      <c r="CC88" s="142"/>
      <c r="CD88" s="142"/>
      <c r="CE88" s="142"/>
      <c r="CF88" s="142"/>
      <c r="CG88" s="142"/>
      <c r="CH88" s="142"/>
      <c r="CI88" s="142"/>
      <c r="CJ88" s="142"/>
      <c r="CK88" s="142"/>
      <c r="CL88" s="142"/>
      <c r="CM88" s="142"/>
      <c r="CN88" s="142"/>
      <c r="CO88" s="142"/>
      <c r="CP88" s="142"/>
      <c r="CQ88" s="142"/>
      <c r="CR88" s="142"/>
      <c r="CS88" s="142"/>
      <c r="CT88" s="142"/>
      <c r="CU88" s="142"/>
      <c r="CV88" s="142"/>
      <c r="CW88" s="142"/>
      <c r="CX88" s="142"/>
      <c r="CY88" s="142"/>
      <c r="CZ88" s="142"/>
      <c r="DA88" s="142"/>
      <c r="DB88" s="142"/>
      <c r="DC88" s="142"/>
      <c r="DD88" s="142"/>
      <c r="DE88" s="142"/>
      <c r="DF88" s="142"/>
      <c r="DG88" s="142"/>
      <c r="DH88" s="142"/>
      <c r="DI88" s="142"/>
      <c r="DJ88" s="142"/>
      <c r="DK88" s="142"/>
      <c r="DL88" s="142"/>
      <c r="DM88" s="142"/>
      <c r="DN88" s="142"/>
      <c r="DO88" s="142"/>
      <c r="DP88" s="142"/>
      <c r="DQ88" s="142"/>
      <c r="DR88" s="142"/>
      <c r="DS88" s="142"/>
      <c r="DT88" s="142"/>
      <c r="DU88" s="142"/>
      <c r="DV88" s="142"/>
      <c r="DW88" s="142"/>
      <c r="DX88" s="142"/>
      <c r="DY88" s="142"/>
      <c r="DZ88" s="142"/>
      <c r="EA88" s="142"/>
      <c r="EB88" s="142"/>
      <c r="EC88" s="142"/>
      <c r="ED88" s="142"/>
      <c r="EE88" s="142"/>
      <c r="EF88" s="142"/>
      <c r="EG88" s="142"/>
      <c r="EH88" s="142"/>
      <c r="EI88" s="142"/>
      <c r="EJ88" s="142"/>
      <c r="EK88" s="142"/>
      <c r="EL88" s="142"/>
      <c r="EM88" s="142"/>
      <c r="EN88" s="142"/>
      <c r="EO88" s="142"/>
      <c r="EP88" s="142"/>
      <c r="EQ88" s="142"/>
      <c r="ER88" s="142"/>
      <c r="ES88" s="142"/>
      <c r="ET88" s="142"/>
      <c r="EU88" s="142"/>
      <c r="EV88" s="142"/>
      <c r="EW88" s="142"/>
      <c r="EX88" s="142"/>
      <c r="EY88" s="142"/>
      <c r="EZ88" s="142"/>
      <c r="FA88" s="142"/>
      <c r="FB88" s="142"/>
      <c r="FC88" s="142"/>
      <c r="FD88" s="142"/>
      <c r="FE88" s="142"/>
      <c r="FF88" s="142"/>
      <c r="FG88" s="142"/>
      <c r="FH88" s="142"/>
      <c r="FI88" s="142"/>
      <c r="FJ88" s="142"/>
      <c r="FK88" s="142"/>
      <c r="FL88" s="142"/>
      <c r="FM88" s="142"/>
      <c r="FN88" s="142"/>
      <c r="FO88" s="142"/>
      <c r="FP88" s="142"/>
      <c r="FQ88" s="142"/>
      <c r="FR88" s="142"/>
      <c r="FS88" s="142"/>
      <c r="FT88" s="142"/>
      <c r="FU88" s="142"/>
      <c r="FV88" s="142"/>
      <c r="FW88" s="142"/>
      <c r="FX88" s="142"/>
      <c r="FY88" s="142"/>
      <c r="FZ88" s="142"/>
      <c r="GA88" s="142"/>
      <c r="GB88" s="142"/>
      <c r="GC88" s="142"/>
      <c r="GD88" s="142"/>
      <c r="GE88" s="142"/>
      <c r="GF88" s="142"/>
      <c r="GG88" s="142"/>
      <c r="GH88" s="142"/>
      <c r="GI88" s="142"/>
      <c r="GJ88" s="142"/>
      <c r="GK88" s="142"/>
      <c r="GL88" s="142"/>
      <c r="GM88" s="142"/>
      <c r="GN88" s="142"/>
      <c r="GO88" s="142"/>
      <c r="GP88" s="142"/>
      <c r="GQ88" s="142"/>
      <c r="GR88" s="142"/>
      <c r="GS88" s="142"/>
      <c r="GT88" s="142"/>
      <c r="GU88" s="142"/>
      <c r="GV88" s="142"/>
      <c r="GW88" s="142"/>
      <c r="GX88" s="142"/>
      <c r="GY88" s="142"/>
      <c r="GZ88" s="142"/>
      <c r="HA88" s="142"/>
      <c r="HB88" s="142"/>
      <c r="HC88" s="142"/>
      <c r="HD88" s="142"/>
      <c r="HE88" s="142"/>
      <c r="HF88" s="142"/>
      <c r="HG88" s="142"/>
      <c r="HH88" s="142"/>
      <c r="HI88" s="142"/>
      <c r="HJ88" s="142"/>
      <c r="HK88" s="142"/>
      <c r="HL88" s="142"/>
      <c r="HM88" s="142"/>
      <c r="HN88" s="142"/>
      <c r="HO88" s="142"/>
      <c r="HP88" s="142"/>
      <c r="HQ88" s="142"/>
      <c r="HR88" s="142"/>
      <c r="HS88" s="142"/>
      <c r="HT88" s="142"/>
      <c r="HU88" s="142"/>
      <c r="HV88" s="142"/>
      <c r="HW88" s="142"/>
      <c r="HX88" s="142"/>
      <c r="HY88" s="142"/>
      <c r="HZ88" s="142"/>
      <c r="IA88" s="142"/>
      <c r="IB88" s="142"/>
      <c r="IC88" s="142"/>
      <c r="ID88" s="142"/>
      <c r="IE88" s="142"/>
      <c r="IF88" s="142"/>
      <c r="IG88" s="142"/>
      <c r="IH88" s="142"/>
      <c r="II88" s="142"/>
      <c r="IJ88" s="142"/>
      <c r="IK88" s="142"/>
      <c r="IL88" s="142"/>
      <c r="IM88" s="142"/>
      <c r="IN88" s="142"/>
      <c r="IO88" s="142"/>
      <c r="IP88" s="142"/>
      <c r="IQ88" s="142"/>
      <c r="IR88" s="142"/>
      <c r="IS88" s="142"/>
      <c r="IT88" s="142"/>
      <c r="IU88" s="142"/>
      <c r="IV88" s="142"/>
    </row>
    <row r="89" spans="1:256" s="194" customFormat="1" x14ac:dyDescent="0.25">
      <c r="A89" s="148" t="s">
        <v>4726</v>
      </c>
      <c r="B89" s="146">
        <v>756.18</v>
      </c>
      <c r="C89" s="434">
        <v>485.64499999999998</v>
      </c>
      <c r="D89" s="146">
        <f t="shared" si="6"/>
        <v>1.0032039232049974</v>
      </c>
      <c r="E89" s="146">
        <f t="shared" si="3"/>
        <v>1.0015030708434121</v>
      </c>
      <c r="F89" s="436">
        <v>603.67200000000003</v>
      </c>
      <c r="G89" s="146">
        <f t="shared" si="2"/>
        <v>1.0010392542040454</v>
      </c>
      <c r="H89" s="436">
        <v>649.21600000000001</v>
      </c>
      <c r="I89" s="142"/>
      <c r="J89" s="142"/>
      <c r="K89" s="142"/>
      <c r="L89" s="142"/>
      <c r="M89" s="142"/>
      <c r="N89" s="142"/>
      <c r="O89" s="142"/>
      <c r="P89" s="142"/>
      <c r="Q89" s="142"/>
      <c r="R89" s="142"/>
      <c r="S89" s="142"/>
      <c r="T89" s="142"/>
      <c r="U89" s="142"/>
      <c r="V89" s="142"/>
      <c r="W89" s="142"/>
      <c r="X89" s="142"/>
      <c r="Y89" s="142"/>
      <c r="Z89" s="142"/>
      <c r="AA89" s="142"/>
      <c r="AB89" s="142"/>
      <c r="AC89" s="142"/>
      <c r="AD89" s="142"/>
      <c r="AE89" s="142"/>
      <c r="AF89" s="142"/>
      <c r="AG89" s="142"/>
      <c r="AH89" s="142"/>
      <c r="AI89" s="142"/>
      <c r="AJ89" s="142"/>
      <c r="AK89" s="142"/>
      <c r="AL89" s="142"/>
      <c r="AM89" s="142"/>
      <c r="AN89" s="142"/>
      <c r="AO89" s="142"/>
      <c r="AP89" s="142"/>
      <c r="AQ89" s="142"/>
      <c r="AR89" s="142"/>
      <c r="AS89" s="142"/>
      <c r="AT89" s="142"/>
      <c r="AU89" s="142"/>
      <c r="AV89" s="142"/>
      <c r="AW89" s="142"/>
      <c r="AX89" s="142"/>
      <c r="AY89" s="142"/>
      <c r="AZ89" s="142"/>
      <c r="BA89" s="142"/>
      <c r="BB89" s="142"/>
      <c r="BC89" s="142"/>
      <c r="BD89" s="142"/>
      <c r="BE89" s="142"/>
      <c r="BF89" s="142"/>
      <c r="BG89" s="142"/>
      <c r="BH89" s="142"/>
      <c r="BI89" s="142"/>
      <c r="BJ89" s="142"/>
      <c r="BK89" s="142"/>
      <c r="BL89" s="142"/>
      <c r="BM89" s="142"/>
      <c r="BN89" s="142"/>
      <c r="BO89" s="142"/>
      <c r="BP89" s="142"/>
      <c r="BQ89" s="142"/>
      <c r="BR89" s="142"/>
      <c r="BS89" s="142"/>
      <c r="BT89" s="142"/>
      <c r="BU89" s="142"/>
      <c r="BV89" s="142"/>
      <c r="BW89" s="142"/>
      <c r="BX89" s="142"/>
      <c r="BY89" s="142"/>
      <c r="BZ89" s="142"/>
      <c r="CA89" s="142"/>
      <c r="CB89" s="142"/>
      <c r="CC89" s="142"/>
      <c r="CD89" s="142"/>
      <c r="CE89" s="142"/>
      <c r="CF89" s="142"/>
      <c r="CG89" s="142"/>
      <c r="CH89" s="142"/>
      <c r="CI89" s="142"/>
      <c r="CJ89" s="142"/>
      <c r="CK89" s="142"/>
      <c r="CL89" s="142"/>
      <c r="CM89" s="142"/>
      <c r="CN89" s="142"/>
      <c r="CO89" s="142"/>
      <c r="CP89" s="142"/>
      <c r="CQ89" s="142"/>
      <c r="CR89" s="142"/>
      <c r="CS89" s="142"/>
      <c r="CT89" s="142"/>
      <c r="CU89" s="142"/>
      <c r="CV89" s="142"/>
      <c r="CW89" s="142"/>
      <c r="CX89" s="142"/>
      <c r="CY89" s="142"/>
      <c r="CZ89" s="142"/>
      <c r="DA89" s="142"/>
      <c r="DB89" s="142"/>
      <c r="DC89" s="142"/>
      <c r="DD89" s="142"/>
      <c r="DE89" s="142"/>
      <c r="DF89" s="142"/>
      <c r="DG89" s="142"/>
      <c r="DH89" s="142"/>
      <c r="DI89" s="142"/>
      <c r="DJ89" s="142"/>
      <c r="DK89" s="142"/>
      <c r="DL89" s="142"/>
      <c r="DM89" s="142"/>
      <c r="DN89" s="142"/>
      <c r="DO89" s="142"/>
      <c r="DP89" s="142"/>
      <c r="DQ89" s="142"/>
      <c r="DR89" s="142"/>
      <c r="DS89" s="142"/>
      <c r="DT89" s="142"/>
      <c r="DU89" s="142"/>
      <c r="DV89" s="142"/>
      <c r="DW89" s="142"/>
      <c r="DX89" s="142"/>
      <c r="DY89" s="142"/>
      <c r="DZ89" s="142"/>
      <c r="EA89" s="142"/>
      <c r="EB89" s="142"/>
      <c r="EC89" s="142"/>
      <c r="ED89" s="142"/>
      <c r="EE89" s="142"/>
      <c r="EF89" s="142"/>
      <c r="EG89" s="142"/>
      <c r="EH89" s="142"/>
      <c r="EI89" s="142"/>
      <c r="EJ89" s="142"/>
      <c r="EK89" s="142"/>
      <c r="EL89" s="142"/>
      <c r="EM89" s="142"/>
      <c r="EN89" s="142"/>
      <c r="EO89" s="142"/>
      <c r="EP89" s="142"/>
      <c r="EQ89" s="142"/>
      <c r="ER89" s="142"/>
      <c r="ES89" s="142"/>
      <c r="ET89" s="142"/>
      <c r="EU89" s="142"/>
      <c r="EV89" s="142"/>
      <c r="EW89" s="142"/>
      <c r="EX89" s="142"/>
      <c r="EY89" s="142"/>
      <c r="EZ89" s="142"/>
      <c r="FA89" s="142"/>
      <c r="FB89" s="142"/>
      <c r="FC89" s="142"/>
      <c r="FD89" s="142"/>
      <c r="FE89" s="142"/>
      <c r="FF89" s="142"/>
      <c r="FG89" s="142"/>
      <c r="FH89" s="142"/>
      <c r="FI89" s="142"/>
      <c r="FJ89" s="142"/>
      <c r="FK89" s="142"/>
      <c r="FL89" s="142"/>
      <c r="FM89" s="142"/>
      <c r="FN89" s="142"/>
      <c r="FO89" s="142"/>
      <c r="FP89" s="142"/>
      <c r="FQ89" s="142"/>
      <c r="FR89" s="142"/>
      <c r="FS89" s="142"/>
      <c r="FT89" s="142"/>
      <c r="FU89" s="142"/>
      <c r="FV89" s="142"/>
      <c r="FW89" s="142"/>
      <c r="FX89" s="142"/>
      <c r="FY89" s="142"/>
      <c r="FZ89" s="142"/>
      <c r="GA89" s="142"/>
      <c r="GB89" s="142"/>
      <c r="GC89" s="142"/>
      <c r="GD89" s="142"/>
      <c r="GE89" s="142"/>
      <c r="GF89" s="142"/>
      <c r="GG89" s="142"/>
      <c r="GH89" s="142"/>
      <c r="GI89" s="142"/>
      <c r="GJ89" s="142"/>
      <c r="GK89" s="142"/>
      <c r="GL89" s="142"/>
      <c r="GM89" s="142"/>
      <c r="GN89" s="142"/>
      <c r="GO89" s="142"/>
      <c r="GP89" s="142"/>
      <c r="GQ89" s="142"/>
      <c r="GR89" s="142"/>
      <c r="GS89" s="142"/>
      <c r="GT89" s="142"/>
      <c r="GU89" s="142"/>
      <c r="GV89" s="142"/>
      <c r="GW89" s="142"/>
      <c r="GX89" s="142"/>
      <c r="GY89" s="142"/>
      <c r="GZ89" s="142"/>
      <c r="HA89" s="142"/>
      <c r="HB89" s="142"/>
      <c r="HC89" s="142"/>
      <c r="HD89" s="142"/>
      <c r="HE89" s="142"/>
      <c r="HF89" s="142"/>
      <c r="HG89" s="142"/>
      <c r="HH89" s="142"/>
      <c r="HI89" s="142"/>
      <c r="HJ89" s="142"/>
      <c r="HK89" s="142"/>
      <c r="HL89" s="142"/>
      <c r="HM89" s="142"/>
      <c r="HN89" s="142"/>
      <c r="HO89" s="142"/>
      <c r="HP89" s="142"/>
      <c r="HQ89" s="142"/>
      <c r="HR89" s="142"/>
      <c r="HS89" s="142"/>
      <c r="HT89" s="142"/>
      <c r="HU89" s="142"/>
      <c r="HV89" s="142"/>
      <c r="HW89" s="142"/>
      <c r="HX89" s="142"/>
      <c r="HY89" s="142"/>
      <c r="HZ89" s="142"/>
      <c r="IA89" s="142"/>
      <c r="IB89" s="142"/>
      <c r="IC89" s="142"/>
      <c r="ID89" s="142"/>
      <c r="IE89" s="142"/>
      <c r="IF89" s="142"/>
      <c r="IG89" s="142"/>
      <c r="IH89" s="142"/>
      <c r="II89" s="142"/>
      <c r="IJ89" s="142"/>
      <c r="IK89" s="142"/>
      <c r="IL89" s="142"/>
      <c r="IM89" s="142"/>
      <c r="IN89" s="142"/>
      <c r="IO89" s="142"/>
      <c r="IP89" s="142"/>
      <c r="IQ89" s="142"/>
      <c r="IR89" s="142"/>
      <c r="IS89" s="142"/>
      <c r="IT89" s="142"/>
      <c r="IU89" s="142"/>
      <c r="IV89" s="142"/>
    </row>
    <row r="90" spans="1:256" s="194" customFormat="1" x14ac:dyDescent="0.25">
      <c r="A90" s="148" t="s">
        <v>4727</v>
      </c>
      <c r="B90" s="150">
        <v>756.18</v>
      </c>
      <c r="C90" s="434">
        <v>486.05500000000001</v>
      </c>
      <c r="D90" s="146">
        <f t="shared" si="6"/>
        <v>1.0008442380751372</v>
      </c>
      <c r="E90" s="146">
        <f t="shared" si="3"/>
        <v>1.0003959103619182</v>
      </c>
      <c r="F90" s="436">
        <v>603.91099999999994</v>
      </c>
      <c r="G90" s="146">
        <f t="shared" si="2"/>
        <v>1.0039170322358044</v>
      </c>
      <c r="H90" s="436">
        <v>651.75900000000001</v>
      </c>
      <c r="I90" s="142"/>
      <c r="J90" s="142"/>
      <c r="K90" s="142"/>
      <c r="L90" s="142"/>
      <c r="M90" s="142"/>
      <c r="N90" s="142"/>
      <c r="O90" s="142"/>
      <c r="P90" s="142"/>
      <c r="Q90" s="142"/>
      <c r="R90" s="142"/>
      <c r="S90" s="142"/>
      <c r="T90" s="142"/>
      <c r="U90" s="142"/>
      <c r="V90" s="142"/>
      <c r="W90" s="142"/>
      <c r="X90" s="142"/>
      <c r="Y90" s="142"/>
      <c r="Z90" s="142"/>
      <c r="AA90" s="142"/>
      <c r="AB90" s="142"/>
      <c r="AC90" s="142"/>
      <c r="AD90" s="142"/>
      <c r="AE90" s="142"/>
      <c r="AF90" s="142"/>
      <c r="AG90" s="142"/>
      <c r="AH90" s="142"/>
      <c r="AI90" s="142"/>
      <c r="AJ90" s="142"/>
      <c r="AK90" s="142"/>
      <c r="AL90" s="142"/>
      <c r="AM90" s="142"/>
      <c r="AN90" s="142"/>
      <c r="AO90" s="142"/>
      <c r="AP90" s="142"/>
      <c r="AQ90" s="142"/>
      <c r="AR90" s="142"/>
      <c r="AS90" s="142"/>
      <c r="AT90" s="142"/>
      <c r="AU90" s="142"/>
      <c r="AV90" s="142"/>
      <c r="AW90" s="142"/>
      <c r="AX90" s="142"/>
      <c r="AY90" s="142"/>
      <c r="AZ90" s="142"/>
      <c r="BA90" s="142"/>
      <c r="BB90" s="142"/>
      <c r="BC90" s="142"/>
      <c r="BD90" s="142"/>
      <c r="BE90" s="142"/>
      <c r="BF90" s="142"/>
      <c r="BG90" s="142"/>
      <c r="BH90" s="142"/>
      <c r="BI90" s="142"/>
      <c r="BJ90" s="142"/>
      <c r="BK90" s="142"/>
      <c r="BL90" s="142"/>
      <c r="BM90" s="142"/>
      <c r="BN90" s="142"/>
      <c r="BO90" s="142"/>
      <c r="BP90" s="142"/>
      <c r="BQ90" s="142"/>
      <c r="BR90" s="142"/>
      <c r="BS90" s="142"/>
      <c r="BT90" s="142"/>
      <c r="BU90" s="142"/>
      <c r="BV90" s="142"/>
      <c r="BW90" s="142"/>
      <c r="BX90" s="142"/>
      <c r="BY90" s="142"/>
      <c r="BZ90" s="142"/>
      <c r="CA90" s="142"/>
      <c r="CB90" s="142"/>
      <c r="CC90" s="142"/>
      <c r="CD90" s="142"/>
      <c r="CE90" s="142"/>
      <c r="CF90" s="142"/>
      <c r="CG90" s="142"/>
      <c r="CH90" s="142"/>
      <c r="CI90" s="142"/>
      <c r="CJ90" s="142"/>
      <c r="CK90" s="142"/>
      <c r="CL90" s="142"/>
      <c r="CM90" s="142"/>
      <c r="CN90" s="142"/>
      <c r="CO90" s="142"/>
      <c r="CP90" s="142"/>
      <c r="CQ90" s="142"/>
      <c r="CR90" s="142"/>
      <c r="CS90" s="142"/>
      <c r="CT90" s="142"/>
      <c r="CU90" s="142"/>
      <c r="CV90" s="142"/>
      <c r="CW90" s="142"/>
      <c r="CX90" s="142"/>
      <c r="CY90" s="142"/>
      <c r="CZ90" s="142"/>
      <c r="DA90" s="142"/>
      <c r="DB90" s="142"/>
      <c r="DC90" s="142"/>
      <c r="DD90" s="142"/>
      <c r="DE90" s="142"/>
      <c r="DF90" s="142"/>
      <c r="DG90" s="142"/>
      <c r="DH90" s="142"/>
      <c r="DI90" s="142"/>
      <c r="DJ90" s="142"/>
      <c r="DK90" s="142"/>
      <c r="DL90" s="142"/>
      <c r="DM90" s="142"/>
      <c r="DN90" s="142"/>
      <c r="DO90" s="142"/>
      <c r="DP90" s="142"/>
      <c r="DQ90" s="142"/>
      <c r="DR90" s="142"/>
      <c r="DS90" s="142"/>
      <c r="DT90" s="142"/>
      <c r="DU90" s="142"/>
      <c r="DV90" s="142"/>
      <c r="DW90" s="142"/>
      <c r="DX90" s="142"/>
      <c r="DY90" s="142"/>
      <c r="DZ90" s="142"/>
      <c r="EA90" s="142"/>
      <c r="EB90" s="142"/>
      <c r="EC90" s="142"/>
      <c r="ED90" s="142"/>
      <c r="EE90" s="142"/>
      <c r="EF90" s="142"/>
      <c r="EG90" s="142"/>
      <c r="EH90" s="142"/>
      <c r="EI90" s="142"/>
      <c r="EJ90" s="142"/>
      <c r="EK90" s="142"/>
      <c r="EL90" s="142"/>
      <c r="EM90" s="142"/>
      <c r="EN90" s="142"/>
      <c r="EO90" s="142"/>
      <c r="EP90" s="142"/>
      <c r="EQ90" s="142"/>
      <c r="ER90" s="142"/>
      <c r="ES90" s="142"/>
      <c r="ET90" s="142"/>
      <c r="EU90" s="142"/>
      <c r="EV90" s="142"/>
      <c r="EW90" s="142"/>
      <c r="EX90" s="142"/>
      <c r="EY90" s="142"/>
      <c r="EZ90" s="142"/>
      <c r="FA90" s="142"/>
      <c r="FB90" s="142"/>
      <c r="FC90" s="142"/>
      <c r="FD90" s="142"/>
      <c r="FE90" s="142"/>
      <c r="FF90" s="142"/>
      <c r="FG90" s="142"/>
      <c r="FH90" s="142"/>
      <c r="FI90" s="142"/>
      <c r="FJ90" s="142"/>
      <c r="FK90" s="142"/>
      <c r="FL90" s="142"/>
      <c r="FM90" s="142"/>
      <c r="FN90" s="142"/>
      <c r="FO90" s="142"/>
      <c r="FP90" s="142"/>
      <c r="FQ90" s="142"/>
      <c r="FR90" s="142"/>
      <c r="FS90" s="142"/>
      <c r="FT90" s="142"/>
      <c r="FU90" s="142"/>
      <c r="FV90" s="142"/>
      <c r="FW90" s="142"/>
      <c r="FX90" s="142"/>
      <c r="FY90" s="142"/>
      <c r="FZ90" s="142"/>
      <c r="GA90" s="142"/>
      <c r="GB90" s="142"/>
      <c r="GC90" s="142"/>
      <c r="GD90" s="142"/>
      <c r="GE90" s="142"/>
      <c r="GF90" s="142"/>
      <c r="GG90" s="142"/>
      <c r="GH90" s="142"/>
      <c r="GI90" s="142"/>
      <c r="GJ90" s="142"/>
      <c r="GK90" s="142"/>
      <c r="GL90" s="142"/>
      <c r="GM90" s="142"/>
      <c r="GN90" s="142"/>
      <c r="GO90" s="142"/>
      <c r="GP90" s="142"/>
      <c r="GQ90" s="142"/>
      <c r="GR90" s="142"/>
      <c r="GS90" s="142"/>
      <c r="GT90" s="142"/>
      <c r="GU90" s="142"/>
      <c r="GV90" s="142"/>
      <c r="GW90" s="142"/>
      <c r="GX90" s="142"/>
      <c r="GY90" s="142"/>
      <c r="GZ90" s="142"/>
      <c r="HA90" s="142"/>
      <c r="HB90" s="142"/>
      <c r="HC90" s="142"/>
      <c r="HD90" s="142"/>
      <c r="HE90" s="142"/>
      <c r="HF90" s="142"/>
      <c r="HG90" s="142"/>
      <c r="HH90" s="142"/>
      <c r="HI90" s="142"/>
      <c r="HJ90" s="142"/>
      <c r="HK90" s="142"/>
      <c r="HL90" s="142"/>
      <c r="HM90" s="142"/>
      <c r="HN90" s="142"/>
      <c r="HO90" s="142"/>
      <c r="HP90" s="142"/>
      <c r="HQ90" s="142"/>
      <c r="HR90" s="142"/>
      <c r="HS90" s="142"/>
      <c r="HT90" s="142"/>
      <c r="HU90" s="142"/>
      <c r="HV90" s="142"/>
      <c r="HW90" s="142"/>
      <c r="HX90" s="142"/>
      <c r="HY90" s="142"/>
      <c r="HZ90" s="142"/>
      <c r="IA90" s="142"/>
      <c r="IB90" s="142"/>
      <c r="IC90" s="142"/>
      <c r="ID90" s="142"/>
      <c r="IE90" s="142"/>
      <c r="IF90" s="142"/>
      <c r="IG90" s="142"/>
      <c r="IH90" s="142"/>
      <c r="II90" s="142"/>
      <c r="IJ90" s="142"/>
      <c r="IK90" s="142"/>
      <c r="IL90" s="142"/>
      <c r="IM90" s="142"/>
      <c r="IN90" s="142"/>
      <c r="IO90" s="142"/>
      <c r="IP90" s="142"/>
      <c r="IQ90" s="142"/>
      <c r="IR90" s="142"/>
      <c r="IS90" s="142"/>
      <c r="IT90" s="142"/>
      <c r="IU90" s="142"/>
      <c r="IV90" s="142"/>
    </row>
    <row r="91" spans="1:256" s="194" customFormat="1" x14ac:dyDescent="0.25">
      <c r="A91" s="437" t="s">
        <v>4728</v>
      </c>
      <c r="B91" s="150">
        <v>756.18</v>
      </c>
      <c r="C91" s="434">
        <v>488.86799999999999</v>
      </c>
      <c r="D91" s="146">
        <f t="shared" si="6"/>
        <v>1.005787410889714</v>
      </c>
      <c r="E91" s="146">
        <f t="shared" si="3"/>
        <v>1.0027205995585442</v>
      </c>
      <c r="F91" s="436">
        <v>605.55399999999997</v>
      </c>
      <c r="G91" s="146">
        <f t="shared" si="2"/>
        <v>1.0053762203513876</v>
      </c>
      <c r="H91" s="436">
        <v>655.26300000000003</v>
      </c>
      <c r="I91" s="142"/>
      <c r="J91" s="142"/>
      <c r="K91" s="142"/>
      <c r="L91" s="142"/>
      <c r="M91" s="142"/>
      <c r="N91" s="142"/>
      <c r="O91" s="142"/>
      <c r="P91" s="142"/>
      <c r="Q91" s="142"/>
      <c r="R91" s="142"/>
      <c r="S91" s="142"/>
      <c r="T91" s="142"/>
      <c r="U91" s="142"/>
      <c r="V91" s="142"/>
      <c r="W91" s="142"/>
      <c r="X91" s="142"/>
      <c r="Y91" s="142"/>
      <c r="Z91" s="142"/>
      <c r="AA91" s="142"/>
      <c r="AB91" s="142"/>
      <c r="AC91" s="142"/>
      <c r="AD91" s="142"/>
      <c r="AE91" s="142"/>
      <c r="AF91" s="142"/>
      <c r="AG91" s="142"/>
      <c r="AH91" s="142"/>
      <c r="AI91" s="142"/>
      <c r="AJ91" s="142"/>
      <c r="AK91" s="142"/>
      <c r="AL91" s="142"/>
      <c r="AM91" s="142"/>
      <c r="AN91" s="142"/>
      <c r="AO91" s="142"/>
      <c r="AP91" s="142"/>
      <c r="AQ91" s="142"/>
      <c r="AR91" s="142"/>
      <c r="AS91" s="142"/>
      <c r="AT91" s="142"/>
      <c r="AU91" s="142"/>
      <c r="AV91" s="142"/>
      <c r="AW91" s="142"/>
      <c r="AX91" s="142"/>
      <c r="AY91" s="142"/>
      <c r="AZ91" s="142"/>
      <c r="BA91" s="142"/>
      <c r="BB91" s="142"/>
      <c r="BC91" s="142"/>
      <c r="BD91" s="142"/>
      <c r="BE91" s="142"/>
      <c r="BF91" s="142"/>
      <c r="BG91" s="142"/>
      <c r="BH91" s="142"/>
      <c r="BI91" s="142"/>
      <c r="BJ91" s="142"/>
      <c r="BK91" s="142"/>
      <c r="BL91" s="142"/>
      <c r="BM91" s="142"/>
      <c r="BN91" s="142"/>
      <c r="BO91" s="142"/>
      <c r="BP91" s="142"/>
      <c r="BQ91" s="142"/>
      <c r="BR91" s="142"/>
      <c r="BS91" s="142"/>
      <c r="BT91" s="142"/>
      <c r="BU91" s="142"/>
      <c r="BV91" s="142"/>
      <c r="BW91" s="142"/>
      <c r="BX91" s="142"/>
      <c r="BY91" s="142"/>
      <c r="BZ91" s="142"/>
      <c r="CA91" s="142"/>
      <c r="CB91" s="142"/>
      <c r="CC91" s="142"/>
      <c r="CD91" s="142"/>
      <c r="CE91" s="142"/>
      <c r="CF91" s="142"/>
      <c r="CG91" s="142"/>
      <c r="CH91" s="142"/>
      <c r="CI91" s="142"/>
      <c r="CJ91" s="142"/>
      <c r="CK91" s="142"/>
      <c r="CL91" s="142"/>
      <c r="CM91" s="142"/>
      <c r="CN91" s="142"/>
      <c r="CO91" s="142"/>
      <c r="CP91" s="142"/>
      <c r="CQ91" s="142"/>
      <c r="CR91" s="142"/>
      <c r="CS91" s="142"/>
      <c r="CT91" s="142"/>
      <c r="CU91" s="142"/>
      <c r="CV91" s="142"/>
      <c r="CW91" s="142"/>
      <c r="CX91" s="142"/>
      <c r="CY91" s="142"/>
      <c r="CZ91" s="142"/>
      <c r="DA91" s="142"/>
      <c r="DB91" s="142"/>
      <c r="DC91" s="142"/>
      <c r="DD91" s="142"/>
      <c r="DE91" s="142"/>
      <c r="DF91" s="142"/>
      <c r="DG91" s="142"/>
      <c r="DH91" s="142"/>
      <c r="DI91" s="142"/>
      <c r="DJ91" s="142"/>
      <c r="DK91" s="142"/>
      <c r="DL91" s="142"/>
      <c r="DM91" s="142"/>
      <c r="DN91" s="142"/>
      <c r="DO91" s="142"/>
      <c r="DP91" s="142"/>
      <c r="DQ91" s="142"/>
      <c r="DR91" s="142"/>
      <c r="DS91" s="142"/>
      <c r="DT91" s="142"/>
      <c r="DU91" s="142"/>
      <c r="DV91" s="142"/>
      <c r="DW91" s="142"/>
      <c r="DX91" s="142"/>
      <c r="DY91" s="142"/>
      <c r="DZ91" s="142"/>
      <c r="EA91" s="142"/>
      <c r="EB91" s="142"/>
      <c r="EC91" s="142"/>
      <c r="ED91" s="142"/>
      <c r="EE91" s="142"/>
      <c r="EF91" s="142"/>
      <c r="EG91" s="142"/>
      <c r="EH91" s="142"/>
      <c r="EI91" s="142"/>
      <c r="EJ91" s="142"/>
      <c r="EK91" s="142"/>
      <c r="EL91" s="142"/>
      <c r="EM91" s="142"/>
      <c r="EN91" s="142"/>
      <c r="EO91" s="142"/>
      <c r="EP91" s="142"/>
      <c r="EQ91" s="142"/>
      <c r="ER91" s="142"/>
      <c r="ES91" s="142"/>
      <c r="ET91" s="142"/>
      <c r="EU91" s="142"/>
      <c r="EV91" s="142"/>
      <c r="EW91" s="142"/>
      <c r="EX91" s="142"/>
      <c r="EY91" s="142"/>
      <c r="EZ91" s="142"/>
      <c r="FA91" s="142"/>
      <c r="FB91" s="142"/>
      <c r="FC91" s="142"/>
      <c r="FD91" s="142"/>
      <c r="FE91" s="142"/>
      <c r="FF91" s="142"/>
      <c r="FG91" s="142"/>
      <c r="FH91" s="142"/>
      <c r="FI91" s="142"/>
      <c r="FJ91" s="142"/>
      <c r="FK91" s="142"/>
      <c r="FL91" s="142"/>
      <c r="FM91" s="142"/>
      <c r="FN91" s="142"/>
      <c r="FO91" s="142"/>
      <c r="FP91" s="142"/>
      <c r="FQ91" s="142"/>
      <c r="FR91" s="142"/>
      <c r="FS91" s="142"/>
      <c r="FT91" s="142"/>
      <c r="FU91" s="142"/>
      <c r="FV91" s="142"/>
      <c r="FW91" s="142"/>
      <c r="FX91" s="142"/>
      <c r="FY91" s="142"/>
      <c r="FZ91" s="142"/>
      <c r="GA91" s="142"/>
      <c r="GB91" s="142"/>
      <c r="GC91" s="142"/>
      <c r="GD91" s="142"/>
      <c r="GE91" s="142"/>
      <c r="GF91" s="142"/>
      <c r="GG91" s="142"/>
      <c r="GH91" s="142"/>
      <c r="GI91" s="142"/>
      <c r="GJ91" s="142"/>
      <c r="GK91" s="142"/>
      <c r="GL91" s="142"/>
      <c r="GM91" s="142"/>
      <c r="GN91" s="142"/>
      <c r="GO91" s="142"/>
      <c r="GP91" s="142"/>
      <c r="GQ91" s="142"/>
      <c r="GR91" s="142"/>
      <c r="GS91" s="142"/>
      <c r="GT91" s="142"/>
      <c r="GU91" s="142"/>
      <c r="GV91" s="142"/>
      <c r="GW91" s="142"/>
      <c r="GX91" s="142"/>
      <c r="GY91" s="142"/>
      <c r="GZ91" s="142"/>
      <c r="HA91" s="142"/>
      <c r="HB91" s="142"/>
      <c r="HC91" s="142"/>
      <c r="HD91" s="142"/>
      <c r="HE91" s="142"/>
      <c r="HF91" s="142"/>
      <c r="HG91" s="142"/>
      <c r="HH91" s="142"/>
      <c r="HI91" s="142"/>
      <c r="HJ91" s="142"/>
      <c r="HK91" s="142"/>
      <c r="HL91" s="142"/>
      <c r="HM91" s="142"/>
      <c r="HN91" s="142"/>
      <c r="HO91" s="142"/>
      <c r="HP91" s="142"/>
      <c r="HQ91" s="142"/>
      <c r="HR91" s="142"/>
      <c r="HS91" s="142"/>
      <c r="HT91" s="142"/>
      <c r="HU91" s="142"/>
      <c r="HV91" s="142"/>
      <c r="HW91" s="142"/>
      <c r="HX91" s="142"/>
      <c r="HY91" s="142"/>
      <c r="HZ91" s="142"/>
      <c r="IA91" s="142"/>
      <c r="IB91" s="142"/>
      <c r="IC91" s="142"/>
      <c r="ID91" s="142"/>
      <c r="IE91" s="142"/>
      <c r="IF91" s="142"/>
      <c r="IG91" s="142"/>
      <c r="IH91" s="142"/>
      <c r="II91" s="142"/>
      <c r="IJ91" s="142"/>
      <c r="IK91" s="142"/>
      <c r="IL91" s="142"/>
      <c r="IM91" s="142"/>
      <c r="IN91" s="142"/>
      <c r="IO91" s="142"/>
      <c r="IP91" s="142"/>
      <c r="IQ91" s="142"/>
      <c r="IR91" s="142"/>
      <c r="IS91" s="142"/>
      <c r="IT91" s="142"/>
      <c r="IU91" s="142"/>
      <c r="IV91" s="142"/>
    </row>
    <row r="92" spans="1:256" s="194" customFormat="1" x14ac:dyDescent="0.25">
      <c r="A92" s="148" t="s">
        <v>4729</v>
      </c>
      <c r="B92" s="150">
        <v>756.18</v>
      </c>
      <c r="C92" s="432">
        <v>489.07</v>
      </c>
      <c r="D92" s="146">
        <f t="shared" si="6"/>
        <v>1.0004131994730683</v>
      </c>
      <c r="E92" s="146">
        <f t="shared" si="3"/>
        <v>1.0001948628858863</v>
      </c>
      <c r="F92" s="433">
        <v>605.67200000000003</v>
      </c>
      <c r="G92" s="146">
        <f t="shared" si="2"/>
        <v>1.0063836963173565</v>
      </c>
      <c r="H92" s="433">
        <v>659.44600000000003</v>
      </c>
      <c r="I92" s="142"/>
      <c r="J92" s="142"/>
      <c r="K92" s="142"/>
      <c r="L92" s="142"/>
      <c r="M92" s="142"/>
      <c r="N92" s="142"/>
      <c r="O92" s="142"/>
      <c r="P92" s="142"/>
      <c r="Q92" s="142"/>
      <c r="R92" s="142"/>
      <c r="S92" s="142"/>
      <c r="T92" s="142"/>
      <c r="U92" s="142"/>
      <c r="V92" s="142"/>
      <c r="W92" s="142"/>
      <c r="X92" s="142"/>
      <c r="Y92" s="142"/>
      <c r="Z92" s="142"/>
      <c r="AA92" s="142"/>
      <c r="AB92" s="142"/>
      <c r="AC92" s="142"/>
      <c r="AD92" s="142"/>
      <c r="AE92" s="142"/>
      <c r="AF92" s="142"/>
      <c r="AG92" s="142"/>
      <c r="AH92" s="142"/>
      <c r="AI92" s="142"/>
      <c r="AJ92" s="142"/>
      <c r="AK92" s="142"/>
      <c r="AL92" s="142"/>
      <c r="AM92" s="142"/>
      <c r="AN92" s="142"/>
      <c r="AO92" s="142"/>
      <c r="AP92" s="142"/>
      <c r="AQ92" s="142"/>
      <c r="AR92" s="142"/>
      <c r="AS92" s="142"/>
      <c r="AT92" s="142"/>
      <c r="AU92" s="142"/>
      <c r="AV92" s="142"/>
      <c r="AW92" s="142"/>
      <c r="AX92" s="142"/>
      <c r="AY92" s="142"/>
      <c r="AZ92" s="142"/>
      <c r="BA92" s="142"/>
      <c r="BB92" s="142"/>
      <c r="BC92" s="142"/>
      <c r="BD92" s="142"/>
      <c r="BE92" s="142"/>
      <c r="BF92" s="142"/>
      <c r="BG92" s="142"/>
      <c r="BH92" s="142"/>
      <c r="BI92" s="142"/>
      <c r="BJ92" s="142"/>
      <c r="BK92" s="142"/>
      <c r="BL92" s="142"/>
      <c r="BM92" s="142"/>
      <c r="BN92" s="142"/>
      <c r="BO92" s="142"/>
      <c r="BP92" s="142"/>
      <c r="BQ92" s="142"/>
      <c r="BR92" s="142"/>
      <c r="BS92" s="142"/>
      <c r="BT92" s="142"/>
      <c r="BU92" s="142"/>
      <c r="BV92" s="142"/>
      <c r="BW92" s="142"/>
      <c r="BX92" s="142"/>
      <c r="BY92" s="142"/>
      <c r="BZ92" s="142"/>
      <c r="CA92" s="142"/>
      <c r="CB92" s="142"/>
      <c r="CC92" s="142"/>
      <c r="CD92" s="142"/>
      <c r="CE92" s="142"/>
      <c r="CF92" s="142"/>
      <c r="CG92" s="142"/>
      <c r="CH92" s="142"/>
      <c r="CI92" s="142"/>
      <c r="CJ92" s="142"/>
      <c r="CK92" s="142"/>
      <c r="CL92" s="142"/>
      <c r="CM92" s="142"/>
      <c r="CN92" s="142"/>
      <c r="CO92" s="142"/>
      <c r="CP92" s="142"/>
      <c r="CQ92" s="142"/>
      <c r="CR92" s="142"/>
      <c r="CS92" s="142"/>
      <c r="CT92" s="142"/>
      <c r="CU92" s="142"/>
      <c r="CV92" s="142"/>
      <c r="CW92" s="142"/>
      <c r="CX92" s="142"/>
      <c r="CY92" s="142"/>
      <c r="CZ92" s="142"/>
      <c r="DA92" s="142"/>
      <c r="DB92" s="142"/>
      <c r="DC92" s="142"/>
      <c r="DD92" s="142"/>
      <c r="DE92" s="142"/>
      <c r="DF92" s="142"/>
      <c r="DG92" s="142"/>
      <c r="DH92" s="142"/>
      <c r="DI92" s="142"/>
      <c r="DJ92" s="142"/>
      <c r="DK92" s="142"/>
      <c r="DL92" s="142"/>
      <c r="DM92" s="142"/>
      <c r="DN92" s="142"/>
      <c r="DO92" s="142"/>
      <c r="DP92" s="142"/>
      <c r="DQ92" s="142"/>
      <c r="DR92" s="142"/>
      <c r="DS92" s="142"/>
      <c r="DT92" s="142"/>
      <c r="DU92" s="142"/>
      <c r="DV92" s="142"/>
      <c r="DW92" s="142"/>
      <c r="DX92" s="142"/>
      <c r="DY92" s="142"/>
      <c r="DZ92" s="142"/>
      <c r="EA92" s="142"/>
      <c r="EB92" s="142"/>
      <c r="EC92" s="142"/>
      <c r="ED92" s="142"/>
      <c r="EE92" s="142"/>
      <c r="EF92" s="142"/>
      <c r="EG92" s="142"/>
      <c r="EH92" s="142"/>
      <c r="EI92" s="142"/>
      <c r="EJ92" s="142"/>
      <c r="EK92" s="142"/>
      <c r="EL92" s="142"/>
      <c r="EM92" s="142"/>
      <c r="EN92" s="142"/>
      <c r="EO92" s="142"/>
      <c r="EP92" s="142"/>
      <c r="EQ92" s="142"/>
      <c r="ER92" s="142"/>
      <c r="ES92" s="142"/>
      <c r="ET92" s="142"/>
      <c r="EU92" s="142"/>
      <c r="EV92" s="142"/>
      <c r="EW92" s="142"/>
      <c r="EX92" s="142"/>
      <c r="EY92" s="142"/>
      <c r="EZ92" s="142"/>
      <c r="FA92" s="142"/>
      <c r="FB92" s="142"/>
      <c r="FC92" s="142"/>
      <c r="FD92" s="142"/>
      <c r="FE92" s="142"/>
      <c r="FF92" s="142"/>
      <c r="FG92" s="142"/>
      <c r="FH92" s="142"/>
      <c r="FI92" s="142"/>
      <c r="FJ92" s="142"/>
      <c r="FK92" s="142"/>
      <c r="FL92" s="142"/>
      <c r="FM92" s="142"/>
      <c r="FN92" s="142"/>
      <c r="FO92" s="142"/>
      <c r="FP92" s="142"/>
      <c r="FQ92" s="142"/>
      <c r="FR92" s="142"/>
      <c r="FS92" s="142"/>
      <c r="FT92" s="142"/>
      <c r="FU92" s="142"/>
      <c r="FV92" s="142"/>
      <c r="FW92" s="142"/>
      <c r="FX92" s="142"/>
      <c r="FY92" s="142"/>
      <c r="FZ92" s="142"/>
      <c r="GA92" s="142"/>
      <c r="GB92" s="142"/>
      <c r="GC92" s="142"/>
      <c r="GD92" s="142"/>
      <c r="GE92" s="142"/>
      <c r="GF92" s="142"/>
      <c r="GG92" s="142"/>
      <c r="GH92" s="142"/>
      <c r="GI92" s="142"/>
      <c r="GJ92" s="142"/>
      <c r="GK92" s="142"/>
      <c r="GL92" s="142"/>
      <c r="GM92" s="142"/>
      <c r="GN92" s="142"/>
      <c r="GO92" s="142"/>
      <c r="GP92" s="142"/>
      <c r="GQ92" s="142"/>
      <c r="GR92" s="142"/>
      <c r="GS92" s="142"/>
      <c r="GT92" s="142"/>
      <c r="GU92" s="142"/>
      <c r="GV92" s="142"/>
      <c r="GW92" s="142"/>
      <c r="GX92" s="142"/>
      <c r="GY92" s="142"/>
      <c r="GZ92" s="142"/>
      <c r="HA92" s="142"/>
      <c r="HB92" s="142"/>
      <c r="HC92" s="142"/>
      <c r="HD92" s="142"/>
      <c r="HE92" s="142"/>
      <c r="HF92" s="142"/>
      <c r="HG92" s="142"/>
      <c r="HH92" s="142"/>
      <c r="HI92" s="142"/>
      <c r="HJ92" s="142"/>
      <c r="HK92" s="142"/>
      <c r="HL92" s="142"/>
      <c r="HM92" s="142"/>
      <c r="HN92" s="142"/>
      <c r="HO92" s="142"/>
      <c r="HP92" s="142"/>
      <c r="HQ92" s="142"/>
      <c r="HR92" s="142"/>
      <c r="HS92" s="142"/>
      <c r="HT92" s="142"/>
      <c r="HU92" s="142"/>
      <c r="HV92" s="142"/>
      <c r="HW92" s="142"/>
      <c r="HX92" s="142"/>
      <c r="HY92" s="142"/>
      <c r="HZ92" s="142"/>
      <c r="IA92" s="142"/>
      <c r="IB92" s="142"/>
      <c r="IC92" s="142"/>
      <c r="ID92" s="142"/>
      <c r="IE92" s="142"/>
      <c r="IF92" s="142"/>
      <c r="IG92" s="142"/>
      <c r="IH92" s="142"/>
      <c r="II92" s="142"/>
      <c r="IJ92" s="142"/>
      <c r="IK92" s="142"/>
      <c r="IL92" s="142"/>
      <c r="IM92" s="142"/>
      <c r="IN92" s="142"/>
      <c r="IO92" s="142"/>
      <c r="IP92" s="142"/>
      <c r="IQ92" s="142"/>
      <c r="IR92" s="142"/>
      <c r="IS92" s="142"/>
      <c r="IT92" s="142"/>
      <c r="IU92" s="142"/>
      <c r="IV92" s="142"/>
    </row>
    <row r="93" spans="1:256" s="194" customFormat="1" x14ac:dyDescent="0.25">
      <c r="A93" s="148" t="s">
        <v>4730</v>
      </c>
      <c r="B93" s="150">
        <v>756.18</v>
      </c>
      <c r="C93" s="432">
        <v>489.28199999999998</v>
      </c>
      <c r="D93" s="146">
        <f t="shared" si="6"/>
        <v>1.0004334757805631</v>
      </c>
      <c r="E93" s="146">
        <f t="shared" si="3"/>
        <v>1.0002047312736928</v>
      </c>
      <c r="F93" s="433">
        <v>605.79600000000005</v>
      </c>
      <c r="G93" s="146">
        <f t="shared" si="2"/>
        <v>1.0054758084816648</v>
      </c>
      <c r="H93" s="433">
        <v>663.05700000000002</v>
      </c>
      <c r="I93" s="142"/>
      <c r="J93" s="142"/>
      <c r="K93" s="142"/>
      <c r="L93" s="142"/>
      <c r="M93" s="142"/>
      <c r="N93" s="142"/>
      <c r="O93" s="142"/>
      <c r="P93" s="142"/>
      <c r="Q93" s="142"/>
      <c r="R93" s="142"/>
      <c r="S93" s="142"/>
      <c r="T93" s="142"/>
      <c r="U93" s="142"/>
      <c r="V93" s="142"/>
      <c r="W93" s="142"/>
      <c r="X93" s="142"/>
      <c r="Y93" s="142"/>
      <c r="Z93" s="142"/>
      <c r="AA93" s="142"/>
      <c r="AB93" s="142"/>
      <c r="AC93" s="142"/>
      <c r="AD93" s="142"/>
      <c r="AE93" s="142"/>
      <c r="AF93" s="142"/>
      <c r="AG93" s="142"/>
      <c r="AH93" s="142"/>
      <c r="AI93" s="142"/>
      <c r="AJ93" s="142"/>
      <c r="AK93" s="142"/>
      <c r="AL93" s="142"/>
      <c r="AM93" s="142"/>
      <c r="AN93" s="142"/>
      <c r="AO93" s="142"/>
      <c r="AP93" s="142"/>
      <c r="AQ93" s="142"/>
      <c r="AR93" s="142"/>
      <c r="AS93" s="142"/>
      <c r="AT93" s="142"/>
      <c r="AU93" s="142"/>
      <c r="AV93" s="142"/>
      <c r="AW93" s="142"/>
      <c r="AX93" s="142"/>
      <c r="AY93" s="142"/>
      <c r="AZ93" s="142"/>
      <c r="BA93" s="142"/>
      <c r="BB93" s="142"/>
      <c r="BC93" s="142"/>
      <c r="BD93" s="142"/>
      <c r="BE93" s="142"/>
      <c r="BF93" s="142"/>
      <c r="BG93" s="142"/>
      <c r="BH93" s="142"/>
      <c r="BI93" s="142"/>
      <c r="BJ93" s="142"/>
      <c r="BK93" s="142"/>
      <c r="BL93" s="142"/>
      <c r="BM93" s="142"/>
      <c r="BN93" s="142"/>
      <c r="BO93" s="142"/>
      <c r="BP93" s="142"/>
      <c r="BQ93" s="142"/>
      <c r="BR93" s="142"/>
      <c r="BS93" s="142"/>
      <c r="BT93" s="142"/>
      <c r="BU93" s="142"/>
      <c r="BV93" s="142"/>
      <c r="BW93" s="142"/>
      <c r="BX93" s="142"/>
      <c r="BY93" s="142"/>
      <c r="BZ93" s="142"/>
      <c r="CA93" s="142"/>
      <c r="CB93" s="142"/>
      <c r="CC93" s="142"/>
      <c r="CD93" s="142"/>
      <c r="CE93" s="142"/>
      <c r="CF93" s="142"/>
      <c r="CG93" s="142"/>
      <c r="CH93" s="142"/>
      <c r="CI93" s="142"/>
      <c r="CJ93" s="142"/>
      <c r="CK93" s="142"/>
      <c r="CL93" s="142"/>
      <c r="CM93" s="142"/>
      <c r="CN93" s="142"/>
      <c r="CO93" s="142"/>
      <c r="CP93" s="142"/>
      <c r="CQ93" s="142"/>
      <c r="CR93" s="142"/>
      <c r="CS93" s="142"/>
      <c r="CT93" s="142"/>
      <c r="CU93" s="142"/>
      <c r="CV93" s="142"/>
      <c r="CW93" s="142"/>
      <c r="CX93" s="142"/>
      <c r="CY93" s="142"/>
      <c r="CZ93" s="142"/>
      <c r="DA93" s="142"/>
      <c r="DB93" s="142"/>
      <c r="DC93" s="142"/>
      <c r="DD93" s="142"/>
      <c r="DE93" s="142"/>
      <c r="DF93" s="142"/>
      <c r="DG93" s="142"/>
      <c r="DH93" s="142"/>
      <c r="DI93" s="142"/>
      <c r="DJ93" s="142"/>
      <c r="DK93" s="142"/>
      <c r="DL93" s="142"/>
      <c r="DM93" s="142"/>
      <c r="DN93" s="142"/>
      <c r="DO93" s="142"/>
      <c r="DP93" s="142"/>
      <c r="DQ93" s="142"/>
      <c r="DR93" s="142"/>
      <c r="DS93" s="142"/>
      <c r="DT93" s="142"/>
      <c r="DU93" s="142"/>
      <c r="DV93" s="142"/>
      <c r="DW93" s="142"/>
      <c r="DX93" s="142"/>
      <c r="DY93" s="142"/>
      <c r="DZ93" s="142"/>
      <c r="EA93" s="142"/>
      <c r="EB93" s="142"/>
      <c r="EC93" s="142"/>
      <c r="ED93" s="142"/>
      <c r="EE93" s="142"/>
      <c r="EF93" s="142"/>
      <c r="EG93" s="142"/>
      <c r="EH93" s="142"/>
      <c r="EI93" s="142"/>
      <c r="EJ93" s="142"/>
      <c r="EK93" s="142"/>
      <c r="EL93" s="142"/>
      <c r="EM93" s="142"/>
      <c r="EN93" s="142"/>
      <c r="EO93" s="142"/>
      <c r="EP93" s="142"/>
      <c r="EQ93" s="142"/>
      <c r="ER93" s="142"/>
      <c r="ES93" s="142"/>
      <c r="ET93" s="142"/>
      <c r="EU93" s="142"/>
      <c r="EV93" s="142"/>
      <c r="EW93" s="142"/>
      <c r="EX93" s="142"/>
      <c r="EY93" s="142"/>
      <c r="EZ93" s="142"/>
      <c r="FA93" s="142"/>
      <c r="FB93" s="142"/>
      <c r="FC93" s="142"/>
      <c r="FD93" s="142"/>
      <c r="FE93" s="142"/>
      <c r="FF93" s="142"/>
      <c r="FG93" s="142"/>
      <c r="FH93" s="142"/>
      <c r="FI93" s="142"/>
      <c r="FJ93" s="142"/>
      <c r="FK93" s="142"/>
      <c r="FL93" s="142"/>
      <c r="FM93" s="142"/>
      <c r="FN93" s="142"/>
      <c r="FO93" s="142"/>
      <c r="FP93" s="142"/>
      <c r="FQ93" s="142"/>
      <c r="FR93" s="142"/>
      <c r="FS93" s="142"/>
      <c r="FT93" s="142"/>
      <c r="FU93" s="142"/>
      <c r="FV93" s="142"/>
      <c r="FW93" s="142"/>
      <c r="FX93" s="142"/>
      <c r="FY93" s="142"/>
      <c r="FZ93" s="142"/>
      <c r="GA93" s="142"/>
      <c r="GB93" s="142"/>
      <c r="GC93" s="142"/>
      <c r="GD93" s="142"/>
      <c r="GE93" s="142"/>
      <c r="GF93" s="142"/>
      <c r="GG93" s="142"/>
      <c r="GH93" s="142"/>
      <c r="GI93" s="142"/>
      <c r="GJ93" s="142"/>
      <c r="GK93" s="142"/>
      <c r="GL93" s="142"/>
      <c r="GM93" s="142"/>
      <c r="GN93" s="142"/>
      <c r="GO93" s="142"/>
      <c r="GP93" s="142"/>
      <c r="GQ93" s="142"/>
      <c r="GR93" s="142"/>
      <c r="GS93" s="142"/>
      <c r="GT93" s="142"/>
      <c r="GU93" s="142"/>
      <c r="GV93" s="142"/>
      <c r="GW93" s="142"/>
      <c r="GX93" s="142"/>
      <c r="GY93" s="142"/>
      <c r="GZ93" s="142"/>
      <c r="HA93" s="142"/>
      <c r="HB93" s="142"/>
      <c r="HC93" s="142"/>
      <c r="HD93" s="142"/>
      <c r="HE93" s="142"/>
      <c r="HF93" s="142"/>
      <c r="HG93" s="142"/>
      <c r="HH93" s="142"/>
      <c r="HI93" s="142"/>
      <c r="HJ93" s="142"/>
      <c r="HK93" s="142"/>
      <c r="HL93" s="142"/>
      <c r="HM93" s="142"/>
      <c r="HN93" s="142"/>
      <c r="HO93" s="142"/>
      <c r="HP93" s="142"/>
      <c r="HQ93" s="142"/>
      <c r="HR93" s="142"/>
      <c r="HS93" s="142"/>
      <c r="HT93" s="142"/>
      <c r="HU93" s="142"/>
      <c r="HV93" s="142"/>
      <c r="HW93" s="142"/>
      <c r="HX93" s="142"/>
      <c r="HY93" s="142"/>
      <c r="HZ93" s="142"/>
      <c r="IA93" s="142"/>
      <c r="IB93" s="142"/>
      <c r="IC93" s="142"/>
      <c r="ID93" s="142"/>
      <c r="IE93" s="142"/>
      <c r="IF93" s="142"/>
      <c r="IG93" s="142"/>
      <c r="IH93" s="142"/>
      <c r="II93" s="142"/>
      <c r="IJ93" s="142"/>
      <c r="IK93" s="142"/>
      <c r="IL93" s="142"/>
      <c r="IM93" s="142"/>
      <c r="IN93" s="142"/>
      <c r="IO93" s="142"/>
      <c r="IP93" s="142"/>
      <c r="IQ93" s="142"/>
      <c r="IR93" s="142"/>
      <c r="IS93" s="142"/>
      <c r="IT93" s="142"/>
      <c r="IU93" s="142"/>
      <c r="IV93" s="142"/>
    </row>
    <row r="94" spans="1:256" s="194" customFormat="1" x14ac:dyDescent="0.25">
      <c r="A94" s="148" t="s">
        <v>4731</v>
      </c>
      <c r="B94" s="150">
        <v>756.18</v>
      </c>
      <c r="C94" s="432">
        <v>488.108</v>
      </c>
      <c r="D94" s="146">
        <f t="shared" si="6"/>
        <v>0.99760056572692235</v>
      </c>
      <c r="E94" s="146">
        <f t="shared" si="3"/>
        <v>0.99886760559660337</v>
      </c>
      <c r="F94" s="433">
        <v>605.11</v>
      </c>
      <c r="G94" s="146">
        <f t="shared" si="2"/>
        <v>1.0008340157784323</v>
      </c>
      <c r="H94" s="433">
        <v>663.61</v>
      </c>
      <c r="I94" s="142"/>
      <c r="J94" s="142"/>
      <c r="K94" s="142"/>
      <c r="L94" s="142"/>
      <c r="M94" s="142"/>
      <c r="N94" s="142"/>
      <c r="O94" s="142"/>
      <c r="P94" s="142"/>
      <c r="Q94" s="142"/>
      <c r="R94" s="142"/>
      <c r="S94" s="142"/>
      <c r="T94" s="142"/>
      <c r="U94" s="142"/>
      <c r="V94" s="142"/>
      <c r="W94" s="142"/>
      <c r="X94" s="142"/>
      <c r="Y94" s="142"/>
      <c r="Z94" s="142"/>
      <c r="AA94" s="142"/>
      <c r="AB94" s="142"/>
      <c r="AC94" s="142"/>
      <c r="AD94" s="142"/>
      <c r="AE94" s="142"/>
      <c r="AF94" s="142"/>
      <c r="AG94" s="142"/>
      <c r="AH94" s="142"/>
      <c r="AI94" s="142"/>
      <c r="AJ94" s="142"/>
      <c r="AK94" s="142"/>
      <c r="AL94" s="142"/>
      <c r="AM94" s="142"/>
      <c r="AN94" s="142"/>
      <c r="AO94" s="142"/>
      <c r="AP94" s="142"/>
      <c r="AQ94" s="142"/>
      <c r="AR94" s="142"/>
      <c r="AS94" s="142"/>
      <c r="AT94" s="142"/>
      <c r="AU94" s="142"/>
      <c r="AV94" s="142"/>
      <c r="AW94" s="142"/>
      <c r="AX94" s="142"/>
      <c r="AY94" s="142"/>
      <c r="AZ94" s="142"/>
      <c r="BA94" s="142"/>
      <c r="BB94" s="142"/>
      <c r="BC94" s="142"/>
      <c r="BD94" s="142"/>
      <c r="BE94" s="142"/>
      <c r="BF94" s="142"/>
      <c r="BG94" s="142"/>
      <c r="BH94" s="142"/>
      <c r="BI94" s="142"/>
      <c r="BJ94" s="142"/>
      <c r="BK94" s="142"/>
      <c r="BL94" s="142"/>
      <c r="BM94" s="142"/>
      <c r="BN94" s="142"/>
      <c r="BO94" s="142"/>
      <c r="BP94" s="142"/>
      <c r="BQ94" s="142"/>
      <c r="BR94" s="142"/>
      <c r="BS94" s="142"/>
      <c r="BT94" s="142"/>
      <c r="BU94" s="142"/>
      <c r="BV94" s="142"/>
      <c r="BW94" s="142"/>
      <c r="BX94" s="142"/>
      <c r="BY94" s="142"/>
      <c r="BZ94" s="142"/>
      <c r="CA94" s="142"/>
      <c r="CB94" s="142"/>
      <c r="CC94" s="142"/>
      <c r="CD94" s="142"/>
      <c r="CE94" s="142"/>
      <c r="CF94" s="142"/>
      <c r="CG94" s="142"/>
      <c r="CH94" s="142"/>
      <c r="CI94" s="142"/>
      <c r="CJ94" s="142"/>
      <c r="CK94" s="142"/>
      <c r="CL94" s="142"/>
      <c r="CM94" s="142"/>
      <c r="CN94" s="142"/>
      <c r="CO94" s="142"/>
      <c r="CP94" s="142"/>
      <c r="CQ94" s="142"/>
      <c r="CR94" s="142"/>
      <c r="CS94" s="142"/>
      <c r="CT94" s="142"/>
      <c r="CU94" s="142"/>
      <c r="CV94" s="142"/>
      <c r="CW94" s="142"/>
      <c r="CX94" s="142"/>
      <c r="CY94" s="142"/>
      <c r="CZ94" s="142"/>
      <c r="DA94" s="142"/>
      <c r="DB94" s="142"/>
      <c r="DC94" s="142"/>
      <c r="DD94" s="142"/>
      <c r="DE94" s="142"/>
      <c r="DF94" s="142"/>
      <c r="DG94" s="142"/>
      <c r="DH94" s="142"/>
      <c r="DI94" s="142"/>
      <c r="DJ94" s="142"/>
      <c r="DK94" s="142"/>
      <c r="DL94" s="142"/>
      <c r="DM94" s="142"/>
      <c r="DN94" s="142"/>
      <c r="DO94" s="142"/>
      <c r="DP94" s="142"/>
      <c r="DQ94" s="142"/>
      <c r="DR94" s="142"/>
      <c r="DS94" s="142"/>
      <c r="DT94" s="142"/>
      <c r="DU94" s="142"/>
      <c r="DV94" s="142"/>
      <c r="DW94" s="142"/>
      <c r="DX94" s="142"/>
      <c r="DY94" s="142"/>
      <c r="DZ94" s="142"/>
      <c r="EA94" s="142"/>
      <c r="EB94" s="142"/>
      <c r="EC94" s="142"/>
      <c r="ED94" s="142"/>
      <c r="EE94" s="142"/>
      <c r="EF94" s="142"/>
      <c r="EG94" s="142"/>
      <c r="EH94" s="142"/>
      <c r="EI94" s="142"/>
      <c r="EJ94" s="142"/>
      <c r="EK94" s="142"/>
      <c r="EL94" s="142"/>
      <c r="EM94" s="142"/>
      <c r="EN94" s="142"/>
      <c r="EO94" s="142"/>
      <c r="EP94" s="142"/>
      <c r="EQ94" s="142"/>
      <c r="ER94" s="142"/>
      <c r="ES94" s="142"/>
      <c r="ET94" s="142"/>
      <c r="EU94" s="142"/>
      <c r="EV94" s="142"/>
      <c r="EW94" s="142"/>
      <c r="EX94" s="142"/>
      <c r="EY94" s="142"/>
      <c r="EZ94" s="142"/>
      <c r="FA94" s="142"/>
      <c r="FB94" s="142"/>
      <c r="FC94" s="142"/>
      <c r="FD94" s="142"/>
      <c r="FE94" s="142"/>
      <c r="FF94" s="142"/>
      <c r="FG94" s="142"/>
      <c r="FH94" s="142"/>
      <c r="FI94" s="142"/>
      <c r="FJ94" s="142"/>
      <c r="FK94" s="142"/>
      <c r="FL94" s="142"/>
      <c r="FM94" s="142"/>
      <c r="FN94" s="142"/>
      <c r="FO94" s="142"/>
      <c r="FP94" s="142"/>
      <c r="FQ94" s="142"/>
      <c r="FR94" s="142"/>
      <c r="FS94" s="142"/>
      <c r="FT94" s="142"/>
      <c r="FU94" s="142"/>
      <c r="FV94" s="142"/>
      <c r="FW94" s="142"/>
      <c r="FX94" s="142"/>
      <c r="FY94" s="142"/>
      <c r="FZ94" s="142"/>
      <c r="GA94" s="142"/>
      <c r="GB94" s="142"/>
      <c r="GC94" s="142"/>
      <c r="GD94" s="142"/>
      <c r="GE94" s="142"/>
      <c r="GF94" s="142"/>
      <c r="GG94" s="142"/>
      <c r="GH94" s="142"/>
      <c r="GI94" s="142"/>
      <c r="GJ94" s="142"/>
      <c r="GK94" s="142"/>
      <c r="GL94" s="142"/>
      <c r="GM94" s="142"/>
      <c r="GN94" s="142"/>
      <c r="GO94" s="142"/>
      <c r="GP94" s="142"/>
      <c r="GQ94" s="142"/>
      <c r="GR94" s="142"/>
      <c r="GS94" s="142"/>
      <c r="GT94" s="142"/>
      <c r="GU94" s="142"/>
      <c r="GV94" s="142"/>
      <c r="GW94" s="142"/>
      <c r="GX94" s="142"/>
      <c r="GY94" s="142"/>
      <c r="GZ94" s="142"/>
      <c r="HA94" s="142"/>
      <c r="HB94" s="142"/>
      <c r="HC94" s="142"/>
      <c r="HD94" s="142"/>
      <c r="HE94" s="142"/>
      <c r="HF94" s="142"/>
      <c r="HG94" s="142"/>
      <c r="HH94" s="142"/>
      <c r="HI94" s="142"/>
      <c r="HJ94" s="142"/>
      <c r="HK94" s="142"/>
      <c r="HL94" s="142"/>
      <c r="HM94" s="142"/>
      <c r="HN94" s="142"/>
      <c r="HO94" s="142"/>
      <c r="HP94" s="142"/>
      <c r="HQ94" s="142"/>
      <c r="HR94" s="142"/>
      <c r="HS94" s="142"/>
      <c r="HT94" s="142"/>
      <c r="HU94" s="142"/>
      <c r="HV94" s="142"/>
      <c r="HW94" s="142"/>
      <c r="HX94" s="142"/>
      <c r="HY94" s="142"/>
      <c r="HZ94" s="142"/>
      <c r="IA94" s="142"/>
      <c r="IB94" s="142"/>
      <c r="IC94" s="142"/>
      <c r="ID94" s="142"/>
      <c r="IE94" s="142"/>
      <c r="IF94" s="142"/>
      <c r="IG94" s="142"/>
      <c r="IH94" s="142"/>
      <c r="II94" s="142"/>
      <c r="IJ94" s="142"/>
      <c r="IK94" s="142"/>
      <c r="IL94" s="142"/>
      <c r="IM94" s="142"/>
      <c r="IN94" s="142"/>
      <c r="IO94" s="142"/>
      <c r="IP94" s="142"/>
      <c r="IQ94" s="142"/>
      <c r="IR94" s="142"/>
      <c r="IS94" s="142"/>
      <c r="IT94" s="142"/>
      <c r="IU94" s="142"/>
      <c r="IV94" s="142"/>
    </row>
    <row r="95" spans="1:256" s="194" customFormat="1" x14ac:dyDescent="0.25">
      <c r="A95" s="148" t="s">
        <v>4732</v>
      </c>
      <c r="B95" s="150">
        <v>756.18</v>
      </c>
      <c r="C95" s="432">
        <v>489.83199999999999</v>
      </c>
      <c r="D95" s="146">
        <f t="shared" si="6"/>
        <v>1.0035320052119612</v>
      </c>
      <c r="E95" s="146">
        <f t="shared" si="3"/>
        <v>1.0016641602353291</v>
      </c>
      <c r="F95" s="433">
        <v>606.11699999999996</v>
      </c>
      <c r="G95" s="146">
        <f t="shared" si="2"/>
        <v>1.0193035065776586</v>
      </c>
      <c r="H95" s="433">
        <v>676.42</v>
      </c>
      <c r="I95" s="142"/>
      <c r="J95" s="142"/>
      <c r="K95" s="142"/>
      <c r="L95" s="142"/>
      <c r="M95" s="142"/>
      <c r="N95" s="142"/>
      <c r="O95" s="142"/>
      <c r="P95" s="142"/>
      <c r="Q95" s="142"/>
      <c r="R95" s="142"/>
      <c r="S95" s="142"/>
      <c r="T95" s="142"/>
      <c r="U95" s="142"/>
      <c r="V95" s="142"/>
      <c r="W95" s="142"/>
      <c r="X95" s="142"/>
      <c r="Y95" s="142"/>
      <c r="Z95" s="142"/>
      <c r="AA95" s="142"/>
      <c r="AB95" s="142"/>
      <c r="AC95" s="142"/>
      <c r="AD95" s="142"/>
      <c r="AE95" s="142"/>
      <c r="AF95" s="142"/>
      <c r="AG95" s="142"/>
      <c r="AH95" s="142"/>
      <c r="AI95" s="142"/>
      <c r="AJ95" s="142"/>
      <c r="AK95" s="142"/>
      <c r="AL95" s="142"/>
      <c r="AM95" s="142"/>
      <c r="AN95" s="142"/>
      <c r="AO95" s="142"/>
      <c r="AP95" s="142"/>
      <c r="AQ95" s="142"/>
      <c r="AR95" s="142"/>
      <c r="AS95" s="142"/>
      <c r="AT95" s="142"/>
      <c r="AU95" s="142"/>
      <c r="AV95" s="142"/>
      <c r="AW95" s="142"/>
      <c r="AX95" s="142"/>
      <c r="AY95" s="142"/>
      <c r="AZ95" s="142"/>
      <c r="BA95" s="142"/>
      <c r="BB95" s="142"/>
      <c r="BC95" s="142"/>
      <c r="BD95" s="142"/>
      <c r="BE95" s="142"/>
      <c r="BF95" s="142"/>
      <c r="BG95" s="142"/>
      <c r="BH95" s="142"/>
      <c r="BI95" s="142"/>
      <c r="BJ95" s="142"/>
      <c r="BK95" s="142"/>
      <c r="BL95" s="142"/>
      <c r="BM95" s="142"/>
      <c r="BN95" s="142"/>
      <c r="BO95" s="142"/>
      <c r="BP95" s="142"/>
      <c r="BQ95" s="142"/>
      <c r="BR95" s="142"/>
      <c r="BS95" s="142"/>
      <c r="BT95" s="142"/>
      <c r="BU95" s="142"/>
      <c r="BV95" s="142"/>
      <c r="BW95" s="142"/>
      <c r="BX95" s="142"/>
      <c r="BY95" s="142"/>
      <c r="BZ95" s="142"/>
      <c r="CA95" s="142"/>
      <c r="CB95" s="142"/>
      <c r="CC95" s="142"/>
      <c r="CD95" s="142"/>
      <c r="CE95" s="142"/>
      <c r="CF95" s="142"/>
      <c r="CG95" s="142"/>
      <c r="CH95" s="142"/>
      <c r="CI95" s="142"/>
      <c r="CJ95" s="142"/>
      <c r="CK95" s="142"/>
      <c r="CL95" s="142"/>
      <c r="CM95" s="142"/>
      <c r="CN95" s="142"/>
      <c r="CO95" s="142"/>
      <c r="CP95" s="142"/>
      <c r="CQ95" s="142"/>
      <c r="CR95" s="142"/>
      <c r="CS95" s="142"/>
      <c r="CT95" s="142"/>
      <c r="CU95" s="142"/>
      <c r="CV95" s="142"/>
      <c r="CW95" s="142"/>
      <c r="CX95" s="142"/>
      <c r="CY95" s="142"/>
      <c r="CZ95" s="142"/>
      <c r="DA95" s="142"/>
      <c r="DB95" s="142"/>
      <c r="DC95" s="142"/>
      <c r="DD95" s="142"/>
      <c r="DE95" s="142"/>
      <c r="DF95" s="142"/>
      <c r="DG95" s="142"/>
      <c r="DH95" s="142"/>
      <c r="DI95" s="142"/>
      <c r="DJ95" s="142"/>
      <c r="DK95" s="142"/>
      <c r="DL95" s="142"/>
      <c r="DM95" s="142"/>
      <c r="DN95" s="142"/>
      <c r="DO95" s="142"/>
      <c r="DP95" s="142"/>
      <c r="DQ95" s="142"/>
      <c r="DR95" s="142"/>
      <c r="DS95" s="142"/>
      <c r="DT95" s="142"/>
      <c r="DU95" s="142"/>
      <c r="DV95" s="142"/>
      <c r="DW95" s="142"/>
      <c r="DX95" s="142"/>
      <c r="DY95" s="142"/>
      <c r="DZ95" s="142"/>
      <c r="EA95" s="142"/>
      <c r="EB95" s="142"/>
      <c r="EC95" s="142"/>
      <c r="ED95" s="142"/>
      <c r="EE95" s="142"/>
      <c r="EF95" s="142"/>
      <c r="EG95" s="142"/>
      <c r="EH95" s="142"/>
      <c r="EI95" s="142"/>
      <c r="EJ95" s="142"/>
      <c r="EK95" s="142"/>
      <c r="EL95" s="142"/>
      <c r="EM95" s="142"/>
      <c r="EN95" s="142"/>
      <c r="EO95" s="142"/>
      <c r="EP95" s="142"/>
      <c r="EQ95" s="142"/>
      <c r="ER95" s="142"/>
      <c r="ES95" s="142"/>
      <c r="ET95" s="142"/>
      <c r="EU95" s="142"/>
      <c r="EV95" s="142"/>
      <c r="EW95" s="142"/>
      <c r="EX95" s="142"/>
      <c r="EY95" s="142"/>
      <c r="EZ95" s="142"/>
      <c r="FA95" s="142"/>
      <c r="FB95" s="142"/>
      <c r="FC95" s="142"/>
      <c r="FD95" s="142"/>
      <c r="FE95" s="142"/>
      <c r="FF95" s="142"/>
      <c r="FG95" s="142"/>
      <c r="FH95" s="142"/>
      <c r="FI95" s="142"/>
      <c r="FJ95" s="142"/>
      <c r="FK95" s="142"/>
      <c r="FL95" s="142"/>
      <c r="FM95" s="142"/>
      <c r="FN95" s="142"/>
      <c r="FO95" s="142"/>
      <c r="FP95" s="142"/>
      <c r="FQ95" s="142"/>
      <c r="FR95" s="142"/>
      <c r="FS95" s="142"/>
      <c r="FT95" s="142"/>
      <c r="FU95" s="142"/>
      <c r="FV95" s="142"/>
      <c r="FW95" s="142"/>
      <c r="FX95" s="142"/>
      <c r="FY95" s="142"/>
      <c r="FZ95" s="142"/>
      <c r="GA95" s="142"/>
      <c r="GB95" s="142"/>
      <c r="GC95" s="142"/>
      <c r="GD95" s="142"/>
      <c r="GE95" s="142"/>
      <c r="GF95" s="142"/>
      <c r="GG95" s="142"/>
      <c r="GH95" s="142"/>
      <c r="GI95" s="142"/>
      <c r="GJ95" s="142"/>
      <c r="GK95" s="142"/>
      <c r="GL95" s="142"/>
      <c r="GM95" s="142"/>
      <c r="GN95" s="142"/>
      <c r="GO95" s="142"/>
      <c r="GP95" s="142"/>
      <c r="GQ95" s="142"/>
      <c r="GR95" s="142"/>
      <c r="GS95" s="142"/>
      <c r="GT95" s="142"/>
      <c r="GU95" s="142"/>
      <c r="GV95" s="142"/>
      <c r="GW95" s="142"/>
      <c r="GX95" s="142"/>
      <c r="GY95" s="142"/>
      <c r="GZ95" s="142"/>
      <c r="HA95" s="142"/>
      <c r="HB95" s="142"/>
      <c r="HC95" s="142"/>
      <c r="HD95" s="142"/>
      <c r="HE95" s="142"/>
      <c r="HF95" s="142"/>
      <c r="HG95" s="142"/>
      <c r="HH95" s="142"/>
      <c r="HI95" s="142"/>
      <c r="HJ95" s="142"/>
      <c r="HK95" s="142"/>
      <c r="HL95" s="142"/>
      <c r="HM95" s="142"/>
      <c r="HN95" s="142"/>
      <c r="HO95" s="142"/>
      <c r="HP95" s="142"/>
      <c r="HQ95" s="142"/>
      <c r="HR95" s="142"/>
      <c r="HS95" s="142"/>
      <c r="HT95" s="142"/>
      <c r="HU95" s="142"/>
      <c r="HV95" s="142"/>
      <c r="HW95" s="142"/>
      <c r="HX95" s="142"/>
      <c r="HY95" s="142"/>
      <c r="HZ95" s="142"/>
      <c r="IA95" s="142"/>
      <c r="IB95" s="142"/>
      <c r="IC95" s="142"/>
      <c r="ID95" s="142"/>
      <c r="IE95" s="142"/>
      <c r="IF95" s="142"/>
      <c r="IG95" s="142"/>
      <c r="IH95" s="142"/>
      <c r="II95" s="142"/>
      <c r="IJ95" s="142"/>
      <c r="IK95" s="142"/>
      <c r="IL95" s="142"/>
      <c r="IM95" s="142"/>
      <c r="IN95" s="142"/>
      <c r="IO95" s="142"/>
      <c r="IP95" s="142"/>
      <c r="IQ95" s="142"/>
      <c r="IR95" s="142"/>
      <c r="IS95" s="142"/>
      <c r="IT95" s="142"/>
      <c r="IU95" s="142"/>
      <c r="IV95" s="142"/>
    </row>
    <row r="96" spans="1:256" s="194" customFormat="1" x14ac:dyDescent="0.25">
      <c r="A96" s="148" t="s">
        <v>4733</v>
      </c>
      <c r="B96" s="150">
        <v>756.18</v>
      </c>
      <c r="C96" s="432">
        <v>490.685</v>
      </c>
      <c r="D96" s="146">
        <f t="shared" si="6"/>
        <v>1.0017414133825475</v>
      </c>
      <c r="E96" s="146">
        <f t="shared" si="3"/>
        <v>1.000821623547929</v>
      </c>
      <c r="F96" s="433">
        <v>606.61500000000001</v>
      </c>
      <c r="G96" s="146">
        <f t="shared" si="2"/>
        <v>1.0049244552201295</v>
      </c>
      <c r="H96" s="433">
        <v>679.75099999999998</v>
      </c>
      <c r="I96" s="142"/>
      <c r="J96" s="142"/>
      <c r="K96" s="142"/>
      <c r="L96" s="142"/>
      <c r="M96" s="142"/>
      <c r="N96" s="142"/>
      <c r="O96" s="142"/>
      <c r="P96" s="142"/>
      <c r="Q96" s="142"/>
      <c r="R96" s="142"/>
      <c r="S96" s="142"/>
      <c r="T96" s="142"/>
      <c r="U96" s="142"/>
      <c r="V96" s="142"/>
      <c r="W96" s="142"/>
      <c r="X96" s="142"/>
      <c r="Y96" s="142"/>
      <c r="Z96" s="142"/>
      <c r="AA96" s="142"/>
      <c r="AB96" s="142"/>
      <c r="AC96" s="142"/>
      <c r="AD96" s="142"/>
      <c r="AE96" s="142"/>
      <c r="AF96" s="142"/>
      <c r="AG96" s="142"/>
      <c r="AH96" s="142"/>
      <c r="AI96" s="142"/>
      <c r="AJ96" s="142"/>
      <c r="AK96" s="142"/>
      <c r="AL96" s="142"/>
      <c r="AM96" s="142"/>
      <c r="AN96" s="142"/>
      <c r="AO96" s="142"/>
      <c r="AP96" s="142"/>
      <c r="AQ96" s="142"/>
      <c r="AR96" s="142"/>
      <c r="AS96" s="142"/>
      <c r="AT96" s="142"/>
      <c r="AU96" s="142"/>
      <c r="AV96" s="142"/>
      <c r="AW96" s="142"/>
      <c r="AX96" s="142"/>
      <c r="AY96" s="142"/>
      <c r="AZ96" s="142"/>
      <c r="BA96" s="142"/>
      <c r="BB96" s="142"/>
      <c r="BC96" s="142"/>
      <c r="BD96" s="142"/>
      <c r="BE96" s="142"/>
      <c r="BF96" s="142"/>
      <c r="BG96" s="142"/>
      <c r="BH96" s="142"/>
      <c r="BI96" s="142"/>
      <c r="BJ96" s="142"/>
      <c r="BK96" s="142"/>
      <c r="BL96" s="142"/>
      <c r="BM96" s="142"/>
      <c r="BN96" s="142"/>
      <c r="BO96" s="142"/>
      <c r="BP96" s="142"/>
      <c r="BQ96" s="142"/>
      <c r="BR96" s="142"/>
      <c r="BS96" s="142"/>
      <c r="BT96" s="142"/>
      <c r="BU96" s="142"/>
      <c r="BV96" s="142"/>
      <c r="BW96" s="142"/>
      <c r="BX96" s="142"/>
      <c r="BY96" s="142"/>
      <c r="BZ96" s="142"/>
      <c r="CA96" s="142"/>
      <c r="CB96" s="142"/>
      <c r="CC96" s="142"/>
      <c r="CD96" s="142"/>
      <c r="CE96" s="142"/>
      <c r="CF96" s="142"/>
      <c r="CG96" s="142"/>
      <c r="CH96" s="142"/>
      <c r="CI96" s="142"/>
      <c r="CJ96" s="142"/>
      <c r="CK96" s="142"/>
      <c r="CL96" s="142"/>
      <c r="CM96" s="142"/>
      <c r="CN96" s="142"/>
      <c r="CO96" s="142"/>
      <c r="CP96" s="142"/>
      <c r="CQ96" s="142"/>
      <c r="CR96" s="142"/>
      <c r="CS96" s="142"/>
      <c r="CT96" s="142"/>
      <c r="CU96" s="142"/>
      <c r="CV96" s="142"/>
      <c r="CW96" s="142"/>
      <c r="CX96" s="142"/>
      <c r="CY96" s="142"/>
      <c r="CZ96" s="142"/>
      <c r="DA96" s="142"/>
      <c r="DB96" s="142"/>
      <c r="DC96" s="142"/>
      <c r="DD96" s="142"/>
      <c r="DE96" s="142"/>
      <c r="DF96" s="142"/>
      <c r="DG96" s="142"/>
      <c r="DH96" s="142"/>
      <c r="DI96" s="142"/>
      <c r="DJ96" s="142"/>
      <c r="DK96" s="142"/>
      <c r="DL96" s="142"/>
      <c r="DM96" s="142"/>
      <c r="DN96" s="142"/>
      <c r="DO96" s="142"/>
      <c r="DP96" s="142"/>
      <c r="DQ96" s="142"/>
      <c r="DR96" s="142"/>
      <c r="DS96" s="142"/>
      <c r="DT96" s="142"/>
      <c r="DU96" s="142"/>
      <c r="DV96" s="142"/>
      <c r="DW96" s="142"/>
      <c r="DX96" s="142"/>
      <c r="DY96" s="142"/>
      <c r="DZ96" s="142"/>
      <c r="EA96" s="142"/>
      <c r="EB96" s="142"/>
      <c r="EC96" s="142"/>
      <c r="ED96" s="142"/>
      <c r="EE96" s="142"/>
      <c r="EF96" s="142"/>
      <c r="EG96" s="142"/>
      <c r="EH96" s="142"/>
      <c r="EI96" s="142"/>
      <c r="EJ96" s="142"/>
      <c r="EK96" s="142"/>
      <c r="EL96" s="142"/>
      <c r="EM96" s="142"/>
      <c r="EN96" s="142"/>
      <c r="EO96" s="142"/>
      <c r="EP96" s="142"/>
      <c r="EQ96" s="142"/>
      <c r="ER96" s="142"/>
      <c r="ES96" s="142"/>
      <c r="ET96" s="142"/>
      <c r="EU96" s="142"/>
      <c r="EV96" s="142"/>
      <c r="EW96" s="142"/>
      <c r="EX96" s="142"/>
      <c r="EY96" s="142"/>
      <c r="EZ96" s="142"/>
      <c r="FA96" s="142"/>
      <c r="FB96" s="142"/>
      <c r="FC96" s="142"/>
      <c r="FD96" s="142"/>
      <c r="FE96" s="142"/>
      <c r="FF96" s="142"/>
      <c r="FG96" s="142"/>
      <c r="FH96" s="142"/>
      <c r="FI96" s="142"/>
      <c r="FJ96" s="142"/>
      <c r="FK96" s="142"/>
      <c r="FL96" s="142"/>
      <c r="FM96" s="142"/>
      <c r="FN96" s="142"/>
      <c r="FO96" s="142"/>
      <c r="FP96" s="142"/>
      <c r="FQ96" s="142"/>
      <c r="FR96" s="142"/>
      <c r="FS96" s="142"/>
      <c r="FT96" s="142"/>
      <c r="FU96" s="142"/>
      <c r="FV96" s="142"/>
      <c r="FW96" s="142"/>
      <c r="FX96" s="142"/>
      <c r="FY96" s="142"/>
      <c r="FZ96" s="142"/>
      <c r="GA96" s="142"/>
      <c r="GB96" s="142"/>
      <c r="GC96" s="142"/>
      <c r="GD96" s="142"/>
      <c r="GE96" s="142"/>
      <c r="GF96" s="142"/>
      <c r="GG96" s="142"/>
      <c r="GH96" s="142"/>
      <c r="GI96" s="142"/>
      <c r="GJ96" s="142"/>
      <c r="GK96" s="142"/>
      <c r="GL96" s="142"/>
      <c r="GM96" s="142"/>
      <c r="GN96" s="142"/>
      <c r="GO96" s="142"/>
      <c r="GP96" s="142"/>
      <c r="GQ96" s="142"/>
      <c r="GR96" s="142"/>
      <c r="GS96" s="142"/>
      <c r="GT96" s="142"/>
      <c r="GU96" s="142"/>
      <c r="GV96" s="142"/>
      <c r="GW96" s="142"/>
      <c r="GX96" s="142"/>
      <c r="GY96" s="142"/>
      <c r="GZ96" s="142"/>
      <c r="HA96" s="142"/>
      <c r="HB96" s="142"/>
      <c r="HC96" s="142"/>
      <c r="HD96" s="142"/>
      <c r="HE96" s="142"/>
      <c r="HF96" s="142"/>
      <c r="HG96" s="142"/>
      <c r="HH96" s="142"/>
      <c r="HI96" s="142"/>
      <c r="HJ96" s="142"/>
      <c r="HK96" s="142"/>
      <c r="HL96" s="142"/>
      <c r="HM96" s="142"/>
      <c r="HN96" s="142"/>
      <c r="HO96" s="142"/>
      <c r="HP96" s="142"/>
      <c r="HQ96" s="142"/>
      <c r="HR96" s="142"/>
      <c r="HS96" s="142"/>
      <c r="HT96" s="142"/>
      <c r="HU96" s="142"/>
      <c r="HV96" s="142"/>
      <c r="HW96" s="142"/>
      <c r="HX96" s="142"/>
      <c r="HY96" s="142"/>
      <c r="HZ96" s="142"/>
      <c r="IA96" s="142"/>
      <c r="IB96" s="142"/>
      <c r="IC96" s="142"/>
      <c r="ID96" s="142"/>
      <c r="IE96" s="142"/>
      <c r="IF96" s="142"/>
      <c r="IG96" s="142"/>
      <c r="IH96" s="142"/>
      <c r="II96" s="142"/>
      <c r="IJ96" s="142"/>
      <c r="IK96" s="142"/>
      <c r="IL96" s="142"/>
      <c r="IM96" s="142"/>
      <c r="IN96" s="142"/>
      <c r="IO96" s="142"/>
      <c r="IP96" s="142"/>
      <c r="IQ96" s="142"/>
      <c r="IR96" s="142"/>
      <c r="IS96" s="142"/>
      <c r="IT96" s="142"/>
      <c r="IU96" s="142"/>
      <c r="IV96" s="142"/>
    </row>
    <row r="97" spans="1:256" s="194" customFormat="1" x14ac:dyDescent="0.25">
      <c r="A97" s="148" t="s">
        <v>4734</v>
      </c>
      <c r="B97" s="150">
        <v>765.80700000000002</v>
      </c>
      <c r="C97" s="432">
        <v>492.988</v>
      </c>
      <c r="D97" s="146">
        <f t="shared" si="6"/>
        <v>1.0046934387641766</v>
      </c>
      <c r="E97" s="146">
        <f t="shared" si="3"/>
        <v>1.0089331783750815</v>
      </c>
      <c r="F97" s="432">
        <v>612.03399999999999</v>
      </c>
      <c r="G97" s="146">
        <f t="shared" si="2"/>
        <v>1.0029496094893571</v>
      </c>
      <c r="H97" s="432">
        <v>681.75599999999997</v>
      </c>
      <c r="I97" s="142"/>
      <c r="J97" s="142"/>
      <c r="K97" s="142"/>
      <c r="L97" s="142"/>
      <c r="M97" s="142"/>
      <c r="N97" s="142"/>
      <c r="O97" s="142"/>
      <c r="P97" s="142"/>
      <c r="Q97" s="142"/>
      <c r="R97" s="142"/>
      <c r="S97" s="142"/>
      <c r="T97" s="142"/>
      <c r="U97" s="142"/>
      <c r="V97" s="142"/>
      <c r="W97" s="142"/>
      <c r="X97" s="142"/>
      <c r="Y97" s="142"/>
      <c r="Z97" s="142"/>
      <c r="AA97" s="142"/>
      <c r="AB97" s="142"/>
      <c r="AC97" s="142"/>
      <c r="AD97" s="142"/>
      <c r="AE97" s="142"/>
      <c r="AF97" s="142"/>
      <c r="AG97" s="142"/>
      <c r="AH97" s="142"/>
      <c r="AI97" s="142"/>
      <c r="AJ97" s="142"/>
      <c r="AK97" s="142"/>
      <c r="AL97" s="142"/>
      <c r="AM97" s="142"/>
      <c r="AN97" s="142"/>
      <c r="AO97" s="142"/>
      <c r="AP97" s="142"/>
      <c r="AQ97" s="142"/>
      <c r="AR97" s="142"/>
      <c r="AS97" s="142"/>
      <c r="AT97" s="142"/>
      <c r="AU97" s="142"/>
      <c r="AV97" s="142"/>
      <c r="AW97" s="142"/>
      <c r="AX97" s="142"/>
      <c r="AY97" s="142"/>
      <c r="AZ97" s="142"/>
      <c r="BA97" s="142"/>
      <c r="BB97" s="142"/>
      <c r="BC97" s="142"/>
      <c r="BD97" s="142"/>
      <c r="BE97" s="142"/>
      <c r="BF97" s="142"/>
      <c r="BG97" s="142"/>
      <c r="BH97" s="142"/>
      <c r="BI97" s="142"/>
      <c r="BJ97" s="142"/>
      <c r="BK97" s="142"/>
      <c r="BL97" s="142"/>
      <c r="BM97" s="142"/>
      <c r="BN97" s="142"/>
      <c r="BO97" s="142"/>
      <c r="BP97" s="142"/>
      <c r="BQ97" s="142"/>
      <c r="BR97" s="142"/>
      <c r="BS97" s="142"/>
      <c r="BT97" s="142"/>
      <c r="BU97" s="142"/>
      <c r="BV97" s="142"/>
      <c r="BW97" s="142"/>
      <c r="BX97" s="142"/>
      <c r="BY97" s="142"/>
      <c r="BZ97" s="142"/>
      <c r="CA97" s="142"/>
      <c r="CB97" s="142"/>
      <c r="CC97" s="142"/>
      <c r="CD97" s="142"/>
      <c r="CE97" s="142"/>
      <c r="CF97" s="142"/>
      <c r="CG97" s="142"/>
      <c r="CH97" s="142"/>
      <c r="CI97" s="142"/>
      <c r="CJ97" s="142"/>
      <c r="CK97" s="142"/>
      <c r="CL97" s="142"/>
      <c r="CM97" s="142"/>
      <c r="CN97" s="142"/>
      <c r="CO97" s="142"/>
      <c r="CP97" s="142"/>
      <c r="CQ97" s="142"/>
      <c r="CR97" s="142"/>
      <c r="CS97" s="142"/>
      <c r="CT97" s="142"/>
      <c r="CU97" s="142"/>
      <c r="CV97" s="142"/>
      <c r="CW97" s="142"/>
      <c r="CX97" s="142"/>
      <c r="CY97" s="142"/>
      <c r="CZ97" s="142"/>
      <c r="DA97" s="142"/>
      <c r="DB97" s="142"/>
      <c r="DC97" s="142"/>
      <c r="DD97" s="142"/>
      <c r="DE97" s="142"/>
      <c r="DF97" s="142"/>
      <c r="DG97" s="142"/>
      <c r="DH97" s="142"/>
      <c r="DI97" s="142"/>
      <c r="DJ97" s="142"/>
      <c r="DK97" s="142"/>
      <c r="DL97" s="142"/>
      <c r="DM97" s="142"/>
      <c r="DN97" s="142"/>
      <c r="DO97" s="142"/>
      <c r="DP97" s="142"/>
      <c r="DQ97" s="142"/>
      <c r="DR97" s="142"/>
      <c r="DS97" s="142"/>
      <c r="DT97" s="142"/>
      <c r="DU97" s="142"/>
      <c r="DV97" s="142"/>
      <c r="DW97" s="142"/>
      <c r="DX97" s="142"/>
      <c r="DY97" s="142"/>
      <c r="DZ97" s="142"/>
      <c r="EA97" s="142"/>
      <c r="EB97" s="142"/>
      <c r="EC97" s="142"/>
      <c r="ED97" s="142"/>
      <c r="EE97" s="142"/>
      <c r="EF97" s="142"/>
      <c r="EG97" s="142"/>
      <c r="EH97" s="142"/>
      <c r="EI97" s="142"/>
      <c r="EJ97" s="142"/>
      <c r="EK97" s="142"/>
      <c r="EL97" s="142"/>
      <c r="EM97" s="142"/>
      <c r="EN97" s="142"/>
      <c r="EO97" s="142"/>
      <c r="EP97" s="142"/>
      <c r="EQ97" s="142"/>
      <c r="ER97" s="142"/>
      <c r="ES97" s="142"/>
      <c r="ET97" s="142"/>
      <c r="EU97" s="142"/>
      <c r="EV97" s="142"/>
      <c r="EW97" s="142"/>
      <c r="EX97" s="142"/>
      <c r="EY97" s="142"/>
      <c r="EZ97" s="142"/>
      <c r="FA97" s="142"/>
      <c r="FB97" s="142"/>
      <c r="FC97" s="142"/>
      <c r="FD97" s="142"/>
      <c r="FE97" s="142"/>
      <c r="FF97" s="142"/>
      <c r="FG97" s="142"/>
      <c r="FH97" s="142"/>
      <c r="FI97" s="142"/>
      <c r="FJ97" s="142"/>
      <c r="FK97" s="142"/>
      <c r="FL97" s="142"/>
      <c r="FM97" s="142"/>
      <c r="FN97" s="142"/>
      <c r="FO97" s="142"/>
      <c r="FP97" s="142"/>
      <c r="FQ97" s="142"/>
      <c r="FR97" s="142"/>
      <c r="FS97" s="142"/>
      <c r="FT97" s="142"/>
      <c r="FU97" s="142"/>
      <c r="FV97" s="142"/>
      <c r="FW97" s="142"/>
      <c r="FX97" s="142"/>
      <c r="FY97" s="142"/>
      <c r="FZ97" s="142"/>
      <c r="GA97" s="142"/>
      <c r="GB97" s="142"/>
      <c r="GC97" s="142"/>
      <c r="GD97" s="142"/>
      <c r="GE97" s="142"/>
      <c r="GF97" s="142"/>
      <c r="GG97" s="142"/>
      <c r="GH97" s="142"/>
      <c r="GI97" s="142"/>
      <c r="GJ97" s="142"/>
      <c r="GK97" s="142"/>
      <c r="GL97" s="142"/>
      <c r="GM97" s="142"/>
      <c r="GN97" s="142"/>
      <c r="GO97" s="142"/>
      <c r="GP97" s="142"/>
      <c r="GQ97" s="142"/>
      <c r="GR97" s="142"/>
      <c r="GS97" s="142"/>
      <c r="GT97" s="142"/>
      <c r="GU97" s="142"/>
      <c r="GV97" s="142"/>
      <c r="GW97" s="142"/>
      <c r="GX97" s="142"/>
      <c r="GY97" s="142"/>
      <c r="GZ97" s="142"/>
      <c r="HA97" s="142"/>
      <c r="HB97" s="142"/>
      <c r="HC97" s="142"/>
      <c r="HD97" s="142"/>
      <c r="HE97" s="142"/>
      <c r="HF97" s="142"/>
      <c r="HG97" s="142"/>
      <c r="HH97" s="142"/>
      <c r="HI97" s="142"/>
      <c r="HJ97" s="142"/>
      <c r="HK97" s="142"/>
      <c r="HL97" s="142"/>
      <c r="HM97" s="142"/>
      <c r="HN97" s="142"/>
      <c r="HO97" s="142"/>
      <c r="HP97" s="142"/>
      <c r="HQ97" s="142"/>
      <c r="HR97" s="142"/>
      <c r="HS97" s="142"/>
      <c r="HT97" s="142"/>
      <c r="HU97" s="142"/>
      <c r="HV97" s="142"/>
      <c r="HW97" s="142"/>
      <c r="HX97" s="142"/>
      <c r="HY97" s="142"/>
      <c r="HZ97" s="142"/>
      <c r="IA97" s="142"/>
      <c r="IB97" s="142"/>
      <c r="IC97" s="142"/>
      <c r="ID97" s="142"/>
      <c r="IE97" s="142"/>
      <c r="IF97" s="142"/>
      <c r="IG97" s="142"/>
      <c r="IH97" s="142"/>
      <c r="II97" s="142"/>
      <c r="IJ97" s="142"/>
      <c r="IK97" s="142"/>
      <c r="IL97" s="142"/>
      <c r="IM97" s="142"/>
      <c r="IN97" s="142"/>
      <c r="IO97" s="142"/>
      <c r="IP97" s="142"/>
      <c r="IQ97" s="142"/>
      <c r="IR97" s="142"/>
      <c r="IS97" s="142"/>
      <c r="IT97" s="142"/>
      <c r="IU97" s="142"/>
      <c r="IV97" s="142"/>
    </row>
    <row r="98" spans="1:256" s="194" customFormat="1" x14ac:dyDescent="0.25">
      <c r="A98" s="148" t="s">
        <v>4735</v>
      </c>
      <c r="B98" s="150">
        <v>791.94</v>
      </c>
      <c r="C98" s="432">
        <v>494.70600000000002</v>
      </c>
      <c r="D98" s="146">
        <f t="shared" si="6"/>
        <v>1.0034848718427223</v>
      </c>
      <c r="E98" s="146">
        <f t="shared" si="3"/>
        <v>1.0197064215386726</v>
      </c>
      <c r="F98" s="432">
        <v>624.09500000000003</v>
      </c>
      <c r="G98" s="146">
        <f t="shared" si="2"/>
        <v>1.0033281701957886</v>
      </c>
      <c r="H98" s="432">
        <v>684.02499999999998</v>
      </c>
      <c r="I98" s="142"/>
      <c r="J98" s="142"/>
      <c r="K98" s="142"/>
      <c r="L98" s="142"/>
      <c r="M98" s="142"/>
      <c r="N98" s="142"/>
      <c r="O98" s="142"/>
      <c r="P98" s="142"/>
      <c r="Q98" s="142"/>
      <c r="R98" s="142"/>
      <c r="S98" s="142"/>
      <c r="T98" s="142"/>
      <c r="U98" s="142"/>
      <c r="V98" s="142"/>
      <c r="W98" s="142"/>
      <c r="X98" s="142"/>
      <c r="Y98" s="142"/>
      <c r="Z98" s="142"/>
      <c r="AA98" s="142"/>
      <c r="AB98" s="142"/>
      <c r="AC98" s="142"/>
      <c r="AD98" s="142"/>
      <c r="AE98" s="142"/>
      <c r="AF98" s="142"/>
      <c r="AG98" s="142"/>
      <c r="AH98" s="142"/>
      <c r="AI98" s="142"/>
      <c r="AJ98" s="142"/>
      <c r="AK98" s="142"/>
      <c r="AL98" s="142"/>
      <c r="AM98" s="142"/>
      <c r="AN98" s="142"/>
      <c r="AO98" s="142"/>
      <c r="AP98" s="142"/>
      <c r="AQ98" s="142"/>
      <c r="AR98" s="142"/>
      <c r="AS98" s="142"/>
      <c r="AT98" s="142"/>
      <c r="AU98" s="142"/>
      <c r="AV98" s="142"/>
      <c r="AW98" s="142"/>
      <c r="AX98" s="142"/>
      <c r="AY98" s="142"/>
      <c r="AZ98" s="142"/>
      <c r="BA98" s="142"/>
      <c r="BB98" s="142"/>
      <c r="BC98" s="142"/>
      <c r="BD98" s="142"/>
      <c r="BE98" s="142"/>
      <c r="BF98" s="142"/>
      <c r="BG98" s="142"/>
      <c r="BH98" s="142"/>
      <c r="BI98" s="142"/>
      <c r="BJ98" s="142"/>
      <c r="BK98" s="142"/>
      <c r="BL98" s="142"/>
      <c r="BM98" s="142"/>
      <c r="BN98" s="142"/>
      <c r="BO98" s="142"/>
      <c r="BP98" s="142"/>
      <c r="BQ98" s="142"/>
      <c r="BR98" s="142"/>
      <c r="BS98" s="142"/>
      <c r="BT98" s="142"/>
      <c r="BU98" s="142"/>
      <c r="BV98" s="142"/>
      <c r="BW98" s="142"/>
      <c r="BX98" s="142"/>
      <c r="BY98" s="142"/>
      <c r="BZ98" s="142"/>
      <c r="CA98" s="142"/>
      <c r="CB98" s="142"/>
      <c r="CC98" s="142"/>
      <c r="CD98" s="142"/>
      <c r="CE98" s="142"/>
      <c r="CF98" s="142"/>
      <c r="CG98" s="142"/>
      <c r="CH98" s="142"/>
      <c r="CI98" s="142"/>
      <c r="CJ98" s="142"/>
      <c r="CK98" s="142"/>
      <c r="CL98" s="142"/>
      <c r="CM98" s="142"/>
      <c r="CN98" s="142"/>
      <c r="CO98" s="142"/>
      <c r="CP98" s="142"/>
      <c r="CQ98" s="142"/>
      <c r="CR98" s="142"/>
      <c r="CS98" s="142"/>
      <c r="CT98" s="142"/>
      <c r="CU98" s="142"/>
      <c r="CV98" s="142"/>
      <c r="CW98" s="142"/>
      <c r="CX98" s="142"/>
      <c r="CY98" s="142"/>
      <c r="CZ98" s="142"/>
      <c r="DA98" s="142"/>
      <c r="DB98" s="142"/>
      <c r="DC98" s="142"/>
      <c r="DD98" s="142"/>
      <c r="DE98" s="142"/>
      <c r="DF98" s="142"/>
      <c r="DG98" s="142"/>
      <c r="DH98" s="142"/>
      <c r="DI98" s="142"/>
      <c r="DJ98" s="142"/>
      <c r="DK98" s="142"/>
      <c r="DL98" s="142"/>
      <c r="DM98" s="142"/>
      <c r="DN98" s="142"/>
      <c r="DO98" s="142"/>
      <c r="DP98" s="142"/>
      <c r="DQ98" s="142"/>
      <c r="DR98" s="142"/>
      <c r="DS98" s="142"/>
      <c r="DT98" s="142"/>
      <c r="DU98" s="142"/>
      <c r="DV98" s="142"/>
      <c r="DW98" s="142"/>
      <c r="DX98" s="142"/>
      <c r="DY98" s="142"/>
      <c r="DZ98" s="142"/>
      <c r="EA98" s="142"/>
      <c r="EB98" s="142"/>
      <c r="EC98" s="142"/>
      <c r="ED98" s="142"/>
      <c r="EE98" s="142"/>
      <c r="EF98" s="142"/>
      <c r="EG98" s="142"/>
      <c r="EH98" s="142"/>
      <c r="EI98" s="142"/>
      <c r="EJ98" s="142"/>
      <c r="EK98" s="142"/>
      <c r="EL98" s="142"/>
      <c r="EM98" s="142"/>
      <c r="EN98" s="142"/>
      <c r="EO98" s="142"/>
      <c r="EP98" s="142"/>
      <c r="EQ98" s="142"/>
      <c r="ER98" s="142"/>
      <c r="ES98" s="142"/>
      <c r="ET98" s="142"/>
      <c r="EU98" s="142"/>
      <c r="EV98" s="142"/>
      <c r="EW98" s="142"/>
      <c r="EX98" s="142"/>
      <c r="EY98" s="142"/>
      <c r="EZ98" s="142"/>
      <c r="FA98" s="142"/>
      <c r="FB98" s="142"/>
      <c r="FC98" s="142"/>
      <c r="FD98" s="142"/>
      <c r="FE98" s="142"/>
      <c r="FF98" s="142"/>
      <c r="FG98" s="142"/>
      <c r="FH98" s="142"/>
      <c r="FI98" s="142"/>
      <c r="FJ98" s="142"/>
      <c r="FK98" s="142"/>
      <c r="FL98" s="142"/>
      <c r="FM98" s="142"/>
      <c r="FN98" s="142"/>
      <c r="FO98" s="142"/>
      <c r="FP98" s="142"/>
      <c r="FQ98" s="142"/>
      <c r="FR98" s="142"/>
      <c r="FS98" s="142"/>
      <c r="FT98" s="142"/>
      <c r="FU98" s="142"/>
      <c r="FV98" s="142"/>
      <c r="FW98" s="142"/>
      <c r="FX98" s="142"/>
      <c r="FY98" s="142"/>
      <c r="FZ98" s="142"/>
      <c r="GA98" s="142"/>
      <c r="GB98" s="142"/>
      <c r="GC98" s="142"/>
      <c r="GD98" s="142"/>
      <c r="GE98" s="142"/>
      <c r="GF98" s="142"/>
      <c r="GG98" s="142"/>
      <c r="GH98" s="142"/>
      <c r="GI98" s="142"/>
      <c r="GJ98" s="142"/>
      <c r="GK98" s="142"/>
      <c r="GL98" s="142"/>
      <c r="GM98" s="142"/>
      <c r="GN98" s="142"/>
      <c r="GO98" s="142"/>
      <c r="GP98" s="142"/>
      <c r="GQ98" s="142"/>
      <c r="GR98" s="142"/>
      <c r="GS98" s="142"/>
      <c r="GT98" s="142"/>
      <c r="GU98" s="142"/>
      <c r="GV98" s="142"/>
      <c r="GW98" s="142"/>
      <c r="GX98" s="142"/>
      <c r="GY98" s="142"/>
      <c r="GZ98" s="142"/>
      <c r="HA98" s="142"/>
      <c r="HB98" s="142"/>
      <c r="HC98" s="142"/>
      <c r="HD98" s="142"/>
      <c r="HE98" s="142"/>
      <c r="HF98" s="142"/>
      <c r="HG98" s="142"/>
      <c r="HH98" s="142"/>
      <c r="HI98" s="142"/>
      <c r="HJ98" s="142"/>
      <c r="HK98" s="142"/>
      <c r="HL98" s="142"/>
      <c r="HM98" s="142"/>
      <c r="HN98" s="142"/>
      <c r="HO98" s="142"/>
      <c r="HP98" s="142"/>
      <c r="HQ98" s="142"/>
      <c r="HR98" s="142"/>
      <c r="HS98" s="142"/>
      <c r="HT98" s="142"/>
      <c r="HU98" s="142"/>
      <c r="HV98" s="142"/>
      <c r="HW98" s="142"/>
      <c r="HX98" s="142"/>
      <c r="HY98" s="142"/>
      <c r="HZ98" s="142"/>
      <c r="IA98" s="142"/>
      <c r="IB98" s="142"/>
      <c r="IC98" s="142"/>
      <c r="ID98" s="142"/>
      <c r="IE98" s="142"/>
      <c r="IF98" s="142"/>
      <c r="IG98" s="142"/>
      <c r="IH98" s="142"/>
      <c r="II98" s="142"/>
      <c r="IJ98" s="142"/>
      <c r="IK98" s="142"/>
      <c r="IL98" s="142"/>
      <c r="IM98" s="142"/>
      <c r="IN98" s="142"/>
      <c r="IO98" s="142"/>
      <c r="IP98" s="142"/>
      <c r="IQ98" s="142"/>
      <c r="IR98" s="142"/>
      <c r="IS98" s="142"/>
      <c r="IT98" s="142"/>
      <c r="IU98" s="142"/>
      <c r="IV98" s="142"/>
    </row>
    <row r="99" spans="1:256" s="194" customFormat="1" x14ac:dyDescent="0.25">
      <c r="A99" s="148" t="s">
        <v>4736</v>
      </c>
      <c r="B99" s="150">
        <v>791.94</v>
      </c>
      <c r="C99" s="432">
        <v>494.34199999999998</v>
      </c>
      <c r="D99" s="146">
        <f t="shared" si="6"/>
        <v>0.99926420944965288</v>
      </c>
      <c r="E99" s="146">
        <f t="shared" si="3"/>
        <v>0.99965870580600702</v>
      </c>
      <c r="F99" s="432">
        <v>623.88199999999995</v>
      </c>
      <c r="G99" s="146">
        <f t="shared" si="2"/>
        <v>1.0021402726508535</v>
      </c>
      <c r="H99" s="432">
        <v>685.48900000000003</v>
      </c>
      <c r="I99" s="142"/>
      <c r="J99" s="142"/>
      <c r="K99" s="447"/>
      <c r="L99" s="142"/>
      <c r="M99" s="142"/>
      <c r="N99" s="142"/>
      <c r="O99" s="142"/>
      <c r="P99" s="142"/>
      <c r="Q99" s="142"/>
      <c r="R99" s="142"/>
      <c r="S99" s="142"/>
      <c r="T99" s="142"/>
      <c r="U99" s="142"/>
      <c r="V99" s="142"/>
      <c r="W99" s="142"/>
      <c r="X99" s="142"/>
      <c r="Y99" s="142"/>
      <c r="Z99" s="142"/>
      <c r="AA99" s="142"/>
      <c r="AB99" s="142"/>
      <c r="AC99" s="142"/>
      <c r="AD99" s="142"/>
      <c r="AE99" s="142"/>
      <c r="AF99" s="142"/>
      <c r="AG99" s="142"/>
      <c r="AH99" s="142"/>
      <c r="AI99" s="142"/>
      <c r="AJ99" s="142"/>
      <c r="AK99" s="142"/>
      <c r="AL99" s="142"/>
      <c r="AM99" s="142"/>
      <c r="AN99" s="142"/>
      <c r="AO99" s="142"/>
      <c r="AP99" s="142"/>
      <c r="AQ99" s="142"/>
      <c r="AR99" s="142"/>
      <c r="AS99" s="142"/>
      <c r="AT99" s="142"/>
      <c r="AU99" s="142"/>
      <c r="AV99" s="142"/>
      <c r="AW99" s="142"/>
      <c r="AX99" s="142"/>
      <c r="AY99" s="142"/>
      <c r="AZ99" s="142"/>
      <c r="BA99" s="142"/>
      <c r="BB99" s="142"/>
      <c r="BC99" s="142"/>
      <c r="BD99" s="142"/>
      <c r="BE99" s="142"/>
      <c r="BF99" s="142"/>
      <c r="BG99" s="142"/>
      <c r="BH99" s="142"/>
      <c r="BI99" s="142"/>
      <c r="BJ99" s="142"/>
      <c r="BK99" s="142"/>
      <c r="BL99" s="142"/>
      <c r="BM99" s="142"/>
      <c r="BN99" s="142"/>
      <c r="BO99" s="142"/>
      <c r="BP99" s="142"/>
      <c r="BQ99" s="142"/>
      <c r="BR99" s="142"/>
      <c r="BS99" s="142"/>
      <c r="BT99" s="142"/>
      <c r="BU99" s="142"/>
      <c r="BV99" s="142"/>
      <c r="BW99" s="142"/>
      <c r="BX99" s="142"/>
      <c r="BY99" s="142"/>
      <c r="BZ99" s="142"/>
      <c r="CA99" s="142"/>
      <c r="CB99" s="142"/>
      <c r="CC99" s="142"/>
      <c r="CD99" s="142"/>
      <c r="CE99" s="142"/>
      <c r="CF99" s="142"/>
      <c r="CG99" s="142"/>
      <c r="CH99" s="142"/>
      <c r="CI99" s="142"/>
      <c r="CJ99" s="142"/>
      <c r="CK99" s="142"/>
      <c r="CL99" s="142"/>
      <c r="CM99" s="142"/>
      <c r="CN99" s="142"/>
      <c r="CO99" s="142"/>
      <c r="CP99" s="142"/>
      <c r="CQ99" s="142"/>
      <c r="CR99" s="142"/>
      <c r="CS99" s="142"/>
      <c r="CT99" s="142"/>
      <c r="CU99" s="142"/>
      <c r="CV99" s="142"/>
      <c r="CW99" s="142"/>
      <c r="CX99" s="142"/>
      <c r="CY99" s="142"/>
      <c r="CZ99" s="142"/>
      <c r="DA99" s="142"/>
      <c r="DB99" s="142"/>
      <c r="DC99" s="142"/>
      <c r="DD99" s="142"/>
      <c r="DE99" s="142"/>
      <c r="DF99" s="142"/>
      <c r="DG99" s="142"/>
      <c r="DH99" s="142"/>
      <c r="DI99" s="142"/>
      <c r="DJ99" s="142"/>
      <c r="DK99" s="142"/>
      <c r="DL99" s="142"/>
      <c r="DM99" s="142"/>
      <c r="DN99" s="142"/>
      <c r="DO99" s="142"/>
      <c r="DP99" s="142"/>
      <c r="DQ99" s="142"/>
      <c r="DR99" s="142"/>
      <c r="DS99" s="142"/>
      <c r="DT99" s="142"/>
      <c r="DU99" s="142"/>
      <c r="DV99" s="142"/>
      <c r="DW99" s="142"/>
      <c r="DX99" s="142"/>
      <c r="DY99" s="142"/>
      <c r="DZ99" s="142"/>
      <c r="EA99" s="142"/>
      <c r="EB99" s="142"/>
      <c r="EC99" s="142"/>
      <c r="ED99" s="142"/>
      <c r="EE99" s="142"/>
      <c r="EF99" s="142"/>
      <c r="EG99" s="142"/>
      <c r="EH99" s="142"/>
      <c r="EI99" s="142"/>
      <c r="EJ99" s="142"/>
      <c r="EK99" s="142"/>
      <c r="EL99" s="142"/>
      <c r="EM99" s="142"/>
      <c r="EN99" s="142"/>
      <c r="EO99" s="142"/>
      <c r="EP99" s="142"/>
      <c r="EQ99" s="142"/>
      <c r="ER99" s="142"/>
      <c r="ES99" s="142"/>
      <c r="ET99" s="142"/>
      <c r="EU99" s="142"/>
      <c r="EV99" s="142"/>
      <c r="EW99" s="142"/>
      <c r="EX99" s="142"/>
      <c r="EY99" s="142"/>
      <c r="EZ99" s="142"/>
      <c r="FA99" s="142"/>
      <c r="FB99" s="142"/>
      <c r="FC99" s="142"/>
      <c r="FD99" s="142"/>
      <c r="FE99" s="142"/>
      <c r="FF99" s="142"/>
      <c r="FG99" s="142"/>
      <c r="FH99" s="142"/>
      <c r="FI99" s="142"/>
      <c r="FJ99" s="142"/>
      <c r="FK99" s="142"/>
      <c r="FL99" s="142"/>
      <c r="FM99" s="142"/>
      <c r="FN99" s="142"/>
      <c r="FO99" s="142"/>
      <c r="FP99" s="142"/>
      <c r="FQ99" s="142"/>
      <c r="FR99" s="142"/>
      <c r="FS99" s="142"/>
      <c r="FT99" s="142"/>
      <c r="FU99" s="142"/>
      <c r="FV99" s="142"/>
      <c r="FW99" s="142"/>
      <c r="FX99" s="142"/>
      <c r="FY99" s="142"/>
      <c r="FZ99" s="142"/>
      <c r="GA99" s="142"/>
      <c r="GB99" s="142"/>
      <c r="GC99" s="142"/>
      <c r="GD99" s="142"/>
      <c r="GE99" s="142"/>
      <c r="GF99" s="142"/>
      <c r="GG99" s="142"/>
      <c r="GH99" s="142"/>
      <c r="GI99" s="142"/>
      <c r="GJ99" s="142"/>
      <c r="GK99" s="142"/>
      <c r="GL99" s="142"/>
      <c r="GM99" s="142"/>
      <c r="GN99" s="142"/>
      <c r="GO99" s="142"/>
      <c r="GP99" s="142"/>
      <c r="GQ99" s="142"/>
      <c r="GR99" s="142"/>
      <c r="GS99" s="142"/>
      <c r="GT99" s="142"/>
      <c r="GU99" s="142"/>
      <c r="GV99" s="142"/>
      <c r="GW99" s="142"/>
      <c r="GX99" s="142"/>
      <c r="GY99" s="142"/>
      <c r="GZ99" s="142"/>
      <c r="HA99" s="142"/>
      <c r="HB99" s="142"/>
      <c r="HC99" s="142"/>
      <c r="HD99" s="142"/>
      <c r="HE99" s="142"/>
      <c r="HF99" s="142"/>
      <c r="HG99" s="142"/>
      <c r="HH99" s="142"/>
      <c r="HI99" s="142"/>
      <c r="HJ99" s="142"/>
      <c r="HK99" s="142"/>
      <c r="HL99" s="142"/>
      <c r="HM99" s="142"/>
      <c r="HN99" s="142"/>
      <c r="HO99" s="142"/>
      <c r="HP99" s="142"/>
      <c r="HQ99" s="142"/>
      <c r="HR99" s="142"/>
      <c r="HS99" s="142"/>
      <c r="HT99" s="142"/>
      <c r="HU99" s="142"/>
      <c r="HV99" s="142"/>
      <c r="HW99" s="142"/>
      <c r="HX99" s="142"/>
      <c r="HY99" s="142"/>
      <c r="HZ99" s="142"/>
      <c r="IA99" s="142"/>
      <c r="IB99" s="142"/>
      <c r="IC99" s="142"/>
      <c r="ID99" s="142"/>
      <c r="IE99" s="142"/>
      <c r="IF99" s="142"/>
      <c r="IG99" s="142"/>
      <c r="IH99" s="142"/>
      <c r="II99" s="142"/>
      <c r="IJ99" s="142"/>
      <c r="IK99" s="142"/>
      <c r="IL99" s="142"/>
      <c r="IM99" s="142"/>
      <c r="IN99" s="142"/>
      <c r="IO99" s="142"/>
      <c r="IP99" s="142"/>
      <c r="IQ99" s="142"/>
      <c r="IR99" s="142"/>
      <c r="IS99" s="142"/>
      <c r="IT99" s="142"/>
      <c r="IU99" s="142"/>
      <c r="IV99" s="142"/>
    </row>
    <row r="100" spans="1:256" s="194" customFormat="1" x14ac:dyDescent="0.25">
      <c r="A100" s="148" t="s">
        <v>4737</v>
      </c>
      <c r="B100" s="150">
        <v>791.94</v>
      </c>
      <c r="C100" s="432">
        <v>494.00900000000001</v>
      </c>
      <c r="D100" s="146">
        <f t="shared" si="6"/>
        <v>0.99932637728536122</v>
      </c>
      <c r="E100" s="146">
        <f t="shared" si="3"/>
        <v>0.9996890437614806</v>
      </c>
      <c r="F100" s="432">
        <v>623.68799999999999</v>
      </c>
      <c r="G100" s="146">
        <f t="shared" si="2"/>
        <v>1.00163095250252</v>
      </c>
      <c r="H100" s="432">
        <v>686.60699999999997</v>
      </c>
      <c r="I100" s="142"/>
      <c r="J100" s="142"/>
      <c r="K100" s="447"/>
      <c r="L100" s="142"/>
      <c r="M100" s="142"/>
      <c r="N100" s="142"/>
      <c r="O100" s="142"/>
      <c r="P100" s="142"/>
      <c r="Q100" s="142"/>
      <c r="R100" s="142"/>
      <c r="S100" s="142"/>
      <c r="T100" s="142"/>
      <c r="U100" s="142"/>
      <c r="V100" s="142"/>
      <c r="W100" s="142"/>
      <c r="X100" s="142"/>
      <c r="Y100" s="142"/>
      <c r="Z100" s="142"/>
      <c r="AA100" s="142"/>
      <c r="AB100" s="142"/>
      <c r="AC100" s="142"/>
      <c r="AD100" s="142"/>
      <c r="AE100" s="142"/>
      <c r="AF100" s="142"/>
      <c r="AG100" s="142"/>
      <c r="AH100" s="142"/>
      <c r="AI100" s="142"/>
      <c r="AJ100" s="142"/>
      <c r="AK100" s="142"/>
      <c r="AL100" s="142"/>
      <c r="AM100" s="142"/>
      <c r="AN100" s="142"/>
      <c r="AO100" s="142"/>
      <c r="AP100" s="142"/>
      <c r="AQ100" s="142"/>
      <c r="AR100" s="142"/>
      <c r="AS100" s="142"/>
      <c r="AT100" s="142"/>
      <c r="AU100" s="142"/>
      <c r="AV100" s="142"/>
      <c r="AW100" s="142"/>
      <c r="AX100" s="142"/>
      <c r="AY100" s="142"/>
      <c r="AZ100" s="142"/>
      <c r="BA100" s="142"/>
      <c r="BB100" s="142"/>
      <c r="BC100" s="142"/>
      <c r="BD100" s="142"/>
      <c r="BE100" s="142"/>
      <c r="BF100" s="142"/>
      <c r="BG100" s="142"/>
      <c r="BH100" s="142"/>
      <c r="BI100" s="142"/>
      <c r="BJ100" s="142"/>
      <c r="BK100" s="142"/>
      <c r="BL100" s="142"/>
      <c r="BM100" s="142"/>
      <c r="BN100" s="142"/>
      <c r="BO100" s="142"/>
      <c r="BP100" s="142"/>
      <c r="BQ100" s="142"/>
      <c r="BR100" s="142"/>
      <c r="BS100" s="142"/>
      <c r="BT100" s="142"/>
      <c r="BU100" s="142"/>
      <c r="BV100" s="142"/>
      <c r="BW100" s="142"/>
      <c r="BX100" s="142"/>
      <c r="BY100" s="142"/>
      <c r="BZ100" s="142"/>
      <c r="CA100" s="142"/>
      <c r="CB100" s="142"/>
      <c r="CC100" s="142"/>
      <c r="CD100" s="142"/>
      <c r="CE100" s="142"/>
      <c r="CF100" s="142"/>
      <c r="CG100" s="142"/>
      <c r="CH100" s="142"/>
      <c r="CI100" s="142"/>
      <c r="CJ100" s="142"/>
      <c r="CK100" s="142"/>
      <c r="CL100" s="142"/>
      <c r="CM100" s="142"/>
      <c r="CN100" s="142"/>
      <c r="CO100" s="142"/>
      <c r="CP100" s="142"/>
      <c r="CQ100" s="142"/>
      <c r="CR100" s="142"/>
      <c r="CS100" s="142"/>
      <c r="CT100" s="142"/>
      <c r="CU100" s="142"/>
      <c r="CV100" s="142"/>
      <c r="CW100" s="142"/>
      <c r="CX100" s="142"/>
      <c r="CY100" s="142"/>
      <c r="CZ100" s="142"/>
      <c r="DA100" s="142"/>
      <c r="DB100" s="142"/>
      <c r="DC100" s="142"/>
      <c r="DD100" s="142"/>
      <c r="DE100" s="142"/>
      <c r="DF100" s="142"/>
      <c r="DG100" s="142"/>
      <c r="DH100" s="142"/>
      <c r="DI100" s="142"/>
      <c r="DJ100" s="142"/>
      <c r="DK100" s="142"/>
      <c r="DL100" s="142"/>
      <c r="DM100" s="142"/>
      <c r="DN100" s="142"/>
      <c r="DO100" s="142"/>
      <c r="DP100" s="142"/>
      <c r="DQ100" s="142"/>
      <c r="DR100" s="142"/>
      <c r="DS100" s="142"/>
      <c r="DT100" s="142"/>
      <c r="DU100" s="142"/>
      <c r="DV100" s="142"/>
      <c r="DW100" s="142"/>
      <c r="DX100" s="142"/>
      <c r="DY100" s="142"/>
      <c r="DZ100" s="142"/>
      <c r="EA100" s="142"/>
      <c r="EB100" s="142"/>
      <c r="EC100" s="142"/>
      <c r="ED100" s="142"/>
      <c r="EE100" s="142"/>
      <c r="EF100" s="142"/>
      <c r="EG100" s="142"/>
      <c r="EH100" s="142"/>
      <c r="EI100" s="142"/>
      <c r="EJ100" s="142"/>
      <c r="EK100" s="142"/>
      <c r="EL100" s="142"/>
      <c r="EM100" s="142"/>
      <c r="EN100" s="142"/>
      <c r="EO100" s="142"/>
      <c r="EP100" s="142"/>
      <c r="EQ100" s="142"/>
      <c r="ER100" s="142"/>
      <c r="ES100" s="142"/>
      <c r="ET100" s="142"/>
      <c r="EU100" s="142"/>
      <c r="EV100" s="142"/>
      <c r="EW100" s="142"/>
      <c r="EX100" s="142"/>
      <c r="EY100" s="142"/>
      <c r="EZ100" s="142"/>
      <c r="FA100" s="142"/>
      <c r="FB100" s="142"/>
      <c r="FC100" s="142"/>
      <c r="FD100" s="142"/>
      <c r="FE100" s="142"/>
      <c r="FF100" s="142"/>
      <c r="FG100" s="142"/>
      <c r="FH100" s="142"/>
      <c r="FI100" s="142"/>
      <c r="FJ100" s="142"/>
      <c r="FK100" s="142"/>
      <c r="FL100" s="142"/>
      <c r="FM100" s="142"/>
      <c r="FN100" s="142"/>
      <c r="FO100" s="142"/>
      <c r="FP100" s="142"/>
      <c r="FQ100" s="142"/>
      <c r="FR100" s="142"/>
      <c r="FS100" s="142"/>
      <c r="FT100" s="142"/>
      <c r="FU100" s="142"/>
      <c r="FV100" s="142"/>
      <c r="FW100" s="142"/>
      <c r="FX100" s="142"/>
      <c r="FY100" s="142"/>
      <c r="FZ100" s="142"/>
      <c r="GA100" s="142"/>
      <c r="GB100" s="142"/>
      <c r="GC100" s="142"/>
      <c r="GD100" s="142"/>
      <c r="GE100" s="142"/>
      <c r="GF100" s="142"/>
      <c r="GG100" s="142"/>
      <c r="GH100" s="142"/>
      <c r="GI100" s="142"/>
      <c r="GJ100" s="142"/>
      <c r="GK100" s="142"/>
      <c r="GL100" s="142"/>
      <c r="GM100" s="142"/>
      <c r="GN100" s="142"/>
      <c r="GO100" s="142"/>
      <c r="GP100" s="142"/>
      <c r="GQ100" s="142"/>
      <c r="GR100" s="142"/>
      <c r="GS100" s="142"/>
      <c r="GT100" s="142"/>
      <c r="GU100" s="142"/>
      <c r="GV100" s="142"/>
      <c r="GW100" s="142"/>
      <c r="GX100" s="142"/>
      <c r="GY100" s="142"/>
      <c r="GZ100" s="142"/>
      <c r="HA100" s="142"/>
      <c r="HB100" s="142"/>
      <c r="HC100" s="142"/>
      <c r="HD100" s="142"/>
      <c r="HE100" s="142"/>
      <c r="HF100" s="142"/>
      <c r="HG100" s="142"/>
      <c r="HH100" s="142"/>
      <c r="HI100" s="142"/>
      <c r="HJ100" s="142"/>
      <c r="HK100" s="142"/>
      <c r="HL100" s="142"/>
      <c r="HM100" s="142"/>
      <c r="HN100" s="142"/>
      <c r="HO100" s="142"/>
      <c r="HP100" s="142"/>
      <c r="HQ100" s="142"/>
      <c r="HR100" s="142"/>
      <c r="HS100" s="142"/>
      <c r="HT100" s="142"/>
      <c r="HU100" s="142"/>
      <c r="HV100" s="142"/>
      <c r="HW100" s="142"/>
      <c r="HX100" s="142"/>
      <c r="HY100" s="142"/>
      <c r="HZ100" s="142"/>
      <c r="IA100" s="142"/>
      <c r="IB100" s="142"/>
      <c r="IC100" s="142"/>
      <c r="ID100" s="142"/>
      <c r="IE100" s="142"/>
      <c r="IF100" s="142"/>
      <c r="IG100" s="142"/>
      <c r="IH100" s="142"/>
      <c r="II100" s="142"/>
      <c r="IJ100" s="142"/>
      <c r="IK100" s="142"/>
      <c r="IL100" s="142"/>
      <c r="IM100" s="142"/>
      <c r="IN100" s="142"/>
      <c r="IO100" s="142"/>
      <c r="IP100" s="142"/>
      <c r="IQ100" s="142"/>
      <c r="IR100" s="142"/>
      <c r="IS100" s="142"/>
      <c r="IT100" s="142"/>
      <c r="IU100" s="142"/>
      <c r="IV100" s="142"/>
    </row>
    <row r="101" spans="1:256" s="194" customFormat="1" x14ac:dyDescent="0.25">
      <c r="A101" s="148" t="s">
        <v>4738</v>
      </c>
      <c r="B101" s="150">
        <v>827.40800000000002</v>
      </c>
      <c r="C101" s="432">
        <v>496.005</v>
      </c>
      <c r="D101" s="146">
        <f t="shared" si="6"/>
        <v>1.0040404122192106</v>
      </c>
      <c r="E101" s="146">
        <f t="shared" si="3"/>
        <v>1.0259312348481933</v>
      </c>
      <c r="F101" s="432">
        <v>639.86099999999999</v>
      </c>
      <c r="G101" s="146">
        <f t="shared" si="2"/>
        <v>1.0034634077427116</v>
      </c>
      <c r="H101" s="432">
        <v>688.98500000000001</v>
      </c>
      <c r="I101" s="142"/>
      <c r="J101" s="142"/>
      <c r="K101" s="142"/>
      <c r="L101" s="142"/>
      <c r="M101" s="142"/>
      <c r="N101" s="142"/>
      <c r="O101" s="142"/>
      <c r="P101" s="142"/>
      <c r="Q101" s="142"/>
      <c r="R101" s="142"/>
      <c r="S101" s="142"/>
      <c r="T101" s="142"/>
      <c r="U101" s="142"/>
      <c r="V101" s="142"/>
      <c r="W101" s="142"/>
      <c r="X101" s="142"/>
      <c r="Y101" s="142"/>
      <c r="Z101" s="142"/>
      <c r="AA101" s="142"/>
      <c r="AB101" s="142"/>
      <c r="AC101" s="142"/>
      <c r="AD101" s="142"/>
      <c r="AE101" s="142"/>
      <c r="AF101" s="142"/>
      <c r="AG101" s="142"/>
      <c r="AH101" s="142"/>
      <c r="AI101" s="142"/>
      <c r="AJ101" s="142"/>
      <c r="AK101" s="142"/>
      <c r="AL101" s="142"/>
      <c r="AM101" s="142"/>
      <c r="AN101" s="142"/>
      <c r="AO101" s="142"/>
      <c r="AP101" s="142"/>
      <c r="AQ101" s="142"/>
      <c r="AR101" s="142"/>
      <c r="AS101" s="142"/>
      <c r="AT101" s="142"/>
      <c r="AU101" s="142"/>
      <c r="AV101" s="142"/>
      <c r="AW101" s="142"/>
      <c r="AX101" s="142"/>
      <c r="AY101" s="142"/>
      <c r="AZ101" s="142"/>
      <c r="BA101" s="142"/>
      <c r="BB101" s="142"/>
      <c r="BC101" s="142"/>
      <c r="BD101" s="142"/>
      <c r="BE101" s="142"/>
      <c r="BF101" s="142"/>
      <c r="BG101" s="142"/>
      <c r="BH101" s="142"/>
      <c r="BI101" s="142"/>
      <c r="BJ101" s="142"/>
      <c r="BK101" s="142"/>
      <c r="BL101" s="142"/>
      <c r="BM101" s="142"/>
      <c r="BN101" s="142"/>
      <c r="BO101" s="142"/>
      <c r="BP101" s="142"/>
      <c r="BQ101" s="142"/>
      <c r="BR101" s="142"/>
      <c r="BS101" s="142"/>
      <c r="BT101" s="142"/>
      <c r="BU101" s="142"/>
      <c r="BV101" s="142"/>
      <c r="BW101" s="142"/>
      <c r="BX101" s="142"/>
      <c r="BY101" s="142"/>
      <c r="BZ101" s="142"/>
      <c r="CA101" s="142"/>
      <c r="CB101" s="142"/>
      <c r="CC101" s="142"/>
      <c r="CD101" s="142"/>
      <c r="CE101" s="142"/>
      <c r="CF101" s="142"/>
      <c r="CG101" s="142"/>
      <c r="CH101" s="142"/>
      <c r="CI101" s="142"/>
      <c r="CJ101" s="142"/>
      <c r="CK101" s="142"/>
      <c r="CL101" s="142"/>
      <c r="CM101" s="142"/>
      <c r="CN101" s="142"/>
      <c r="CO101" s="142"/>
      <c r="CP101" s="142"/>
      <c r="CQ101" s="142"/>
      <c r="CR101" s="142"/>
      <c r="CS101" s="142"/>
      <c r="CT101" s="142"/>
      <c r="CU101" s="142"/>
      <c r="CV101" s="142"/>
      <c r="CW101" s="142"/>
      <c r="CX101" s="142"/>
      <c r="CY101" s="142"/>
      <c r="CZ101" s="142"/>
      <c r="DA101" s="142"/>
      <c r="DB101" s="142"/>
      <c r="DC101" s="142"/>
      <c r="DD101" s="142"/>
      <c r="DE101" s="142"/>
      <c r="DF101" s="142"/>
      <c r="DG101" s="142"/>
      <c r="DH101" s="142"/>
      <c r="DI101" s="142"/>
      <c r="DJ101" s="142"/>
      <c r="DK101" s="142"/>
      <c r="DL101" s="142"/>
      <c r="DM101" s="142"/>
      <c r="DN101" s="142"/>
      <c r="DO101" s="142"/>
      <c r="DP101" s="142"/>
      <c r="DQ101" s="142"/>
      <c r="DR101" s="142"/>
      <c r="DS101" s="142"/>
      <c r="DT101" s="142"/>
      <c r="DU101" s="142"/>
      <c r="DV101" s="142"/>
      <c r="DW101" s="142"/>
      <c r="DX101" s="142"/>
      <c r="DY101" s="142"/>
      <c r="DZ101" s="142"/>
      <c r="EA101" s="142"/>
      <c r="EB101" s="142"/>
      <c r="EC101" s="142"/>
      <c r="ED101" s="142"/>
      <c r="EE101" s="142"/>
      <c r="EF101" s="142"/>
      <c r="EG101" s="142"/>
      <c r="EH101" s="142"/>
      <c r="EI101" s="142"/>
      <c r="EJ101" s="142"/>
      <c r="EK101" s="142"/>
      <c r="EL101" s="142"/>
      <c r="EM101" s="142"/>
      <c r="EN101" s="142"/>
      <c r="EO101" s="142"/>
      <c r="EP101" s="142"/>
      <c r="EQ101" s="142"/>
      <c r="ER101" s="142"/>
      <c r="ES101" s="142"/>
      <c r="ET101" s="142"/>
      <c r="EU101" s="142"/>
      <c r="EV101" s="142"/>
      <c r="EW101" s="142"/>
      <c r="EX101" s="142"/>
      <c r="EY101" s="142"/>
      <c r="EZ101" s="142"/>
      <c r="FA101" s="142"/>
      <c r="FB101" s="142"/>
      <c r="FC101" s="142"/>
      <c r="FD101" s="142"/>
      <c r="FE101" s="142"/>
      <c r="FF101" s="142"/>
      <c r="FG101" s="142"/>
      <c r="FH101" s="142"/>
      <c r="FI101" s="142"/>
      <c r="FJ101" s="142"/>
      <c r="FK101" s="142"/>
      <c r="FL101" s="142"/>
      <c r="FM101" s="142"/>
      <c r="FN101" s="142"/>
      <c r="FO101" s="142"/>
      <c r="FP101" s="142"/>
      <c r="FQ101" s="142"/>
      <c r="FR101" s="142"/>
      <c r="FS101" s="142"/>
      <c r="FT101" s="142"/>
      <c r="FU101" s="142"/>
      <c r="FV101" s="142"/>
      <c r="FW101" s="142"/>
      <c r="FX101" s="142"/>
      <c r="FY101" s="142"/>
      <c r="FZ101" s="142"/>
      <c r="GA101" s="142"/>
      <c r="GB101" s="142"/>
      <c r="GC101" s="142"/>
      <c r="GD101" s="142"/>
      <c r="GE101" s="142"/>
      <c r="GF101" s="142"/>
      <c r="GG101" s="142"/>
      <c r="GH101" s="142"/>
      <c r="GI101" s="142"/>
      <c r="GJ101" s="142"/>
      <c r="GK101" s="142"/>
      <c r="GL101" s="142"/>
      <c r="GM101" s="142"/>
      <c r="GN101" s="142"/>
      <c r="GO101" s="142"/>
      <c r="GP101" s="142"/>
      <c r="GQ101" s="142"/>
      <c r="GR101" s="142"/>
      <c r="GS101" s="142"/>
      <c r="GT101" s="142"/>
      <c r="GU101" s="142"/>
      <c r="GV101" s="142"/>
      <c r="GW101" s="142"/>
      <c r="GX101" s="142"/>
      <c r="GY101" s="142"/>
      <c r="GZ101" s="142"/>
      <c r="HA101" s="142"/>
      <c r="HB101" s="142"/>
      <c r="HC101" s="142"/>
      <c r="HD101" s="142"/>
      <c r="HE101" s="142"/>
      <c r="HF101" s="142"/>
      <c r="HG101" s="142"/>
      <c r="HH101" s="142"/>
      <c r="HI101" s="142"/>
      <c r="HJ101" s="142"/>
      <c r="HK101" s="142"/>
      <c r="HL101" s="142"/>
      <c r="HM101" s="142"/>
      <c r="HN101" s="142"/>
      <c r="HO101" s="142"/>
      <c r="HP101" s="142"/>
      <c r="HQ101" s="142"/>
      <c r="HR101" s="142"/>
      <c r="HS101" s="142"/>
      <c r="HT101" s="142"/>
      <c r="HU101" s="142"/>
      <c r="HV101" s="142"/>
      <c r="HW101" s="142"/>
      <c r="HX101" s="142"/>
      <c r="HY101" s="142"/>
      <c r="HZ101" s="142"/>
      <c r="IA101" s="142"/>
      <c r="IB101" s="142"/>
      <c r="IC101" s="142"/>
      <c r="ID101" s="142"/>
      <c r="IE101" s="142"/>
      <c r="IF101" s="142"/>
      <c r="IG101" s="142"/>
      <c r="IH101" s="142"/>
      <c r="II101" s="142"/>
      <c r="IJ101" s="142"/>
      <c r="IK101" s="142"/>
      <c r="IL101" s="142"/>
      <c r="IM101" s="142"/>
      <c r="IN101" s="142"/>
      <c r="IO101" s="142"/>
      <c r="IP101" s="142"/>
      <c r="IQ101" s="142"/>
      <c r="IR101" s="142"/>
      <c r="IS101" s="142"/>
      <c r="IT101" s="142"/>
      <c r="IU101" s="142"/>
      <c r="IV101" s="142"/>
    </row>
    <row r="102" spans="1:256" s="194" customFormat="1" x14ac:dyDescent="0.25">
      <c r="A102" s="148" t="s">
        <v>4739</v>
      </c>
      <c r="B102" s="150">
        <v>828.36199999999997</v>
      </c>
      <c r="C102" s="432">
        <v>497.22800000000001</v>
      </c>
      <c r="D102" s="146">
        <f t="shared" si="6"/>
        <v>1.0024657009505953</v>
      </c>
      <c r="E102" s="146">
        <f t="shared" si="3"/>
        <v>1.0017472544818329</v>
      </c>
      <c r="F102" s="432">
        <v>640.97900000000004</v>
      </c>
      <c r="G102" s="146">
        <f t="shared" si="2"/>
        <v>1.0040741090154357</v>
      </c>
      <c r="H102" s="432">
        <v>691.79200000000003</v>
      </c>
      <c r="I102" s="142"/>
      <c r="J102" s="142"/>
      <c r="K102" s="142"/>
      <c r="L102" s="142"/>
      <c r="M102" s="142"/>
      <c r="N102" s="142"/>
      <c r="O102" s="142"/>
      <c r="P102" s="142"/>
      <c r="Q102" s="142"/>
      <c r="R102" s="142"/>
      <c r="S102" s="142"/>
      <c r="T102" s="142"/>
      <c r="U102" s="142"/>
      <c r="V102" s="142"/>
      <c r="W102" s="142"/>
      <c r="X102" s="142"/>
      <c r="Y102" s="142"/>
      <c r="Z102" s="142"/>
      <c r="AA102" s="142"/>
      <c r="AB102" s="142"/>
      <c r="AC102" s="142"/>
      <c r="AD102" s="142"/>
      <c r="AE102" s="142"/>
      <c r="AF102" s="142"/>
      <c r="AG102" s="142"/>
      <c r="AH102" s="142"/>
      <c r="AI102" s="142"/>
      <c r="AJ102" s="142"/>
      <c r="AK102" s="142"/>
      <c r="AL102" s="142"/>
      <c r="AM102" s="142"/>
      <c r="AN102" s="142"/>
      <c r="AO102" s="142"/>
      <c r="AP102" s="142"/>
      <c r="AQ102" s="142"/>
      <c r="AR102" s="142"/>
      <c r="AS102" s="142"/>
      <c r="AT102" s="142"/>
      <c r="AU102" s="142"/>
      <c r="AV102" s="142"/>
      <c r="AW102" s="142"/>
      <c r="AX102" s="142"/>
      <c r="AY102" s="142"/>
      <c r="AZ102" s="142"/>
      <c r="BA102" s="142"/>
      <c r="BB102" s="142"/>
      <c r="BC102" s="142"/>
      <c r="BD102" s="142"/>
      <c r="BE102" s="142"/>
      <c r="BF102" s="142"/>
      <c r="BG102" s="142"/>
      <c r="BH102" s="142"/>
      <c r="BI102" s="142"/>
      <c r="BJ102" s="142"/>
      <c r="BK102" s="142"/>
      <c r="BL102" s="142"/>
      <c r="BM102" s="142"/>
      <c r="BN102" s="142"/>
      <c r="BO102" s="142"/>
      <c r="BP102" s="142"/>
      <c r="BQ102" s="142"/>
      <c r="BR102" s="142"/>
      <c r="BS102" s="142"/>
      <c r="BT102" s="142"/>
      <c r="BU102" s="142"/>
      <c r="BV102" s="142"/>
      <c r="BW102" s="142"/>
      <c r="BX102" s="142"/>
      <c r="BY102" s="142"/>
      <c r="BZ102" s="142"/>
      <c r="CA102" s="142"/>
      <c r="CB102" s="142"/>
      <c r="CC102" s="142"/>
      <c r="CD102" s="142"/>
      <c r="CE102" s="142"/>
      <c r="CF102" s="142"/>
      <c r="CG102" s="142"/>
      <c r="CH102" s="142"/>
      <c r="CI102" s="142"/>
      <c r="CJ102" s="142"/>
      <c r="CK102" s="142"/>
      <c r="CL102" s="142"/>
      <c r="CM102" s="142"/>
      <c r="CN102" s="142"/>
      <c r="CO102" s="142"/>
      <c r="CP102" s="142"/>
      <c r="CQ102" s="142"/>
      <c r="CR102" s="142"/>
      <c r="CS102" s="142"/>
      <c r="CT102" s="142"/>
      <c r="CU102" s="142"/>
      <c r="CV102" s="142"/>
      <c r="CW102" s="142"/>
      <c r="CX102" s="142"/>
      <c r="CY102" s="142"/>
      <c r="CZ102" s="142"/>
      <c r="DA102" s="142"/>
      <c r="DB102" s="142"/>
      <c r="DC102" s="142"/>
      <c r="DD102" s="142"/>
      <c r="DE102" s="142"/>
      <c r="DF102" s="142"/>
      <c r="DG102" s="142"/>
      <c r="DH102" s="142"/>
      <c r="DI102" s="142"/>
      <c r="DJ102" s="142"/>
      <c r="DK102" s="142"/>
      <c r="DL102" s="142"/>
      <c r="DM102" s="142"/>
      <c r="DN102" s="142"/>
      <c r="DO102" s="142"/>
      <c r="DP102" s="142"/>
      <c r="DQ102" s="142"/>
      <c r="DR102" s="142"/>
      <c r="DS102" s="142"/>
      <c r="DT102" s="142"/>
      <c r="DU102" s="142"/>
      <c r="DV102" s="142"/>
      <c r="DW102" s="142"/>
      <c r="DX102" s="142"/>
      <c r="DY102" s="142"/>
      <c r="DZ102" s="142"/>
      <c r="EA102" s="142"/>
      <c r="EB102" s="142"/>
      <c r="EC102" s="142"/>
      <c r="ED102" s="142"/>
      <c r="EE102" s="142"/>
      <c r="EF102" s="142"/>
      <c r="EG102" s="142"/>
      <c r="EH102" s="142"/>
      <c r="EI102" s="142"/>
      <c r="EJ102" s="142"/>
      <c r="EK102" s="142"/>
      <c r="EL102" s="142"/>
      <c r="EM102" s="142"/>
      <c r="EN102" s="142"/>
      <c r="EO102" s="142"/>
      <c r="EP102" s="142"/>
      <c r="EQ102" s="142"/>
      <c r="ER102" s="142"/>
      <c r="ES102" s="142"/>
      <c r="ET102" s="142"/>
      <c r="EU102" s="142"/>
      <c r="EV102" s="142"/>
      <c r="EW102" s="142"/>
      <c r="EX102" s="142"/>
      <c r="EY102" s="142"/>
      <c r="EZ102" s="142"/>
      <c r="FA102" s="142"/>
      <c r="FB102" s="142"/>
      <c r="FC102" s="142"/>
      <c r="FD102" s="142"/>
      <c r="FE102" s="142"/>
      <c r="FF102" s="142"/>
      <c r="FG102" s="142"/>
      <c r="FH102" s="142"/>
      <c r="FI102" s="142"/>
      <c r="FJ102" s="142"/>
      <c r="FK102" s="142"/>
      <c r="FL102" s="142"/>
      <c r="FM102" s="142"/>
      <c r="FN102" s="142"/>
      <c r="FO102" s="142"/>
      <c r="FP102" s="142"/>
      <c r="FQ102" s="142"/>
      <c r="FR102" s="142"/>
      <c r="FS102" s="142"/>
      <c r="FT102" s="142"/>
      <c r="FU102" s="142"/>
      <c r="FV102" s="142"/>
      <c r="FW102" s="142"/>
      <c r="FX102" s="142"/>
      <c r="FY102" s="142"/>
      <c r="FZ102" s="142"/>
      <c r="GA102" s="142"/>
      <c r="GB102" s="142"/>
      <c r="GC102" s="142"/>
      <c r="GD102" s="142"/>
      <c r="GE102" s="142"/>
      <c r="GF102" s="142"/>
      <c r="GG102" s="142"/>
      <c r="GH102" s="142"/>
      <c r="GI102" s="142"/>
      <c r="GJ102" s="142"/>
      <c r="GK102" s="142"/>
      <c r="GL102" s="142"/>
      <c r="GM102" s="142"/>
      <c r="GN102" s="142"/>
      <c r="GO102" s="142"/>
      <c r="GP102" s="142"/>
      <c r="GQ102" s="142"/>
      <c r="GR102" s="142"/>
      <c r="GS102" s="142"/>
      <c r="GT102" s="142"/>
      <c r="GU102" s="142"/>
      <c r="GV102" s="142"/>
      <c r="GW102" s="142"/>
      <c r="GX102" s="142"/>
      <c r="GY102" s="142"/>
      <c r="GZ102" s="142"/>
      <c r="HA102" s="142"/>
      <c r="HB102" s="142"/>
      <c r="HC102" s="142"/>
      <c r="HD102" s="142"/>
      <c r="HE102" s="142"/>
      <c r="HF102" s="142"/>
      <c r="HG102" s="142"/>
      <c r="HH102" s="142"/>
      <c r="HI102" s="142"/>
      <c r="HJ102" s="142"/>
      <c r="HK102" s="142"/>
      <c r="HL102" s="142"/>
      <c r="HM102" s="142"/>
      <c r="HN102" s="142"/>
      <c r="HO102" s="142"/>
      <c r="HP102" s="142"/>
      <c r="HQ102" s="142"/>
      <c r="HR102" s="142"/>
      <c r="HS102" s="142"/>
      <c r="HT102" s="142"/>
      <c r="HU102" s="142"/>
      <c r="HV102" s="142"/>
      <c r="HW102" s="142"/>
      <c r="HX102" s="142"/>
      <c r="HY102" s="142"/>
      <c r="HZ102" s="142"/>
      <c r="IA102" s="142"/>
      <c r="IB102" s="142"/>
      <c r="IC102" s="142"/>
      <c r="ID102" s="142"/>
      <c r="IE102" s="142"/>
      <c r="IF102" s="142"/>
      <c r="IG102" s="142"/>
      <c r="IH102" s="142"/>
      <c r="II102" s="142"/>
      <c r="IJ102" s="142"/>
      <c r="IK102" s="142"/>
      <c r="IL102" s="142"/>
      <c r="IM102" s="142"/>
      <c r="IN102" s="142"/>
      <c r="IO102" s="142"/>
      <c r="IP102" s="142"/>
      <c r="IQ102" s="142"/>
      <c r="IR102" s="142"/>
      <c r="IS102" s="142"/>
      <c r="IT102" s="142"/>
      <c r="IU102" s="142"/>
      <c r="IV102" s="142"/>
    </row>
    <row r="103" spans="1:256" s="194" customFormat="1" x14ac:dyDescent="0.25">
      <c r="A103" s="148" t="s">
        <v>4740</v>
      </c>
      <c r="B103" s="150">
        <v>828.83399999999995</v>
      </c>
      <c r="C103" s="432">
        <v>498.577</v>
      </c>
      <c r="D103" s="146">
        <f t="shared" si="6"/>
        <v>1.0027130410998575</v>
      </c>
      <c r="E103" s="146">
        <f t="shared" si="3"/>
        <v>1.001539832038179</v>
      </c>
      <c r="F103" s="432">
        <v>641.96600000000001</v>
      </c>
      <c r="G103" s="146">
        <f t="shared" si="2"/>
        <v>1.0065366468533894</v>
      </c>
      <c r="H103" s="432">
        <v>696.31399999999996</v>
      </c>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c r="BU103" s="142"/>
      <c r="BV103" s="142"/>
      <c r="BW103" s="142"/>
      <c r="BX103" s="142"/>
      <c r="BY103" s="142"/>
      <c r="BZ103" s="142"/>
      <c r="CA103" s="142"/>
      <c r="CB103" s="142"/>
      <c r="CC103" s="142"/>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42"/>
      <c r="EY103" s="142"/>
      <c r="EZ103" s="142"/>
      <c r="FA103" s="142"/>
      <c r="FB103" s="142"/>
      <c r="FC103" s="142"/>
      <c r="FD103" s="142"/>
      <c r="FE103" s="142"/>
      <c r="FF103" s="142"/>
      <c r="FG103" s="142"/>
      <c r="FH103" s="142"/>
      <c r="FI103" s="142"/>
      <c r="FJ103" s="142"/>
      <c r="FK103" s="142"/>
      <c r="FL103" s="142"/>
      <c r="FM103" s="142"/>
      <c r="FN103" s="142"/>
      <c r="FO103" s="142"/>
      <c r="FP103" s="142"/>
      <c r="FQ103" s="142"/>
      <c r="FR103" s="142"/>
      <c r="FS103" s="142"/>
      <c r="FT103" s="142"/>
      <c r="FU103" s="142"/>
      <c r="FV103" s="142"/>
      <c r="FW103" s="142"/>
      <c r="FX103" s="142"/>
      <c r="FY103" s="142"/>
      <c r="FZ103" s="142"/>
      <c r="GA103" s="142"/>
      <c r="GB103" s="142"/>
      <c r="GC103" s="142"/>
      <c r="GD103" s="142"/>
      <c r="GE103" s="142"/>
      <c r="GF103" s="142"/>
      <c r="GG103" s="142"/>
      <c r="GH103" s="142"/>
      <c r="GI103" s="142"/>
      <c r="GJ103" s="142"/>
      <c r="GK103" s="142"/>
      <c r="GL103" s="142"/>
      <c r="GM103" s="142"/>
      <c r="GN103" s="142"/>
      <c r="GO103" s="142"/>
      <c r="GP103" s="142"/>
      <c r="GQ103" s="142"/>
      <c r="GR103" s="142"/>
      <c r="GS103" s="142"/>
      <c r="GT103" s="142"/>
      <c r="GU103" s="142"/>
      <c r="GV103" s="142"/>
      <c r="GW103" s="142"/>
      <c r="GX103" s="142"/>
      <c r="GY103" s="142"/>
      <c r="GZ103" s="142"/>
      <c r="HA103" s="142"/>
      <c r="HB103" s="142"/>
      <c r="HC103" s="142"/>
      <c r="HD103" s="142"/>
      <c r="HE103" s="142"/>
      <c r="HF103" s="142"/>
      <c r="HG103" s="142"/>
      <c r="HH103" s="142"/>
      <c r="HI103" s="142"/>
      <c r="HJ103" s="142"/>
      <c r="HK103" s="142"/>
      <c r="HL103" s="142"/>
      <c r="HM103" s="142"/>
      <c r="HN103" s="142"/>
      <c r="HO103" s="142"/>
      <c r="HP103" s="142"/>
      <c r="HQ103" s="142"/>
      <c r="HR103" s="142"/>
      <c r="HS103" s="142"/>
      <c r="HT103" s="142"/>
      <c r="HU103" s="142"/>
      <c r="HV103" s="142"/>
      <c r="HW103" s="142"/>
      <c r="HX103" s="142"/>
      <c r="HY103" s="142"/>
      <c r="HZ103" s="142"/>
      <c r="IA103" s="142"/>
      <c r="IB103" s="142"/>
      <c r="IC103" s="142"/>
      <c r="ID103" s="142"/>
      <c r="IE103" s="142"/>
      <c r="IF103" s="142"/>
      <c r="IG103" s="142"/>
      <c r="IH103" s="142"/>
      <c r="II103" s="142"/>
      <c r="IJ103" s="142"/>
      <c r="IK103" s="142"/>
      <c r="IL103" s="142"/>
      <c r="IM103" s="142"/>
      <c r="IN103" s="142"/>
      <c r="IO103" s="142"/>
      <c r="IP103" s="142"/>
      <c r="IQ103" s="142"/>
      <c r="IR103" s="142"/>
      <c r="IS103" s="142"/>
      <c r="IT103" s="142"/>
      <c r="IU103" s="142"/>
      <c r="IV103" s="142"/>
    </row>
    <row r="104" spans="1:256" s="194" customFormat="1" x14ac:dyDescent="0.25">
      <c r="A104" s="148" t="s">
        <v>4741</v>
      </c>
      <c r="B104" s="150">
        <v>828.83399999999995</v>
      </c>
      <c r="C104" s="432">
        <v>497.13600000000002</v>
      </c>
      <c r="D104" s="146">
        <f t="shared" si="6"/>
        <v>0.99710977441799364</v>
      </c>
      <c r="E104" s="146">
        <f t="shared" si="3"/>
        <v>0.99868840405878201</v>
      </c>
      <c r="F104" s="432">
        <v>641.12400000000002</v>
      </c>
      <c r="G104" s="146">
        <f t="shared" si="2"/>
        <v>1.0015740025333399</v>
      </c>
      <c r="H104" s="432">
        <v>697.41</v>
      </c>
      <c r="I104" s="142"/>
      <c r="J104" s="142"/>
      <c r="K104" s="142"/>
      <c r="L104" s="142"/>
      <c r="M104" s="142"/>
      <c r="N104" s="142"/>
      <c r="O104" s="142"/>
      <c r="P104" s="142"/>
      <c r="Q104" s="142"/>
      <c r="R104" s="142"/>
      <c r="S104" s="142"/>
      <c r="T104" s="142"/>
      <c r="U104" s="142"/>
      <c r="V104" s="142"/>
      <c r="W104" s="142"/>
      <c r="X104" s="142"/>
      <c r="Y104" s="142"/>
      <c r="Z104" s="142"/>
      <c r="AA104" s="142"/>
      <c r="AB104" s="142"/>
      <c r="AC104" s="142"/>
      <c r="AD104" s="142"/>
      <c r="AE104" s="142"/>
      <c r="AF104" s="142"/>
      <c r="AG104" s="142"/>
      <c r="AH104" s="142"/>
      <c r="AI104" s="142"/>
      <c r="AJ104" s="142"/>
      <c r="AK104" s="142"/>
      <c r="AL104" s="142"/>
      <c r="AM104" s="142"/>
      <c r="AN104" s="142"/>
      <c r="AO104" s="142"/>
      <c r="AP104" s="142"/>
      <c r="AQ104" s="142"/>
      <c r="AR104" s="142"/>
      <c r="AS104" s="142"/>
      <c r="AT104" s="142"/>
      <c r="AU104" s="142"/>
      <c r="AV104" s="142"/>
      <c r="AW104" s="142"/>
      <c r="AX104" s="142"/>
      <c r="AY104" s="142"/>
      <c r="AZ104" s="142"/>
      <c r="BA104" s="142"/>
      <c r="BB104" s="142"/>
      <c r="BC104" s="142"/>
      <c r="BD104" s="142"/>
      <c r="BE104" s="142"/>
      <c r="BF104" s="142"/>
      <c r="BG104" s="142"/>
      <c r="BH104" s="142"/>
      <c r="BI104" s="142"/>
      <c r="BJ104" s="142"/>
      <c r="BK104" s="142"/>
      <c r="BL104" s="142"/>
      <c r="BM104" s="142"/>
      <c r="BN104" s="142"/>
      <c r="BO104" s="142"/>
      <c r="BP104" s="142"/>
      <c r="BQ104" s="142"/>
      <c r="BR104" s="142"/>
      <c r="BS104" s="142"/>
      <c r="BT104" s="142"/>
      <c r="BU104" s="142"/>
      <c r="BV104" s="142"/>
      <c r="BW104" s="142"/>
      <c r="BX104" s="142"/>
      <c r="BY104" s="142"/>
      <c r="BZ104" s="142"/>
      <c r="CA104" s="142"/>
      <c r="CB104" s="142"/>
      <c r="CC104" s="142"/>
      <c r="CD104" s="142"/>
      <c r="CE104" s="142"/>
      <c r="CF104" s="142"/>
      <c r="CG104" s="142"/>
      <c r="CH104" s="142"/>
      <c r="CI104" s="142"/>
      <c r="CJ104" s="142"/>
      <c r="CK104" s="142"/>
      <c r="CL104" s="142"/>
      <c r="CM104" s="142"/>
      <c r="CN104" s="142"/>
      <c r="CO104" s="142"/>
      <c r="CP104" s="142"/>
      <c r="CQ104" s="142"/>
      <c r="CR104" s="142"/>
      <c r="CS104" s="142"/>
      <c r="CT104" s="142"/>
      <c r="CU104" s="142"/>
      <c r="CV104" s="142"/>
      <c r="CW104" s="142"/>
      <c r="CX104" s="142"/>
      <c r="CY104" s="142"/>
      <c r="CZ104" s="142"/>
      <c r="DA104" s="142"/>
      <c r="DB104" s="142"/>
      <c r="DC104" s="142"/>
      <c r="DD104" s="142"/>
      <c r="DE104" s="142"/>
      <c r="DF104" s="142"/>
      <c r="DG104" s="142"/>
      <c r="DH104" s="142"/>
      <c r="DI104" s="142"/>
      <c r="DJ104" s="142"/>
      <c r="DK104" s="142"/>
      <c r="DL104" s="142"/>
      <c r="DM104" s="142"/>
      <c r="DN104" s="142"/>
      <c r="DO104" s="142"/>
      <c r="DP104" s="142"/>
      <c r="DQ104" s="142"/>
      <c r="DR104" s="142"/>
      <c r="DS104" s="142"/>
      <c r="DT104" s="142"/>
      <c r="DU104" s="142"/>
      <c r="DV104" s="142"/>
      <c r="DW104" s="142"/>
      <c r="DX104" s="142"/>
      <c r="DY104" s="142"/>
      <c r="DZ104" s="142"/>
      <c r="EA104" s="142"/>
      <c r="EB104" s="142"/>
      <c r="EC104" s="142"/>
      <c r="ED104" s="142"/>
      <c r="EE104" s="142"/>
      <c r="EF104" s="142"/>
      <c r="EG104" s="142"/>
      <c r="EH104" s="142"/>
      <c r="EI104" s="142"/>
      <c r="EJ104" s="142"/>
      <c r="EK104" s="142"/>
      <c r="EL104" s="142"/>
      <c r="EM104" s="142"/>
      <c r="EN104" s="142"/>
      <c r="EO104" s="142"/>
      <c r="EP104" s="142"/>
      <c r="EQ104" s="142"/>
      <c r="ER104" s="142"/>
      <c r="ES104" s="142"/>
      <c r="ET104" s="142"/>
      <c r="EU104" s="142"/>
      <c r="EV104" s="142"/>
      <c r="EW104" s="142"/>
      <c r="EX104" s="142"/>
      <c r="EY104" s="142"/>
      <c r="EZ104" s="142"/>
      <c r="FA104" s="142"/>
      <c r="FB104" s="142"/>
      <c r="FC104" s="142"/>
      <c r="FD104" s="142"/>
      <c r="FE104" s="142"/>
      <c r="FF104" s="142"/>
      <c r="FG104" s="142"/>
      <c r="FH104" s="142"/>
      <c r="FI104" s="142"/>
      <c r="FJ104" s="142"/>
      <c r="FK104" s="142"/>
      <c r="FL104" s="142"/>
      <c r="FM104" s="142"/>
      <c r="FN104" s="142"/>
      <c r="FO104" s="142"/>
      <c r="FP104" s="142"/>
      <c r="FQ104" s="142"/>
      <c r="FR104" s="142"/>
      <c r="FS104" s="142"/>
      <c r="FT104" s="142"/>
      <c r="FU104" s="142"/>
      <c r="FV104" s="142"/>
      <c r="FW104" s="142"/>
      <c r="FX104" s="142"/>
      <c r="FY104" s="142"/>
      <c r="FZ104" s="142"/>
      <c r="GA104" s="142"/>
      <c r="GB104" s="142"/>
      <c r="GC104" s="142"/>
      <c r="GD104" s="142"/>
      <c r="GE104" s="142"/>
      <c r="GF104" s="142"/>
      <c r="GG104" s="142"/>
      <c r="GH104" s="142"/>
      <c r="GI104" s="142"/>
      <c r="GJ104" s="142"/>
      <c r="GK104" s="142"/>
      <c r="GL104" s="142"/>
      <c r="GM104" s="142"/>
      <c r="GN104" s="142"/>
      <c r="GO104" s="142"/>
      <c r="GP104" s="142"/>
      <c r="GQ104" s="142"/>
      <c r="GR104" s="142"/>
      <c r="GS104" s="142"/>
      <c r="GT104" s="142"/>
      <c r="GU104" s="142"/>
      <c r="GV104" s="142"/>
      <c r="GW104" s="142"/>
      <c r="GX104" s="142"/>
      <c r="GY104" s="142"/>
      <c r="GZ104" s="142"/>
      <c r="HA104" s="142"/>
      <c r="HB104" s="142"/>
      <c r="HC104" s="142"/>
      <c r="HD104" s="142"/>
      <c r="HE104" s="142"/>
      <c r="HF104" s="142"/>
      <c r="HG104" s="142"/>
      <c r="HH104" s="142"/>
      <c r="HI104" s="142"/>
      <c r="HJ104" s="142"/>
      <c r="HK104" s="142"/>
      <c r="HL104" s="142"/>
      <c r="HM104" s="142"/>
      <c r="HN104" s="142"/>
      <c r="HO104" s="142"/>
      <c r="HP104" s="142"/>
      <c r="HQ104" s="142"/>
      <c r="HR104" s="142"/>
      <c r="HS104" s="142"/>
      <c r="HT104" s="142"/>
      <c r="HU104" s="142"/>
      <c r="HV104" s="142"/>
      <c r="HW104" s="142"/>
      <c r="HX104" s="142"/>
      <c r="HY104" s="142"/>
      <c r="HZ104" s="142"/>
      <c r="IA104" s="142"/>
      <c r="IB104" s="142"/>
      <c r="IC104" s="142"/>
      <c r="ID104" s="142"/>
      <c r="IE104" s="142"/>
      <c r="IF104" s="142"/>
      <c r="IG104" s="142"/>
      <c r="IH104" s="142"/>
      <c r="II104" s="142"/>
      <c r="IJ104" s="142"/>
      <c r="IK104" s="142"/>
      <c r="IL104" s="142"/>
      <c r="IM104" s="142"/>
      <c r="IN104" s="142"/>
      <c r="IO104" s="142"/>
      <c r="IP104" s="142"/>
      <c r="IQ104" s="142"/>
      <c r="IR104" s="142"/>
      <c r="IS104" s="142"/>
      <c r="IT104" s="142"/>
      <c r="IU104" s="142"/>
      <c r="IV104" s="142"/>
    </row>
    <row r="105" spans="1:256" s="194" customFormat="1" x14ac:dyDescent="0.25">
      <c r="A105" s="148" t="s">
        <v>4742</v>
      </c>
      <c r="B105" s="150">
        <v>828.83399999999995</v>
      </c>
      <c r="C105" s="432">
        <v>496.137</v>
      </c>
      <c r="D105" s="146">
        <f t="shared" si="6"/>
        <v>0.99799048952399338</v>
      </c>
      <c r="E105" s="146">
        <f t="shared" si="3"/>
        <v>0.99909065952920184</v>
      </c>
      <c r="F105" s="432">
        <v>640.54100000000005</v>
      </c>
      <c r="G105" s="146">
        <f t="shared" si="2"/>
        <v>0.9997619764557435</v>
      </c>
      <c r="H105" s="432">
        <v>697.24400000000003</v>
      </c>
      <c r="I105" s="142"/>
      <c r="J105" s="142"/>
      <c r="K105" s="142"/>
      <c r="L105" s="142"/>
      <c r="M105" s="142"/>
      <c r="N105" s="142"/>
      <c r="O105" s="142"/>
      <c r="P105" s="142"/>
      <c r="Q105" s="142"/>
      <c r="R105" s="142"/>
      <c r="S105" s="142"/>
      <c r="T105" s="142"/>
      <c r="U105" s="142"/>
      <c r="V105" s="142"/>
      <c r="W105" s="142"/>
      <c r="X105" s="142"/>
      <c r="Y105" s="142"/>
      <c r="Z105" s="142"/>
      <c r="AA105" s="142"/>
      <c r="AB105" s="142"/>
      <c r="AC105" s="142"/>
      <c r="AD105" s="142"/>
      <c r="AE105" s="142"/>
      <c r="AF105" s="142"/>
      <c r="AG105" s="142"/>
      <c r="AH105" s="142"/>
      <c r="AI105" s="142"/>
      <c r="AJ105" s="142"/>
      <c r="AK105" s="142"/>
      <c r="AL105" s="142"/>
      <c r="AM105" s="142"/>
      <c r="AN105" s="142"/>
      <c r="AO105" s="142"/>
      <c r="AP105" s="142"/>
      <c r="AQ105" s="142"/>
      <c r="AR105" s="142"/>
      <c r="AS105" s="142"/>
      <c r="AT105" s="142"/>
      <c r="AU105" s="142"/>
      <c r="AV105" s="142"/>
      <c r="AW105" s="142"/>
      <c r="AX105" s="142"/>
      <c r="AY105" s="142"/>
      <c r="AZ105" s="142"/>
      <c r="BA105" s="142"/>
      <c r="BB105" s="142"/>
      <c r="BC105" s="142"/>
      <c r="BD105" s="142"/>
      <c r="BE105" s="142"/>
      <c r="BF105" s="142"/>
      <c r="BG105" s="142"/>
      <c r="BH105" s="142"/>
      <c r="BI105" s="142"/>
      <c r="BJ105" s="142"/>
      <c r="BK105" s="142"/>
      <c r="BL105" s="142"/>
      <c r="BM105" s="142"/>
      <c r="BN105" s="142"/>
      <c r="BO105" s="142"/>
      <c r="BP105" s="142"/>
      <c r="BQ105" s="142"/>
      <c r="BR105" s="142"/>
      <c r="BS105" s="142"/>
      <c r="BT105" s="142"/>
      <c r="BU105" s="142"/>
      <c r="BV105" s="142"/>
      <c r="BW105" s="142"/>
      <c r="BX105" s="142"/>
      <c r="BY105" s="142"/>
      <c r="BZ105" s="142"/>
      <c r="CA105" s="142"/>
      <c r="CB105" s="142"/>
      <c r="CC105" s="142"/>
      <c r="CD105" s="142"/>
      <c r="CE105" s="142"/>
      <c r="CF105" s="142"/>
      <c r="CG105" s="142"/>
      <c r="CH105" s="142"/>
      <c r="CI105" s="142"/>
      <c r="CJ105" s="142"/>
      <c r="CK105" s="142"/>
      <c r="CL105" s="142"/>
      <c r="CM105" s="142"/>
      <c r="CN105" s="142"/>
      <c r="CO105" s="142"/>
      <c r="CP105" s="142"/>
      <c r="CQ105" s="142"/>
      <c r="CR105" s="142"/>
      <c r="CS105" s="142"/>
      <c r="CT105" s="142"/>
      <c r="CU105" s="142"/>
      <c r="CV105" s="142"/>
      <c r="CW105" s="142"/>
      <c r="CX105" s="142"/>
      <c r="CY105" s="142"/>
      <c r="CZ105" s="142"/>
      <c r="DA105" s="142"/>
      <c r="DB105" s="142"/>
      <c r="DC105" s="142"/>
      <c r="DD105" s="142"/>
      <c r="DE105" s="142"/>
      <c r="DF105" s="142"/>
      <c r="DG105" s="142"/>
      <c r="DH105" s="142"/>
      <c r="DI105" s="142"/>
      <c r="DJ105" s="142"/>
      <c r="DK105" s="142"/>
      <c r="DL105" s="142"/>
      <c r="DM105" s="142"/>
      <c r="DN105" s="142"/>
      <c r="DO105" s="142"/>
      <c r="DP105" s="142"/>
      <c r="DQ105" s="142"/>
      <c r="DR105" s="142"/>
      <c r="DS105" s="142"/>
      <c r="DT105" s="142"/>
      <c r="DU105" s="142"/>
      <c r="DV105" s="142"/>
      <c r="DW105" s="142"/>
      <c r="DX105" s="142"/>
      <c r="DY105" s="142"/>
      <c r="DZ105" s="142"/>
      <c r="EA105" s="142"/>
      <c r="EB105" s="142"/>
      <c r="EC105" s="142"/>
      <c r="ED105" s="142"/>
      <c r="EE105" s="142"/>
      <c r="EF105" s="142"/>
      <c r="EG105" s="142"/>
      <c r="EH105" s="142"/>
      <c r="EI105" s="142"/>
      <c r="EJ105" s="142"/>
      <c r="EK105" s="142"/>
      <c r="EL105" s="142"/>
      <c r="EM105" s="142"/>
      <c r="EN105" s="142"/>
      <c r="EO105" s="142"/>
      <c r="EP105" s="142"/>
      <c r="EQ105" s="142"/>
      <c r="ER105" s="142"/>
      <c r="ES105" s="142"/>
      <c r="ET105" s="142"/>
      <c r="EU105" s="142"/>
      <c r="EV105" s="142"/>
      <c r="EW105" s="142"/>
      <c r="EX105" s="142"/>
      <c r="EY105" s="142"/>
      <c r="EZ105" s="142"/>
      <c r="FA105" s="142"/>
      <c r="FB105" s="142"/>
      <c r="FC105" s="142"/>
      <c r="FD105" s="142"/>
      <c r="FE105" s="142"/>
      <c r="FF105" s="142"/>
      <c r="FG105" s="142"/>
      <c r="FH105" s="142"/>
      <c r="FI105" s="142"/>
      <c r="FJ105" s="142"/>
      <c r="FK105" s="142"/>
      <c r="FL105" s="142"/>
      <c r="FM105" s="142"/>
      <c r="FN105" s="142"/>
      <c r="FO105" s="142"/>
      <c r="FP105" s="142"/>
      <c r="FQ105" s="142"/>
      <c r="FR105" s="142"/>
      <c r="FS105" s="142"/>
      <c r="FT105" s="142"/>
      <c r="FU105" s="142"/>
      <c r="FV105" s="142"/>
      <c r="FW105" s="142"/>
      <c r="FX105" s="142"/>
      <c r="FY105" s="142"/>
      <c r="FZ105" s="142"/>
      <c r="GA105" s="142"/>
      <c r="GB105" s="142"/>
      <c r="GC105" s="142"/>
      <c r="GD105" s="142"/>
      <c r="GE105" s="142"/>
      <c r="GF105" s="142"/>
      <c r="GG105" s="142"/>
      <c r="GH105" s="142"/>
      <c r="GI105" s="142"/>
      <c r="GJ105" s="142"/>
      <c r="GK105" s="142"/>
      <c r="GL105" s="142"/>
      <c r="GM105" s="142"/>
      <c r="GN105" s="142"/>
      <c r="GO105" s="142"/>
      <c r="GP105" s="142"/>
      <c r="GQ105" s="142"/>
      <c r="GR105" s="142"/>
      <c r="GS105" s="142"/>
      <c r="GT105" s="142"/>
      <c r="GU105" s="142"/>
      <c r="GV105" s="142"/>
      <c r="GW105" s="142"/>
      <c r="GX105" s="142"/>
      <c r="GY105" s="142"/>
      <c r="GZ105" s="142"/>
      <c r="HA105" s="142"/>
      <c r="HB105" s="142"/>
      <c r="HC105" s="142"/>
      <c r="HD105" s="142"/>
      <c r="HE105" s="142"/>
      <c r="HF105" s="142"/>
      <c r="HG105" s="142"/>
      <c r="HH105" s="142"/>
      <c r="HI105" s="142"/>
      <c r="HJ105" s="142"/>
      <c r="HK105" s="142"/>
      <c r="HL105" s="142"/>
      <c r="HM105" s="142"/>
      <c r="HN105" s="142"/>
      <c r="HO105" s="142"/>
      <c r="HP105" s="142"/>
      <c r="HQ105" s="142"/>
      <c r="HR105" s="142"/>
      <c r="HS105" s="142"/>
      <c r="HT105" s="142"/>
      <c r="HU105" s="142"/>
      <c r="HV105" s="142"/>
      <c r="HW105" s="142"/>
      <c r="HX105" s="142"/>
      <c r="HY105" s="142"/>
      <c r="HZ105" s="142"/>
      <c r="IA105" s="142"/>
      <c r="IB105" s="142"/>
      <c r="IC105" s="142"/>
      <c r="ID105" s="142"/>
      <c r="IE105" s="142"/>
      <c r="IF105" s="142"/>
      <c r="IG105" s="142"/>
      <c r="IH105" s="142"/>
      <c r="II105" s="142"/>
      <c r="IJ105" s="142"/>
      <c r="IK105" s="142"/>
      <c r="IL105" s="142"/>
      <c r="IM105" s="142"/>
      <c r="IN105" s="142"/>
      <c r="IO105" s="142"/>
      <c r="IP105" s="142"/>
      <c r="IQ105" s="142"/>
      <c r="IR105" s="142"/>
      <c r="IS105" s="142"/>
      <c r="IT105" s="142"/>
      <c r="IU105" s="142"/>
      <c r="IV105" s="142"/>
    </row>
    <row r="106" spans="1:256" s="194" customFormat="1" x14ac:dyDescent="0.25">
      <c r="A106" s="148" t="s">
        <v>4743</v>
      </c>
      <c r="B106" s="150">
        <v>840.03</v>
      </c>
      <c r="C106" s="432">
        <v>497.161</v>
      </c>
      <c r="D106" s="146">
        <f t="shared" si="6"/>
        <v>1.0020639460471603</v>
      </c>
      <c r="E106" s="146">
        <f t="shared" si="3"/>
        <v>1.0083304581595869</v>
      </c>
      <c r="F106" s="432">
        <v>645.87699999999995</v>
      </c>
      <c r="G106" s="146">
        <f t="shared" si="2"/>
        <v>1.0063392442244035</v>
      </c>
      <c r="H106" s="432">
        <v>701.66399999999999</v>
      </c>
      <c r="I106" s="142"/>
      <c r="J106" s="142"/>
      <c r="K106" s="142"/>
      <c r="L106" s="142"/>
      <c r="M106" s="142"/>
      <c r="N106" s="142"/>
      <c r="O106" s="142"/>
      <c r="P106" s="142"/>
      <c r="Q106" s="142"/>
      <c r="R106" s="142"/>
      <c r="S106" s="142"/>
      <c r="T106" s="142"/>
      <c r="U106" s="142"/>
      <c r="V106" s="142"/>
      <c r="W106" s="142"/>
      <c r="X106" s="142"/>
      <c r="Y106" s="142"/>
      <c r="Z106" s="142"/>
      <c r="AA106" s="142"/>
      <c r="AB106" s="142"/>
      <c r="AC106" s="142"/>
      <c r="AD106" s="142"/>
      <c r="AE106" s="142"/>
      <c r="AF106" s="142"/>
      <c r="AG106" s="142"/>
      <c r="AH106" s="142"/>
      <c r="AI106" s="142"/>
      <c r="AJ106" s="142"/>
      <c r="AK106" s="142"/>
      <c r="AL106" s="142"/>
      <c r="AM106" s="142"/>
      <c r="AN106" s="142"/>
      <c r="AO106" s="142"/>
      <c r="AP106" s="142"/>
      <c r="AQ106" s="142"/>
      <c r="AR106" s="142"/>
      <c r="AS106" s="142"/>
      <c r="AT106" s="142"/>
      <c r="AU106" s="142"/>
      <c r="AV106" s="142"/>
      <c r="AW106" s="142"/>
      <c r="AX106" s="142"/>
      <c r="AY106" s="142"/>
      <c r="AZ106" s="142"/>
      <c r="BA106" s="142"/>
      <c r="BB106" s="142"/>
      <c r="BC106" s="142"/>
      <c r="BD106" s="142"/>
      <c r="BE106" s="142"/>
      <c r="BF106" s="142"/>
      <c r="BG106" s="142"/>
      <c r="BH106" s="142"/>
      <c r="BI106" s="142"/>
      <c r="BJ106" s="142"/>
      <c r="BK106" s="142"/>
      <c r="BL106" s="142"/>
      <c r="BM106" s="142"/>
      <c r="BN106" s="142"/>
      <c r="BO106" s="142"/>
      <c r="BP106" s="142"/>
      <c r="BQ106" s="142"/>
      <c r="BR106" s="142"/>
      <c r="BS106" s="142"/>
      <c r="BT106" s="142"/>
      <c r="BU106" s="142"/>
      <c r="BV106" s="142"/>
      <c r="BW106" s="142"/>
      <c r="BX106" s="142"/>
      <c r="BY106" s="142"/>
      <c r="BZ106" s="142"/>
      <c r="CA106" s="142"/>
      <c r="CB106" s="142"/>
      <c r="CC106" s="142"/>
      <c r="CD106" s="142"/>
      <c r="CE106" s="142"/>
      <c r="CF106" s="142"/>
      <c r="CG106" s="142"/>
      <c r="CH106" s="142"/>
      <c r="CI106" s="142"/>
      <c r="CJ106" s="142"/>
      <c r="CK106" s="142"/>
      <c r="CL106" s="142"/>
      <c r="CM106" s="142"/>
      <c r="CN106" s="142"/>
      <c r="CO106" s="142"/>
      <c r="CP106" s="142"/>
      <c r="CQ106" s="142"/>
      <c r="CR106" s="142"/>
      <c r="CS106" s="142"/>
      <c r="CT106" s="142"/>
      <c r="CU106" s="142"/>
      <c r="CV106" s="142"/>
      <c r="CW106" s="142"/>
      <c r="CX106" s="142"/>
      <c r="CY106" s="142"/>
      <c r="CZ106" s="142"/>
      <c r="DA106" s="142"/>
      <c r="DB106" s="142"/>
      <c r="DC106" s="142"/>
      <c r="DD106" s="142"/>
      <c r="DE106" s="142"/>
      <c r="DF106" s="142"/>
      <c r="DG106" s="142"/>
      <c r="DH106" s="142"/>
      <c r="DI106" s="142"/>
      <c r="DJ106" s="142"/>
      <c r="DK106" s="142"/>
      <c r="DL106" s="142"/>
      <c r="DM106" s="142"/>
      <c r="DN106" s="142"/>
      <c r="DO106" s="142"/>
      <c r="DP106" s="142"/>
      <c r="DQ106" s="142"/>
      <c r="DR106" s="142"/>
      <c r="DS106" s="142"/>
      <c r="DT106" s="142"/>
      <c r="DU106" s="142"/>
      <c r="DV106" s="142"/>
      <c r="DW106" s="142"/>
      <c r="DX106" s="142"/>
      <c r="DY106" s="142"/>
      <c r="DZ106" s="142"/>
      <c r="EA106" s="142"/>
      <c r="EB106" s="142"/>
      <c r="EC106" s="142"/>
      <c r="ED106" s="142"/>
      <c r="EE106" s="142"/>
      <c r="EF106" s="142"/>
      <c r="EG106" s="142"/>
      <c r="EH106" s="142"/>
      <c r="EI106" s="142"/>
      <c r="EJ106" s="142"/>
      <c r="EK106" s="142"/>
      <c r="EL106" s="142"/>
      <c r="EM106" s="142"/>
      <c r="EN106" s="142"/>
      <c r="EO106" s="142"/>
      <c r="EP106" s="142"/>
      <c r="EQ106" s="142"/>
      <c r="ER106" s="142"/>
      <c r="ES106" s="142"/>
      <c r="ET106" s="142"/>
      <c r="EU106" s="142"/>
      <c r="EV106" s="142"/>
      <c r="EW106" s="142"/>
      <c r="EX106" s="142"/>
      <c r="EY106" s="142"/>
      <c r="EZ106" s="142"/>
      <c r="FA106" s="142"/>
      <c r="FB106" s="142"/>
      <c r="FC106" s="142"/>
      <c r="FD106" s="142"/>
      <c r="FE106" s="142"/>
      <c r="FF106" s="142"/>
      <c r="FG106" s="142"/>
      <c r="FH106" s="142"/>
      <c r="FI106" s="142"/>
      <c r="FJ106" s="142"/>
      <c r="FK106" s="142"/>
      <c r="FL106" s="142"/>
      <c r="FM106" s="142"/>
      <c r="FN106" s="142"/>
      <c r="FO106" s="142"/>
      <c r="FP106" s="142"/>
      <c r="FQ106" s="142"/>
      <c r="FR106" s="142"/>
      <c r="FS106" s="142"/>
      <c r="FT106" s="142"/>
      <c r="FU106" s="142"/>
      <c r="FV106" s="142"/>
      <c r="FW106" s="142"/>
      <c r="FX106" s="142"/>
      <c r="FY106" s="142"/>
      <c r="FZ106" s="142"/>
      <c r="GA106" s="142"/>
      <c r="GB106" s="142"/>
      <c r="GC106" s="142"/>
      <c r="GD106" s="142"/>
      <c r="GE106" s="142"/>
      <c r="GF106" s="142"/>
      <c r="GG106" s="142"/>
      <c r="GH106" s="142"/>
      <c r="GI106" s="142"/>
      <c r="GJ106" s="142"/>
      <c r="GK106" s="142"/>
      <c r="GL106" s="142"/>
      <c r="GM106" s="142"/>
      <c r="GN106" s="142"/>
      <c r="GO106" s="142"/>
      <c r="GP106" s="142"/>
      <c r="GQ106" s="142"/>
      <c r="GR106" s="142"/>
      <c r="GS106" s="142"/>
      <c r="GT106" s="142"/>
      <c r="GU106" s="142"/>
      <c r="GV106" s="142"/>
      <c r="GW106" s="142"/>
      <c r="GX106" s="142"/>
      <c r="GY106" s="142"/>
      <c r="GZ106" s="142"/>
      <c r="HA106" s="142"/>
      <c r="HB106" s="142"/>
      <c r="HC106" s="142"/>
      <c r="HD106" s="142"/>
      <c r="HE106" s="142"/>
      <c r="HF106" s="142"/>
      <c r="HG106" s="142"/>
      <c r="HH106" s="142"/>
      <c r="HI106" s="142"/>
      <c r="HJ106" s="142"/>
      <c r="HK106" s="142"/>
      <c r="HL106" s="142"/>
      <c r="HM106" s="142"/>
      <c r="HN106" s="142"/>
      <c r="HO106" s="142"/>
      <c r="HP106" s="142"/>
      <c r="HQ106" s="142"/>
      <c r="HR106" s="142"/>
      <c r="HS106" s="142"/>
      <c r="HT106" s="142"/>
      <c r="HU106" s="142"/>
      <c r="HV106" s="142"/>
      <c r="HW106" s="142"/>
      <c r="HX106" s="142"/>
      <c r="HY106" s="142"/>
      <c r="HZ106" s="142"/>
      <c r="IA106" s="142"/>
      <c r="IB106" s="142"/>
      <c r="IC106" s="142"/>
      <c r="ID106" s="142"/>
      <c r="IE106" s="142"/>
      <c r="IF106" s="142"/>
      <c r="IG106" s="142"/>
      <c r="IH106" s="142"/>
      <c r="II106" s="142"/>
      <c r="IJ106" s="142"/>
      <c r="IK106" s="142"/>
      <c r="IL106" s="142"/>
      <c r="IM106" s="142"/>
      <c r="IN106" s="142"/>
      <c r="IO106" s="142"/>
      <c r="IP106" s="142"/>
      <c r="IQ106" s="142"/>
      <c r="IR106" s="142"/>
      <c r="IS106" s="142"/>
      <c r="IT106" s="142"/>
      <c r="IU106" s="142"/>
      <c r="IV106" s="142"/>
    </row>
    <row r="107" spans="1:256" s="194" customFormat="1" x14ac:dyDescent="0.25">
      <c r="A107" s="148" t="s">
        <v>4744</v>
      </c>
      <c r="B107" s="150">
        <v>863.51400000000001</v>
      </c>
      <c r="C107" s="432">
        <v>498.654</v>
      </c>
      <c r="D107" s="146">
        <f t="shared" si="6"/>
        <v>1.0030030513254258</v>
      </c>
      <c r="E107" s="146">
        <f t="shared" si="3"/>
        <v>1.0167353846010929</v>
      </c>
      <c r="F107" s="432">
        <v>656.68600000000004</v>
      </c>
      <c r="G107" s="146">
        <f t="shared" si="2"/>
        <v>1.0093107242212798</v>
      </c>
      <c r="H107" s="432">
        <v>708.197</v>
      </c>
      <c r="I107" s="142"/>
      <c r="J107" s="142"/>
      <c r="K107" s="142"/>
      <c r="L107" s="142"/>
      <c r="M107" s="142"/>
      <c r="N107" s="142"/>
      <c r="O107" s="142"/>
      <c r="P107" s="142"/>
      <c r="Q107" s="142"/>
      <c r="R107" s="142"/>
      <c r="S107" s="142"/>
      <c r="T107" s="142"/>
      <c r="U107" s="142"/>
      <c r="V107" s="142"/>
      <c r="W107" s="142"/>
      <c r="X107" s="142"/>
      <c r="Y107" s="142"/>
      <c r="Z107" s="142"/>
      <c r="AA107" s="142"/>
      <c r="AB107" s="142"/>
      <c r="AC107" s="142"/>
      <c r="AD107" s="142"/>
      <c r="AE107" s="142"/>
      <c r="AF107" s="142"/>
      <c r="AG107" s="142"/>
      <c r="AH107" s="142"/>
      <c r="AI107" s="142"/>
      <c r="AJ107" s="142"/>
      <c r="AK107" s="142"/>
      <c r="AL107" s="142"/>
      <c r="AM107" s="142"/>
      <c r="AN107" s="142"/>
      <c r="AO107" s="142"/>
      <c r="AP107" s="142"/>
      <c r="AQ107" s="142"/>
      <c r="AR107" s="142"/>
      <c r="AS107" s="142"/>
      <c r="AT107" s="142"/>
      <c r="AU107" s="142"/>
      <c r="AV107" s="142"/>
      <c r="AW107" s="142"/>
      <c r="AX107" s="142"/>
      <c r="AY107" s="142"/>
      <c r="AZ107" s="142"/>
      <c r="BA107" s="142"/>
      <c r="BB107" s="142"/>
      <c r="BC107" s="142"/>
      <c r="BD107" s="142"/>
      <c r="BE107" s="142"/>
      <c r="BF107" s="142"/>
      <c r="BG107" s="142"/>
      <c r="BH107" s="142"/>
      <c r="BI107" s="142"/>
      <c r="BJ107" s="142"/>
      <c r="BK107" s="142"/>
      <c r="BL107" s="142"/>
      <c r="BM107" s="142"/>
      <c r="BN107" s="142"/>
      <c r="BO107" s="142"/>
      <c r="BP107" s="142"/>
      <c r="BQ107" s="142"/>
      <c r="BR107" s="142"/>
      <c r="BS107" s="142"/>
      <c r="BT107" s="142"/>
      <c r="BU107" s="142"/>
      <c r="BV107" s="142"/>
      <c r="BW107" s="142"/>
      <c r="BX107" s="142"/>
      <c r="BY107" s="142"/>
      <c r="BZ107" s="142"/>
      <c r="CA107" s="142"/>
      <c r="CB107" s="142"/>
      <c r="CC107" s="142"/>
      <c r="CD107" s="142"/>
      <c r="CE107" s="142"/>
      <c r="CF107" s="142"/>
      <c r="CG107" s="142"/>
      <c r="CH107" s="142"/>
      <c r="CI107" s="142"/>
      <c r="CJ107" s="142"/>
      <c r="CK107" s="142"/>
      <c r="CL107" s="142"/>
      <c r="CM107" s="142"/>
      <c r="CN107" s="142"/>
      <c r="CO107" s="142"/>
      <c r="CP107" s="142"/>
      <c r="CQ107" s="142"/>
      <c r="CR107" s="142"/>
      <c r="CS107" s="142"/>
      <c r="CT107" s="142"/>
      <c r="CU107" s="142"/>
      <c r="CV107" s="142"/>
      <c r="CW107" s="142"/>
      <c r="CX107" s="142"/>
      <c r="CY107" s="142"/>
      <c r="CZ107" s="142"/>
      <c r="DA107" s="142"/>
      <c r="DB107" s="142"/>
      <c r="DC107" s="142"/>
      <c r="DD107" s="142"/>
      <c r="DE107" s="142"/>
      <c r="DF107" s="142"/>
      <c r="DG107" s="142"/>
      <c r="DH107" s="142"/>
      <c r="DI107" s="142"/>
      <c r="DJ107" s="142"/>
      <c r="DK107" s="142"/>
      <c r="DL107" s="142"/>
      <c r="DM107" s="142"/>
      <c r="DN107" s="142"/>
      <c r="DO107" s="142"/>
      <c r="DP107" s="142"/>
      <c r="DQ107" s="142"/>
      <c r="DR107" s="142"/>
      <c r="DS107" s="142"/>
      <c r="DT107" s="142"/>
      <c r="DU107" s="142"/>
      <c r="DV107" s="142"/>
      <c r="DW107" s="142"/>
      <c r="DX107" s="142"/>
      <c r="DY107" s="142"/>
      <c r="DZ107" s="142"/>
      <c r="EA107" s="142"/>
      <c r="EB107" s="142"/>
      <c r="EC107" s="142"/>
      <c r="ED107" s="142"/>
      <c r="EE107" s="142"/>
      <c r="EF107" s="142"/>
      <c r="EG107" s="142"/>
      <c r="EH107" s="142"/>
      <c r="EI107" s="142"/>
      <c r="EJ107" s="142"/>
      <c r="EK107" s="142"/>
      <c r="EL107" s="142"/>
      <c r="EM107" s="142"/>
      <c r="EN107" s="142"/>
      <c r="EO107" s="142"/>
      <c r="EP107" s="142"/>
      <c r="EQ107" s="142"/>
      <c r="ER107" s="142"/>
      <c r="ES107" s="142"/>
      <c r="ET107" s="142"/>
      <c r="EU107" s="142"/>
      <c r="EV107" s="142"/>
      <c r="EW107" s="142"/>
      <c r="EX107" s="142"/>
      <c r="EY107" s="142"/>
      <c r="EZ107" s="142"/>
      <c r="FA107" s="142"/>
      <c r="FB107" s="142"/>
      <c r="FC107" s="142"/>
      <c r="FD107" s="142"/>
      <c r="FE107" s="142"/>
      <c r="FF107" s="142"/>
      <c r="FG107" s="142"/>
      <c r="FH107" s="142"/>
      <c r="FI107" s="142"/>
      <c r="FJ107" s="142"/>
      <c r="FK107" s="142"/>
      <c r="FL107" s="142"/>
      <c r="FM107" s="142"/>
      <c r="FN107" s="142"/>
      <c r="FO107" s="142"/>
      <c r="FP107" s="142"/>
      <c r="FQ107" s="142"/>
      <c r="FR107" s="142"/>
      <c r="FS107" s="142"/>
      <c r="FT107" s="142"/>
      <c r="FU107" s="142"/>
      <c r="FV107" s="142"/>
      <c r="FW107" s="142"/>
      <c r="FX107" s="142"/>
      <c r="FY107" s="142"/>
      <c r="FZ107" s="142"/>
      <c r="GA107" s="142"/>
      <c r="GB107" s="142"/>
      <c r="GC107" s="142"/>
      <c r="GD107" s="142"/>
      <c r="GE107" s="142"/>
      <c r="GF107" s="142"/>
      <c r="GG107" s="142"/>
      <c r="GH107" s="142"/>
      <c r="GI107" s="142"/>
      <c r="GJ107" s="142"/>
      <c r="GK107" s="142"/>
      <c r="GL107" s="142"/>
      <c r="GM107" s="142"/>
      <c r="GN107" s="142"/>
      <c r="GO107" s="142"/>
      <c r="GP107" s="142"/>
      <c r="GQ107" s="142"/>
      <c r="GR107" s="142"/>
      <c r="GS107" s="142"/>
      <c r="GT107" s="142"/>
      <c r="GU107" s="142"/>
      <c r="GV107" s="142"/>
      <c r="GW107" s="142"/>
      <c r="GX107" s="142"/>
      <c r="GY107" s="142"/>
      <c r="GZ107" s="142"/>
      <c r="HA107" s="142"/>
      <c r="HB107" s="142"/>
      <c r="HC107" s="142"/>
      <c r="HD107" s="142"/>
      <c r="HE107" s="142"/>
      <c r="HF107" s="142"/>
      <c r="HG107" s="142"/>
      <c r="HH107" s="142"/>
      <c r="HI107" s="142"/>
      <c r="HJ107" s="142"/>
      <c r="HK107" s="142"/>
      <c r="HL107" s="142"/>
      <c r="HM107" s="142"/>
      <c r="HN107" s="142"/>
      <c r="HO107" s="142"/>
      <c r="HP107" s="142"/>
      <c r="HQ107" s="142"/>
      <c r="HR107" s="142"/>
      <c r="HS107" s="142"/>
      <c r="HT107" s="142"/>
      <c r="HU107" s="142"/>
      <c r="HV107" s="142"/>
      <c r="HW107" s="142"/>
      <c r="HX107" s="142"/>
      <c r="HY107" s="142"/>
      <c r="HZ107" s="142"/>
      <c r="IA107" s="142"/>
      <c r="IB107" s="142"/>
      <c r="IC107" s="142"/>
      <c r="ID107" s="142"/>
      <c r="IE107" s="142"/>
      <c r="IF107" s="142"/>
      <c r="IG107" s="142"/>
      <c r="IH107" s="142"/>
      <c r="II107" s="142"/>
      <c r="IJ107" s="142"/>
      <c r="IK107" s="142"/>
      <c r="IL107" s="142"/>
      <c r="IM107" s="142"/>
      <c r="IN107" s="142"/>
      <c r="IO107" s="142"/>
      <c r="IP107" s="142"/>
      <c r="IQ107" s="142"/>
      <c r="IR107" s="142"/>
      <c r="IS107" s="142"/>
      <c r="IT107" s="142"/>
      <c r="IU107" s="142"/>
      <c r="IV107" s="142"/>
    </row>
    <row r="108" spans="1:256" s="194" customFormat="1" x14ac:dyDescent="0.25">
      <c r="A108" s="148" t="s">
        <v>4745</v>
      </c>
      <c r="B108" s="150">
        <v>863.51400000000001</v>
      </c>
      <c r="C108" s="432">
        <v>499.21199999999999</v>
      </c>
      <c r="D108" s="146">
        <f t="shared" si="6"/>
        <v>1.0011190123813305</v>
      </c>
      <c r="E108" s="146">
        <f t="shared" si="3"/>
        <v>1.0004964320847405</v>
      </c>
      <c r="F108" s="432">
        <v>657.01199999999994</v>
      </c>
      <c r="G108" s="146">
        <f t="shared" si="2"/>
        <v>1.0030471747268062</v>
      </c>
      <c r="H108" s="432">
        <v>710.35500000000002</v>
      </c>
      <c r="I108" s="142"/>
      <c r="J108" s="142"/>
      <c r="K108" s="142"/>
      <c r="L108" s="142"/>
      <c r="M108" s="142"/>
      <c r="N108" s="142"/>
      <c r="O108" s="142"/>
      <c r="P108" s="142"/>
      <c r="Q108" s="142"/>
      <c r="R108" s="142"/>
      <c r="S108" s="142"/>
      <c r="T108" s="142"/>
      <c r="U108" s="142"/>
      <c r="V108" s="142"/>
      <c r="W108" s="142"/>
      <c r="X108" s="142"/>
      <c r="Y108" s="142"/>
      <c r="Z108" s="142"/>
      <c r="AA108" s="142"/>
      <c r="AB108" s="142"/>
      <c r="AC108" s="142"/>
      <c r="AD108" s="142"/>
      <c r="AE108" s="142"/>
      <c r="AF108" s="142"/>
      <c r="AG108" s="142"/>
      <c r="AH108" s="142"/>
      <c r="AI108" s="142"/>
      <c r="AJ108" s="142"/>
      <c r="AK108" s="142"/>
      <c r="AL108" s="142"/>
      <c r="AM108" s="142"/>
      <c r="AN108" s="142"/>
      <c r="AO108" s="142"/>
      <c r="AP108" s="142"/>
      <c r="AQ108" s="142"/>
      <c r="AR108" s="142"/>
      <c r="AS108" s="142"/>
      <c r="AT108" s="142"/>
      <c r="AU108" s="142"/>
      <c r="AV108" s="142"/>
      <c r="AW108" s="142"/>
      <c r="AX108" s="142"/>
      <c r="AY108" s="142"/>
      <c r="AZ108" s="142"/>
      <c r="BA108" s="142"/>
      <c r="BB108" s="142"/>
      <c r="BC108" s="142"/>
      <c r="BD108" s="142"/>
      <c r="BE108" s="142"/>
      <c r="BF108" s="142"/>
      <c r="BG108" s="142"/>
      <c r="BH108" s="142"/>
      <c r="BI108" s="142"/>
      <c r="BJ108" s="142"/>
      <c r="BK108" s="142"/>
      <c r="BL108" s="142"/>
      <c r="BM108" s="142"/>
      <c r="BN108" s="142"/>
      <c r="BO108" s="142"/>
      <c r="BP108" s="142"/>
      <c r="BQ108" s="142"/>
      <c r="BR108" s="142"/>
      <c r="BS108" s="142"/>
      <c r="BT108" s="142"/>
      <c r="BU108" s="142"/>
      <c r="BV108" s="142"/>
      <c r="BW108" s="142"/>
      <c r="BX108" s="142"/>
      <c r="BY108" s="142"/>
      <c r="BZ108" s="142"/>
      <c r="CA108" s="142"/>
      <c r="CB108" s="142"/>
      <c r="CC108" s="142"/>
      <c r="CD108" s="142"/>
      <c r="CE108" s="142"/>
      <c r="CF108" s="142"/>
      <c r="CG108" s="142"/>
      <c r="CH108" s="142"/>
      <c r="CI108" s="142"/>
      <c r="CJ108" s="142"/>
      <c r="CK108" s="142"/>
      <c r="CL108" s="142"/>
      <c r="CM108" s="142"/>
      <c r="CN108" s="142"/>
      <c r="CO108" s="142"/>
      <c r="CP108" s="142"/>
      <c r="CQ108" s="142"/>
      <c r="CR108" s="142"/>
      <c r="CS108" s="142"/>
      <c r="CT108" s="142"/>
      <c r="CU108" s="142"/>
      <c r="CV108" s="142"/>
      <c r="CW108" s="142"/>
      <c r="CX108" s="142"/>
      <c r="CY108" s="142"/>
      <c r="CZ108" s="142"/>
      <c r="DA108" s="142"/>
      <c r="DB108" s="142"/>
      <c r="DC108" s="142"/>
      <c r="DD108" s="142"/>
      <c r="DE108" s="142"/>
      <c r="DF108" s="142"/>
      <c r="DG108" s="142"/>
      <c r="DH108" s="142"/>
      <c r="DI108" s="142"/>
      <c r="DJ108" s="142"/>
      <c r="DK108" s="142"/>
      <c r="DL108" s="142"/>
      <c r="DM108" s="142"/>
      <c r="DN108" s="142"/>
      <c r="DO108" s="142"/>
      <c r="DP108" s="142"/>
      <c r="DQ108" s="142"/>
      <c r="DR108" s="142"/>
      <c r="DS108" s="142"/>
      <c r="DT108" s="142"/>
      <c r="DU108" s="142"/>
      <c r="DV108" s="142"/>
      <c r="DW108" s="142"/>
      <c r="DX108" s="142"/>
      <c r="DY108" s="142"/>
      <c r="DZ108" s="142"/>
      <c r="EA108" s="142"/>
      <c r="EB108" s="142"/>
      <c r="EC108" s="142"/>
      <c r="ED108" s="142"/>
      <c r="EE108" s="142"/>
      <c r="EF108" s="142"/>
      <c r="EG108" s="142"/>
      <c r="EH108" s="142"/>
      <c r="EI108" s="142"/>
      <c r="EJ108" s="142"/>
      <c r="EK108" s="142"/>
      <c r="EL108" s="142"/>
      <c r="EM108" s="142"/>
      <c r="EN108" s="142"/>
      <c r="EO108" s="142"/>
      <c r="EP108" s="142"/>
      <c r="EQ108" s="142"/>
      <c r="ER108" s="142"/>
      <c r="ES108" s="142"/>
      <c r="ET108" s="142"/>
      <c r="EU108" s="142"/>
      <c r="EV108" s="142"/>
      <c r="EW108" s="142"/>
      <c r="EX108" s="142"/>
      <c r="EY108" s="142"/>
      <c r="EZ108" s="142"/>
      <c r="FA108" s="142"/>
      <c r="FB108" s="142"/>
      <c r="FC108" s="142"/>
      <c r="FD108" s="142"/>
      <c r="FE108" s="142"/>
      <c r="FF108" s="142"/>
      <c r="FG108" s="142"/>
      <c r="FH108" s="142"/>
      <c r="FI108" s="142"/>
      <c r="FJ108" s="142"/>
      <c r="FK108" s="142"/>
      <c r="FL108" s="142"/>
      <c r="FM108" s="142"/>
      <c r="FN108" s="142"/>
      <c r="FO108" s="142"/>
      <c r="FP108" s="142"/>
      <c r="FQ108" s="142"/>
      <c r="FR108" s="142"/>
      <c r="FS108" s="142"/>
      <c r="FT108" s="142"/>
      <c r="FU108" s="142"/>
      <c r="FV108" s="142"/>
      <c r="FW108" s="142"/>
      <c r="FX108" s="142"/>
      <c r="FY108" s="142"/>
      <c r="FZ108" s="142"/>
      <c r="GA108" s="142"/>
      <c r="GB108" s="142"/>
      <c r="GC108" s="142"/>
      <c r="GD108" s="142"/>
      <c r="GE108" s="142"/>
      <c r="GF108" s="142"/>
      <c r="GG108" s="142"/>
      <c r="GH108" s="142"/>
      <c r="GI108" s="142"/>
      <c r="GJ108" s="142"/>
      <c r="GK108" s="142"/>
      <c r="GL108" s="142"/>
      <c r="GM108" s="142"/>
      <c r="GN108" s="142"/>
      <c r="GO108" s="142"/>
      <c r="GP108" s="142"/>
      <c r="GQ108" s="142"/>
      <c r="GR108" s="142"/>
      <c r="GS108" s="142"/>
      <c r="GT108" s="142"/>
      <c r="GU108" s="142"/>
      <c r="GV108" s="142"/>
      <c r="GW108" s="142"/>
      <c r="GX108" s="142"/>
      <c r="GY108" s="142"/>
      <c r="GZ108" s="142"/>
      <c r="HA108" s="142"/>
      <c r="HB108" s="142"/>
      <c r="HC108" s="142"/>
      <c r="HD108" s="142"/>
      <c r="HE108" s="142"/>
      <c r="HF108" s="142"/>
      <c r="HG108" s="142"/>
      <c r="HH108" s="142"/>
      <c r="HI108" s="142"/>
      <c r="HJ108" s="142"/>
      <c r="HK108" s="142"/>
      <c r="HL108" s="142"/>
      <c r="HM108" s="142"/>
      <c r="HN108" s="142"/>
      <c r="HO108" s="142"/>
      <c r="HP108" s="142"/>
      <c r="HQ108" s="142"/>
      <c r="HR108" s="142"/>
      <c r="HS108" s="142"/>
      <c r="HT108" s="142"/>
      <c r="HU108" s="142"/>
      <c r="HV108" s="142"/>
      <c r="HW108" s="142"/>
      <c r="HX108" s="142"/>
      <c r="HY108" s="142"/>
      <c r="HZ108" s="142"/>
      <c r="IA108" s="142"/>
      <c r="IB108" s="142"/>
      <c r="IC108" s="142"/>
      <c r="ID108" s="142"/>
      <c r="IE108" s="142"/>
      <c r="IF108" s="142"/>
      <c r="IG108" s="142"/>
      <c r="IH108" s="142"/>
      <c r="II108" s="142"/>
      <c r="IJ108" s="142"/>
      <c r="IK108" s="142"/>
      <c r="IL108" s="142"/>
      <c r="IM108" s="142"/>
      <c r="IN108" s="142"/>
      <c r="IO108" s="142"/>
      <c r="IP108" s="142"/>
      <c r="IQ108" s="142"/>
      <c r="IR108" s="142"/>
      <c r="IS108" s="142"/>
      <c r="IT108" s="142"/>
      <c r="IU108" s="142"/>
      <c r="IV108" s="142"/>
    </row>
    <row r="109" spans="1:256" s="194" customFormat="1" x14ac:dyDescent="0.25">
      <c r="A109" s="148" t="s">
        <v>4746</v>
      </c>
      <c r="B109" s="150">
        <v>863.51400000000001</v>
      </c>
      <c r="C109" s="432">
        <v>501.02800000000002</v>
      </c>
      <c r="D109" s="146">
        <f t="shared" si="6"/>
        <v>1.0036377330673141</v>
      </c>
      <c r="E109" s="146">
        <f t="shared" si="3"/>
        <v>1.0016148867905001</v>
      </c>
      <c r="F109" s="432">
        <v>658.07299999999998</v>
      </c>
      <c r="G109" s="146">
        <f t="shared" si="2"/>
        <v>1.0035601917351185</v>
      </c>
      <c r="H109" s="432">
        <v>712.88400000000001</v>
      </c>
      <c r="I109" s="142"/>
      <c r="J109" s="142"/>
      <c r="K109" s="142"/>
      <c r="L109" s="142"/>
      <c r="M109" s="142"/>
      <c r="N109" s="142"/>
      <c r="O109" s="142"/>
      <c r="P109" s="142"/>
      <c r="Q109" s="142"/>
      <c r="R109" s="142"/>
      <c r="S109" s="142"/>
      <c r="T109" s="142"/>
      <c r="U109" s="142"/>
      <c r="V109" s="142"/>
      <c r="W109" s="142"/>
      <c r="X109" s="142"/>
      <c r="Y109" s="142"/>
      <c r="Z109" s="142"/>
      <c r="AA109" s="142"/>
      <c r="AB109" s="142"/>
      <c r="AC109" s="142"/>
      <c r="AD109" s="142"/>
      <c r="AE109" s="142"/>
      <c r="AF109" s="142"/>
      <c r="AG109" s="142"/>
      <c r="AH109" s="142"/>
      <c r="AI109" s="142"/>
      <c r="AJ109" s="142"/>
      <c r="AK109" s="142"/>
      <c r="AL109" s="142"/>
      <c r="AM109" s="142"/>
      <c r="AN109" s="142"/>
      <c r="AO109" s="142"/>
      <c r="AP109" s="142"/>
      <c r="AQ109" s="142"/>
      <c r="AR109" s="142"/>
      <c r="AS109" s="142"/>
      <c r="AT109" s="142"/>
      <c r="AU109" s="142"/>
      <c r="AV109" s="142"/>
      <c r="AW109" s="142"/>
      <c r="AX109" s="142"/>
      <c r="AY109" s="142"/>
      <c r="AZ109" s="142"/>
      <c r="BA109" s="142"/>
      <c r="BB109" s="142"/>
      <c r="BC109" s="142"/>
      <c r="BD109" s="142"/>
      <c r="BE109" s="142"/>
      <c r="BF109" s="142"/>
      <c r="BG109" s="142"/>
      <c r="BH109" s="142"/>
      <c r="BI109" s="142"/>
      <c r="BJ109" s="142"/>
      <c r="BK109" s="142"/>
      <c r="BL109" s="142"/>
      <c r="BM109" s="142"/>
      <c r="BN109" s="142"/>
      <c r="BO109" s="142"/>
      <c r="BP109" s="142"/>
      <c r="BQ109" s="142"/>
      <c r="BR109" s="142"/>
      <c r="BS109" s="142"/>
      <c r="BT109" s="142"/>
      <c r="BU109" s="142"/>
      <c r="BV109" s="142"/>
      <c r="BW109" s="142"/>
      <c r="BX109" s="142"/>
      <c r="BY109" s="142"/>
      <c r="BZ109" s="142"/>
      <c r="CA109" s="142"/>
      <c r="CB109" s="142"/>
      <c r="CC109" s="142"/>
      <c r="CD109" s="142"/>
      <c r="CE109" s="142"/>
      <c r="CF109" s="142"/>
      <c r="CG109" s="142"/>
      <c r="CH109" s="142"/>
      <c r="CI109" s="142"/>
      <c r="CJ109" s="142"/>
      <c r="CK109" s="142"/>
      <c r="CL109" s="142"/>
      <c r="CM109" s="142"/>
      <c r="CN109" s="142"/>
      <c r="CO109" s="142"/>
      <c r="CP109" s="142"/>
      <c r="CQ109" s="142"/>
      <c r="CR109" s="142"/>
      <c r="CS109" s="142"/>
      <c r="CT109" s="142"/>
      <c r="CU109" s="142"/>
      <c r="CV109" s="142"/>
      <c r="CW109" s="142"/>
      <c r="CX109" s="142"/>
      <c r="CY109" s="142"/>
      <c r="CZ109" s="142"/>
      <c r="DA109" s="142"/>
      <c r="DB109" s="142"/>
      <c r="DC109" s="142"/>
      <c r="DD109" s="142"/>
      <c r="DE109" s="142"/>
      <c r="DF109" s="142"/>
      <c r="DG109" s="142"/>
      <c r="DH109" s="142"/>
      <c r="DI109" s="142"/>
      <c r="DJ109" s="142"/>
      <c r="DK109" s="142"/>
      <c r="DL109" s="142"/>
      <c r="DM109" s="142"/>
      <c r="DN109" s="142"/>
      <c r="DO109" s="142"/>
      <c r="DP109" s="142"/>
      <c r="DQ109" s="142"/>
      <c r="DR109" s="142"/>
      <c r="DS109" s="142"/>
      <c r="DT109" s="142"/>
      <c r="DU109" s="142"/>
      <c r="DV109" s="142"/>
      <c r="DW109" s="142"/>
      <c r="DX109" s="142"/>
      <c r="DY109" s="142"/>
      <c r="DZ109" s="142"/>
      <c r="EA109" s="142"/>
      <c r="EB109" s="142"/>
      <c r="EC109" s="142"/>
      <c r="ED109" s="142"/>
      <c r="EE109" s="142"/>
      <c r="EF109" s="142"/>
      <c r="EG109" s="142"/>
      <c r="EH109" s="142"/>
      <c r="EI109" s="142"/>
      <c r="EJ109" s="142"/>
      <c r="EK109" s="142"/>
      <c r="EL109" s="142"/>
      <c r="EM109" s="142"/>
      <c r="EN109" s="142"/>
      <c r="EO109" s="142"/>
      <c r="EP109" s="142"/>
      <c r="EQ109" s="142"/>
      <c r="ER109" s="142"/>
      <c r="ES109" s="142"/>
      <c r="ET109" s="142"/>
      <c r="EU109" s="142"/>
      <c r="EV109" s="142"/>
      <c r="EW109" s="142"/>
      <c r="EX109" s="142"/>
      <c r="EY109" s="142"/>
      <c r="EZ109" s="142"/>
      <c r="FA109" s="142"/>
      <c r="FB109" s="142"/>
      <c r="FC109" s="142"/>
      <c r="FD109" s="142"/>
      <c r="FE109" s="142"/>
      <c r="FF109" s="142"/>
      <c r="FG109" s="142"/>
      <c r="FH109" s="142"/>
      <c r="FI109" s="142"/>
      <c r="FJ109" s="142"/>
      <c r="FK109" s="142"/>
      <c r="FL109" s="142"/>
      <c r="FM109" s="142"/>
      <c r="FN109" s="142"/>
      <c r="FO109" s="142"/>
      <c r="FP109" s="142"/>
      <c r="FQ109" s="142"/>
      <c r="FR109" s="142"/>
      <c r="FS109" s="142"/>
      <c r="FT109" s="142"/>
      <c r="FU109" s="142"/>
      <c r="FV109" s="142"/>
      <c r="FW109" s="142"/>
      <c r="FX109" s="142"/>
      <c r="FY109" s="142"/>
      <c r="FZ109" s="142"/>
      <c r="GA109" s="142"/>
      <c r="GB109" s="142"/>
      <c r="GC109" s="142"/>
      <c r="GD109" s="142"/>
      <c r="GE109" s="142"/>
      <c r="GF109" s="142"/>
      <c r="GG109" s="142"/>
      <c r="GH109" s="142"/>
      <c r="GI109" s="142"/>
      <c r="GJ109" s="142"/>
      <c r="GK109" s="142"/>
      <c r="GL109" s="142"/>
      <c r="GM109" s="142"/>
      <c r="GN109" s="142"/>
      <c r="GO109" s="142"/>
      <c r="GP109" s="142"/>
      <c r="GQ109" s="142"/>
      <c r="GR109" s="142"/>
      <c r="GS109" s="142"/>
      <c r="GT109" s="142"/>
      <c r="GU109" s="142"/>
      <c r="GV109" s="142"/>
      <c r="GW109" s="142"/>
      <c r="GX109" s="142"/>
      <c r="GY109" s="142"/>
      <c r="GZ109" s="142"/>
      <c r="HA109" s="142"/>
      <c r="HB109" s="142"/>
      <c r="HC109" s="142"/>
      <c r="HD109" s="142"/>
      <c r="HE109" s="142"/>
      <c r="HF109" s="142"/>
      <c r="HG109" s="142"/>
      <c r="HH109" s="142"/>
      <c r="HI109" s="142"/>
      <c r="HJ109" s="142"/>
      <c r="HK109" s="142"/>
      <c r="HL109" s="142"/>
      <c r="HM109" s="142"/>
      <c r="HN109" s="142"/>
      <c r="HO109" s="142"/>
      <c r="HP109" s="142"/>
      <c r="HQ109" s="142"/>
      <c r="HR109" s="142"/>
      <c r="HS109" s="142"/>
      <c r="HT109" s="142"/>
      <c r="HU109" s="142"/>
      <c r="HV109" s="142"/>
      <c r="HW109" s="142"/>
      <c r="HX109" s="142"/>
      <c r="HY109" s="142"/>
      <c r="HZ109" s="142"/>
      <c r="IA109" s="142"/>
      <c r="IB109" s="142"/>
      <c r="IC109" s="142"/>
      <c r="ID109" s="142"/>
      <c r="IE109" s="142"/>
      <c r="IF109" s="142"/>
      <c r="IG109" s="142"/>
      <c r="IH109" s="142"/>
      <c r="II109" s="142"/>
      <c r="IJ109" s="142"/>
      <c r="IK109" s="142"/>
      <c r="IL109" s="142"/>
      <c r="IM109" s="142"/>
      <c r="IN109" s="142"/>
      <c r="IO109" s="142"/>
      <c r="IP109" s="142"/>
      <c r="IQ109" s="142"/>
      <c r="IR109" s="142"/>
      <c r="IS109" s="142"/>
      <c r="IT109" s="142"/>
      <c r="IU109" s="142"/>
      <c r="IV109" s="142"/>
    </row>
    <row r="110" spans="1:256" s="194" customFormat="1" x14ac:dyDescent="0.25">
      <c r="A110" s="148" t="s">
        <v>4747</v>
      </c>
      <c r="B110" s="150">
        <v>863.51400000000001</v>
      </c>
      <c r="C110" s="432">
        <v>504.01600000000002</v>
      </c>
      <c r="D110" s="146">
        <f t="shared" si="6"/>
        <v>1.0059637385535338</v>
      </c>
      <c r="E110" s="146">
        <f t="shared" si="3"/>
        <v>1.0026516815003808</v>
      </c>
      <c r="F110" s="432">
        <v>659.81799999999998</v>
      </c>
      <c r="G110" s="146">
        <f t="shared" si="2"/>
        <v>1.000625627731861</v>
      </c>
      <c r="H110" s="432">
        <v>713.33</v>
      </c>
      <c r="I110" s="142"/>
      <c r="J110" s="142"/>
      <c r="K110" s="142"/>
      <c r="L110" s="142"/>
      <c r="M110" s="142"/>
      <c r="N110" s="142"/>
      <c r="O110" s="142"/>
      <c r="P110" s="142"/>
      <c r="Q110" s="142"/>
      <c r="R110" s="142"/>
      <c r="S110" s="142"/>
      <c r="T110" s="142"/>
      <c r="U110" s="142"/>
      <c r="V110" s="142"/>
      <c r="W110" s="142"/>
      <c r="X110" s="142"/>
      <c r="Y110" s="142"/>
      <c r="Z110" s="142"/>
      <c r="AA110" s="142"/>
      <c r="AB110" s="142"/>
      <c r="AC110" s="142"/>
      <c r="AD110" s="142"/>
      <c r="AE110" s="142"/>
      <c r="AF110" s="142"/>
      <c r="AG110" s="142"/>
      <c r="AH110" s="142"/>
      <c r="AI110" s="142"/>
      <c r="AJ110" s="142"/>
      <c r="AK110" s="142"/>
      <c r="AL110" s="142"/>
      <c r="AM110" s="142"/>
      <c r="AN110" s="142"/>
      <c r="AO110" s="142"/>
      <c r="AP110" s="142"/>
      <c r="AQ110" s="142"/>
      <c r="AR110" s="142"/>
      <c r="AS110" s="142"/>
      <c r="AT110" s="142"/>
      <c r="AU110" s="142"/>
      <c r="AV110" s="142"/>
      <c r="AW110" s="142"/>
      <c r="AX110" s="142"/>
      <c r="AY110" s="142"/>
      <c r="AZ110" s="142"/>
      <c r="BA110" s="142"/>
      <c r="BB110" s="142"/>
      <c r="BC110" s="142"/>
      <c r="BD110" s="142"/>
      <c r="BE110" s="142"/>
      <c r="BF110" s="142"/>
      <c r="BG110" s="142"/>
      <c r="BH110" s="142"/>
      <c r="BI110" s="142"/>
      <c r="BJ110" s="142"/>
      <c r="BK110" s="142"/>
      <c r="BL110" s="142"/>
      <c r="BM110" s="142"/>
      <c r="BN110" s="142"/>
      <c r="BO110" s="142"/>
      <c r="BP110" s="142"/>
      <c r="BQ110" s="142"/>
      <c r="BR110" s="142"/>
      <c r="BS110" s="142"/>
      <c r="BT110" s="142"/>
      <c r="BU110" s="142"/>
      <c r="BV110" s="142"/>
      <c r="BW110" s="142"/>
      <c r="BX110" s="142"/>
      <c r="BY110" s="142"/>
      <c r="BZ110" s="142"/>
      <c r="CA110" s="142"/>
      <c r="CB110" s="142"/>
      <c r="CC110" s="142"/>
      <c r="CD110" s="142"/>
      <c r="CE110" s="142"/>
      <c r="CF110" s="142"/>
      <c r="CG110" s="142"/>
      <c r="CH110" s="142"/>
      <c r="CI110" s="142"/>
      <c r="CJ110" s="142"/>
      <c r="CK110" s="142"/>
      <c r="CL110" s="142"/>
      <c r="CM110" s="142"/>
      <c r="CN110" s="142"/>
      <c r="CO110" s="142"/>
      <c r="CP110" s="142"/>
      <c r="CQ110" s="142"/>
      <c r="CR110" s="142"/>
      <c r="CS110" s="142"/>
      <c r="CT110" s="142"/>
      <c r="CU110" s="142"/>
      <c r="CV110" s="142"/>
      <c r="CW110" s="142"/>
      <c r="CX110" s="142"/>
      <c r="CY110" s="142"/>
      <c r="CZ110" s="142"/>
      <c r="DA110" s="142"/>
      <c r="DB110" s="142"/>
      <c r="DC110" s="142"/>
      <c r="DD110" s="142"/>
      <c r="DE110" s="142"/>
      <c r="DF110" s="142"/>
      <c r="DG110" s="142"/>
      <c r="DH110" s="142"/>
      <c r="DI110" s="142"/>
      <c r="DJ110" s="142"/>
      <c r="DK110" s="142"/>
      <c r="DL110" s="142"/>
      <c r="DM110" s="142"/>
      <c r="DN110" s="142"/>
      <c r="DO110" s="142"/>
      <c r="DP110" s="142"/>
      <c r="DQ110" s="142"/>
      <c r="DR110" s="142"/>
      <c r="DS110" s="142"/>
      <c r="DT110" s="142"/>
      <c r="DU110" s="142"/>
      <c r="DV110" s="142"/>
      <c r="DW110" s="142"/>
      <c r="DX110" s="142"/>
      <c r="DY110" s="142"/>
      <c r="DZ110" s="142"/>
      <c r="EA110" s="142"/>
      <c r="EB110" s="142"/>
      <c r="EC110" s="142"/>
      <c r="ED110" s="142"/>
      <c r="EE110" s="142"/>
      <c r="EF110" s="142"/>
      <c r="EG110" s="142"/>
      <c r="EH110" s="142"/>
      <c r="EI110" s="142"/>
      <c r="EJ110" s="142"/>
      <c r="EK110" s="142"/>
      <c r="EL110" s="142"/>
      <c r="EM110" s="142"/>
      <c r="EN110" s="142"/>
      <c r="EO110" s="142"/>
      <c r="EP110" s="142"/>
      <c r="EQ110" s="142"/>
      <c r="ER110" s="142"/>
      <c r="ES110" s="142"/>
      <c r="ET110" s="142"/>
      <c r="EU110" s="142"/>
      <c r="EV110" s="142"/>
      <c r="EW110" s="142"/>
      <c r="EX110" s="142"/>
      <c r="EY110" s="142"/>
      <c r="EZ110" s="142"/>
      <c r="FA110" s="142"/>
      <c r="FB110" s="142"/>
      <c r="FC110" s="142"/>
      <c r="FD110" s="142"/>
      <c r="FE110" s="142"/>
      <c r="FF110" s="142"/>
      <c r="FG110" s="142"/>
      <c r="FH110" s="142"/>
      <c r="FI110" s="142"/>
      <c r="FJ110" s="142"/>
      <c r="FK110" s="142"/>
      <c r="FL110" s="142"/>
      <c r="FM110" s="142"/>
      <c r="FN110" s="142"/>
      <c r="FO110" s="142"/>
      <c r="FP110" s="142"/>
      <c r="FQ110" s="142"/>
      <c r="FR110" s="142"/>
      <c r="FS110" s="142"/>
      <c r="FT110" s="142"/>
      <c r="FU110" s="142"/>
      <c r="FV110" s="142"/>
      <c r="FW110" s="142"/>
      <c r="FX110" s="142"/>
      <c r="FY110" s="142"/>
      <c r="FZ110" s="142"/>
      <c r="GA110" s="142"/>
      <c r="GB110" s="142"/>
      <c r="GC110" s="142"/>
      <c r="GD110" s="142"/>
      <c r="GE110" s="142"/>
      <c r="GF110" s="142"/>
      <c r="GG110" s="142"/>
      <c r="GH110" s="142"/>
      <c r="GI110" s="142"/>
      <c r="GJ110" s="142"/>
      <c r="GK110" s="142"/>
      <c r="GL110" s="142"/>
      <c r="GM110" s="142"/>
      <c r="GN110" s="142"/>
      <c r="GO110" s="142"/>
      <c r="GP110" s="142"/>
      <c r="GQ110" s="142"/>
      <c r="GR110" s="142"/>
      <c r="GS110" s="142"/>
      <c r="GT110" s="142"/>
      <c r="GU110" s="142"/>
      <c r="GV110" s="142"/>
      <c r="GW110" s="142"/>
      <c r="GX110" s="142"/>
      <c r="GY110" s="142"/>
      <c r="GZ110" s="142"/>
      <c r="HA110" s="142"/>
      <c r="HB110" s="142"/>
      <c r="HC110" s="142"/>
      <c r="HD110" s="142"/>
      <c r="HE110" s="142"/>
      <c r="HF110" s="142"/>
      <c r="HG110" s="142"/>
      <c r="HH110" s="142"/>
      <c r="HI110" s="142"/>
      <c r="HJ110" s="142"/>
      <c r="HK110" s="142"/>
      <c r="HL110" s="142"/>
      <c r="HM110" s="142"/>
      <c r="HN110" s="142"/>
      <c r="HO110" s="142"/>
      <c r="HP110" s="142"/>
      <c r="HQ110" s="142"/>
      <c r="HR110" s="142"/>
      <c r="HS110" s="142"/>
      <c r="HT110" s="142"/>
      <c r="HU110" s="142"/>
      <c r="HV110" s="142"/>
      <c r="HW110" s="142"/>
      <c r="HX110" s="142"/>
      <c r="HY110" s="142"/>
      <c r="HZ110" s="142"/>
      <c r="IA110" s="142"/>
      <c r="IB110" s="142"/>
      <c r="IC110" s="142"/>
      <c r="ID110" s="142"/>
      <c r="IE110" s="142"/>
      <c r="IF110" s="142"/>
      <c r="IG110" s="142"/>
      <c r="IH110" s="142"/>
      <c r="II110" s="142"/>
      <c r="IJ110" s="142"/>
      <c r="IK110" s="142"/>
      <c r="IL110" s="142"/>
      <c r="IM110" s="142"/>
      <c r="IN110" s="142"/>
      <c r="IO110" s="142"/>
      <c r="IP110" s="142"/>
      <c r="IQ110" s="142"/>
      <c r="IR110" s="142"/>
      <c r="IS110" s="142"/>
      <c r="IT110" s="142"/>
      <c r="IU110" s="142"/>
      <c r="IV110" s="142"/>
    </row>
    <row r="111" spans="1:256" s="194" customFormat="1" x14ac:dyDescent="0.25">
      <c r="A111" s="148" t="s">
        <v>4748</v>
      </c>
      <c r="B111" s="150">
        <v>863.51400000000001</v>
      </c>
      <c r="C111" s="432">
        <v>506.09</v>
      </c>
      <c r="D111" s="146">
        <f t="shared" si="6"/>
        <v>1.0041149487317862</v>
      </c>
      <c r="E111" s="146">
        <f t="shared" si="3"/>
        <v>1.001836870167228</v>
      </c>
      <c r="F111" s="432">
        <v>661.03</v>
      </c>
      <c r="G111" s="146">
        <f t="shared" si="2"/>
        <v>1.0030799209342101</v>
      </c>
      <c r="H111" s="432">
        <v>715.52700000000004</v>
      </c>
      <c r="I111" s="142"/>
      <c r="J111" s="142"/>
      <c r="K111" s="142"/>
      <c r="L111" s="142"/>
      <c r="M111" s="142"/>
      <c r="N111" s="142"/>
      <c r="O111" s="142"/>
      <c r="P111" s="142"/>
      <c r="Q111" s="142"/>
      <c r="R111" s="142"/>
      <c r="S111" s="142"/>
      <c r="T111" s="142"/>
      <c r="U111" s="142"/>
      <c r="V111" s="142"/>
      <c r="W111" s="142"/>
      <c r="X111" s="142"/>
      <c r="Y111" s="142"/>
      <c r="Z111" s="142"/>
      <c r="AA111" s="142"/>
      <c r="AB111" s="142"/>
      <c r="AC111" s="142"/>
      <c r="AD111" s="142"/>
      <c r="AE111" s="142"/>
      <c r="AF111" s="142"/>
      <c r="AG111" s="142"/>
      <c r="AH111" s="142"/>
      <c r="AI111" s="142"/>
      <c r="AJ111" s="142"/>
      <c r="AK111" s="142"/>
      <c r="AL111" s="142"/>
      <c r="AM111" s="142"/>
      <c r="AN111" s="142"/>
      <c r="AO111" s="142"/>
      <c r="AP111" s="142"/>
      <c r="AQ111" s="142"/>
      <c r="AR111" s="142"/>
      <c r="AS111" s="142"/>
      <c r="AT111" s="142"/>
      <c r="AU111" s="142"/>
      <c r="AV111" s="142"/>
      <c r="AW111" s="142"/>
      <c r="AX111" s="142"/>
      <c r="AY111" s="142"/>
      <c r="AZ111" s="142"/>
      <c r="BA111" s="142"/>
      <c r="BB111" s="142"/>
      <c r="BC111" s="142"/>
      <c r="BD111" s="142"/>
      <c r="BE111" s="142"/>
      <c r="BF111" s="142"/>
      <c r="BG111" s="142"/>
      <c r="BH111" s="142"/>
      <c r="BI111" s="142"/>
      <c r="BJ111" s="142"/>
      <c r="BK111" s="142"/>
      <c r="BL111" s="142"/>
      <c r="BM111" s="142"/>
      <c r="BN111" s="142"/>
      <c r="BO111" s="142"/>
      <c r="BP111" s="142"/>
      <c r="BQ111" s="142"/>
      <c r="BR111" s="142"/>
      <c r="BS111" s="142"/>
      <c r="BT111" s="142"/>
      <c r="BU111" s="142"/>
      <c r="BV111" s="142"/>
      <c r="BW111" s="142"/>
      <c r="BX111" s="142"/>
      <c r="BY111" s="142"/>
      <c r="BZ111" s="142"/>
      <c r="CA111" s="142"/>
      <c r="CB111" s="142"/>
      <c r="CC111" s="142"/>
      <c r="CD111" s="142"/>
      <c r="CE111" s="142"/>
      <c r="CF111" s="142"/>
      <c r="CG111" s="142"/>
      <c r="CH111" s="142"/>
      <c r="CI111" s="142"/>
      <c r="CJ111" s="142"/>
      <c r="CK111" s="142"/>
      <c r="CL111" s="142"/>
      <c r="CM111" s="142"/>
      <c r="CN111" s="142"/>
      <c r="CO111" s="142"/>
      <c r="CP111" s="142"/>
      <c r="CQ111" s="142"/>
      <c r="CR111" s="142"/>
      <c r="CS111" s="142"/>
      <c r="CT111" s="142"/>
      <c r="CU111" s="142"/>
      <c r="CV111" s="142"/>
      <c r="CW111" s="142"/>
      <c r="CX111" s="142"/>
      <c r="CY111" s="142"/>
      <c r="CZ111" s="142"/>
      <c r="DA111" s="142"/>
      <c r="DB111" s="142"/>
      <c r="DC111" s="142"/>
      <c r="DD111" s="142"/>
      <c r="DE111" s="142"/>
      <c r="DF111" s="142"/>
      <c r="DG111" s="142"/>
      <c r="DH111" s="142"/>
      <c r="DI111" s="142"/>
      <c r="DJ111" s="142"/>
      <c r="DK111" s="142"/>
      <c r="DL111" s="142"/>
      <c r="DM111" s="142"/>
      <c r="DN111" s="142"/>
      <c r="DO111" s="142"/>
      <c r="DP111" s="142"/>
      <c r="DQ111" s="142"/>
      <c r="DR111" s="142"/>
      <c r="DS111" s="142"/>
      <c r="DT111" s="142"/>
      <c r="DU111" s="142"/>
      <c r="DV111" s="142"/>
      <c r="DW111" s="142"/>
      <c r="DX111" s="142"/>
      <c r="DY111" s="142"/>
      <c r="DZ111" s="142"/>
      <c r="EA111" s="142"/>
      <c r="EB111" s="142"/>
      <c r="EC111" s="142"/>
      <c r="ED111" s="142"/>
      <c r="EE111" s="142"/>
      <c r="EF111" s="142"/>
      <c r="EG111" s="142"/>
      <c r="EH111" s="142"/>
      <c r="EI111" s="142"/>
      <c r="EJ111" s="142"/>
      <c r="EK111" s="142"/>
      <c r="EL111" s="142"/>
      <c r="EM111" s="142"/>
      <c r="EN111" s="142"/>
      <c r="EO111" s="142"/>
      <c r="EP111" s="142"/>
      <c r="EQ111" s="142"/>
      <c r="ER111" s="142"/>
      <c r="ES111" s="142"/>
      <c r="ET111" s="142"/>
      <c r="EU111" s="142"/>
      <c r="EV111" s="142"/>
      <c r="EW111" s="142"/>
      <c r="EX111" s="142"/>
      <c r="EY111" s="142"/>
      <c r="EZ111" s="142"/>
      <c r="FA111" s="142"/>
      <c r="FB111" s="142"/>
      <c r="FC111" s="142"/>
      <c r="FD111" s="142"/>
      <c r="FE111" s="142"/>
      <c r="FF111" s="142"/>
      <c r="FG111" s="142"/>
      <c r="FH111" s="142"/>
      <c r="FI111" s="142"/>
      <c r="FJ111" s="142"/>
      <c r="FK111" s="142"/>
      <c r="FL111" s="142"/>
      <c r="FM111" s="142"/>
      <c r="FN111" s="142"/>
      <c r="FO111" s="142"/>
      <c r="FP111" s="142"/>
      <c r="FQ111" s="142"/>
      <c r="FR111" s="142"/>
      <c r="FS111" s="142"/>
      <c r="FT111" s="142"/>
      <c r="FU111" s="142"/>
      <c r="FV111" s="142"/>
      <c r="FW111" s="142"/>
      <c r="FX111" s="142"/>
      <c r="FY111" s="142"/>
      <c r="FZ111" s="142"/>
      <c r="GA111" s="142"/>
      <c r="GB111" s="142"/>
      <c r="GC111" s="142"/>
      <c r="GD111" s="142"/>
      <c r="GE111" s="142"/>
      <c r="GF111" s="142"/>
      <c r="GG111" s="142"/>
      <c r="GH111" s="142"/>
      <c r="GI111" s="142"/>
      <c r="GJ111" s="142"/>
      <c r="GK111" s="142"/>
      <c r="GL111" s="142"/>
      <c r="GM111" s="142"/>
      <c r="GN111" s="142"/>
      <c r="GO111" s="142"/>
      <c r="GP111" s="142"/>
      <c r="GQ111" s="142"/>
      <c r="GR111" s="142"/>
      <c r="GS111" s="142"/>
      <c r="GT111" s="142"/>
      <c r="GU111" s="142"/>
      <c r="GV111" s="142"/>
      <c r="GW111" s="142"/>
      <c r="GX111" s="142"/>
      <c r="GY111" s="142"/>
      <c r="GZ111" s="142"/>
      <c r="HA111" s="142"/>
      <c r="HB111" s="142"/>
      <c r="HC111" s="142"/>
      <c r="HD111" s="142"/>
      <c r="HE111" s="142"/>
      <c r="HF111" s="142"/>
      <c r="HG111" s="142"/>
      <c r="HH111" s="142"/>
      <c r="HI111" s="142"/>
      <c r="HJ111" s="142"/>
      <c r="HK111" s="142"/>
      <c r="HL111" s="142"/>
      <c r="HM111" s="142"/>
      <c r="HN111" s="142"/>
      <c r="HO111" s="142"/>
      <c r="HP111" s="142"/>
      <c r="HQ111" s="142"/>
      <c r="HR111" s="142"/>
      <c r="HS111" s="142"/>
      <c r="HT111" s="142"/>
      <c r="HU111" s="142"/>
      <c r="HV111" s="142"/>
      <c r="HW111" s="142"/>
      <c r="HX111" s="142"/>
      <c r="HY111" s="142"/>
      <c r="HZ111" s="142"/>
      <c r="IA111" s="142"/>
      <c r="IB111" s="142"/>
      <c r="IC111" s="142"/>
      <c r="ID111" s="142"/>
      <c r="IE111" s="142"/>
      <c r="IF111" s="142"/>
      <c r="IG111" s="142"/>
      <c r="IH111" s="142"/>
      <c r="II111" s="142"/>
      <c r="IJ111" s="142"/>
      <c r="IK111" s="142"/>
      <c r="IL111" s="142"/>
      <c r="IM111" s="142"/>
      <c r="IN111" s="142"/>
      <c r="IO111" s="142"/>
      <c r="IP111" s="142"/>
      <c r="IQ111" s="142"/>
      <c r="IR111" s="142"/>
      <c r="IS111" s="142"/>
      <c r="IT111" s="142"/>
      <c r="IU111" s="142"/>
      <c r="IV111" s="142"/>
    </row>
    <row r="112" spans="1:256" s="194" customFormat="1" x14ac:dyDescent="0.25">
      <c r="A112" s="148" t="s">
        <v>4749</v>
      </c>
      <c r="B112" s="150">
        <v>863.51400000000001</v>
      </c>
      <c r="C112" s="432">
        <v>506.54899999999998</v>
      </c>
      <c r="D112" s="146">
        <f t="shared" si="6"/>
        <v>1.0009069533087001</v>
      </c>
      <c r="E112" s="146">
        <f t="shared" si="3"/>
        <v>1.000405427892834</v>
      </c>
      <c r="F112" s="432">
        <v>661.298</v>
      </c>
      <c r="G112" s="146">
        <f t="shared" si="2"/>
        <v>1.0031081985725205</v>
      </c>
      <c r="H112" s="432">
        <v>717.75099999999998</v>
      </c>
      <c r="I112" s="142"/>
      <c r="J112" s="142"/>
      <c r="K112" s="142"/>
      <c r="L112" s="142"/>
      <c r="M112" s="142"/>
      <c r="N112" s="142"/>
      <c r="O112" s="142"/>
      <c r="P112" s="142"/>
      <c r="Q112" s="142"/>
      <c r="R112" s="142"/>
      <c r="S112" s="142"/>
      <c r="T112" s="142"/>
      <c r="U112" s="142"/>
      <c r="V112" s="142"/>
      <c r="W112" s="142"/>
      <c r="X112" s="142"/>
      <c r="Y112" s="142"/>
      <c r="Z112" s="142"/>
      <c r="AA112" s="142"/>
      <c r="AB112" s="142"/>
      <c r="AC112" s="142"/>
      <c r="AD112" s="142"/>
      <c r="AE112" s="142"/>
      <c r="AF112" s="142"/>
      <c r="AG112" s="142"/>
      <c r="AH112" s="142"/>
      <c r="AI112" s="142"/>
      <c r="AJ112" s="142"/>
      <c r="AK112" s="142"/>
      <c r="AL112" s="142"/>
      <c r="AM112" s="142"/>
      <c r="AN112" s="142"/>
      <c r="AO112" s="142"/>
      <c r="AP112" s="142"/>
      <c r="AQ112" s="142"/>
      <c r="AR112" s="142"/>
      <c r="AS112" s="142"/>
      <c r="AT112" s="142"/>
      <c r="AU112" s="142"/>
      <c r="AV112" s="142"/>
      <c r="AW112" s="142"/>
      <c r="AX112" s="142"/>
      <c r="AY112" s="142"/>
      <c r="AZ112" s="142"/>
      <c r="BA112" s="142"/>
      <c r="BB112" s="142"/>
      <c r="BC112" s="142"/>
      <c r="BD112" s="142"/>
      <c r="BE112" s="142"/>
      <c r="BF112" s="142"/>
      <c r="BG112" s="142"/>
      <c r="BH112" s="142"/>
      <c r="BI112" s="142"/>
      <c r="BJ112" s="142"/>
      <c r="BK112" s="142"/>
      <c r="BL112" s="142"/>
      <c r="BM112" s="142"/>
      <c r="BN112" s="142"/>
      <c r="BO112" s="142"/>
      <c r="BP112" s="142"/>
      <c r="BQ112" s="142"/>
      <c r="BR112" s="142"/>
      <c r="BS112" s="142"/>
      <c r="BT112" s="142"/>
      <c r="BU112" s="142"/>
      <c r="BV112" s="142"/>
      <c r="BW112" s="142"/>
      <c r="BX112" s="142"/>
      <c r="BY112" s="142"/>
      <c r="BZ112" s="142"/>
      <c r="CA112" s="142"/>
      <c r="CB112" s="142"/>
      <c r="CC112" s="142"/>
      <c r="CD112" s="142"/>
      <c r="CE112" s="142"/>
      <c r="CF112" s="142"/>
      <c r="CG112" s="142"/>
      <c r="CH112" s="142"/>
      <c r="CI112" s="142"/>
      <c r="CJ112" s="142"/>
      <c r="CK112" s="142"/>
      <c r="CL112" s="142"/>
      <c r="CM112" s="142"/>
      <c r="CN112" s="142"/>
      <c r="CO112" s="142"/>
      <c r="CP112" s="142"/>
      <c r="CQ112" s="142"/>
      <c r="CR112" s="142"/>
      <c r="CS112" s="142"/>
      <c r="CT112" s="142"/>
      <c r="CU112" s="142"/>
      <c r="CV112" s="142"/>
      <c r="CW112" s="142"/>
      <c r="CX112" s="142"/>
      <c r="CY112" s="142"/>
      <c r="CZ112" s="142"/>
      <c r="DA112" s="142"/>
      <c r="DB112" s="142"/>
      <c r="DC112" s="142"/>
      <c r="DD112" s="142"/>
      <c r="DE112" s="142"/>
      <c r="DF112" s="142"/>
      <c r="DG112" s="142"/>
      <c r="DH112" s="142"/>
      <c r="DI112" s="142"/>
      <c r="DJ112" s="142"/>
      <c r="DK112" s="142"/>
      <c r="DL112" s="142"/>
      <c r="DM112" s="142"/>
      <c r="DN112" s="142"/>
      <c r="DO112" s="142"/>
      <c r="DP112" s="142"/>
      <c r="DQ112" s="142"/>
      <c r="DR112" s="142"/>
      <c r="DS112" s="142"/>
      <c r="DT112" s="142"/>
      <c r="DU112" s="142"/>
      <c r="DV112" s="142"/>
      <c r="DW112" s="142"/>
      <c r="DX112" s="142"/>
      <c r="DY112" s="142"/>
      <c r="DZ112" s="142"/>
      <c r="EA112" s="142"/>
      <c r="EB112" s="142"/>
      <c r="EC112" s="142"/>
      <c r="ED112" s="142"/>
      <c r="EE112" s="142"/>
      <c r="EF112" s="142"/>
      <c r="EG112" s="142"/>
      <c r="EH112" s="142"/>
      <c r="EI112" s="142"/>
      <c r="EJ112" s="142"/>
      <c r="EK112" s="142"/>
      <c r="EL112" s="142"/>
      <c r="EM112" s="142"/>
      <c r="EN112" s="142"/>
      <c r="EO112" s="142"/>
      <c r="EP112" s="142"/>
      <c r="EQ112" s="142"/>
      <c r="ER112" s="142"/>
      <c r="ES112" s="142"/>
      <c r="ET112" s="142"/>
      <c r="EU112" s="142"/>
      <c r="EV112" s="142"/>
      <c r="EW112" s="142"/>
      <c r="EX112" s="142"/>
      <c r="EY112" s="142"/>
      <c r="EZ112" s="142"/>
      <c r="FA112" s="142"/>
      <c r="FB112" s="142"/>
      <c r="FC112" s="142"/>
      <c r="FD112" s="142"/>
      <c r="FE112" s="142"/>
      <c r="FF112" s="142"/>
      <c r="FG112" s="142"/>
      <c r="FH112" s="142"/>
      <c r="FI112" s="142"/>
      <c r="FJ112" s="142"/>
      <c r="FK112" s="142"/>
      <c r="FL112" s="142"/>
      <c r="FM112" s="142"/>
      <c r="FN112" s="142"/>
      <c r="FO112" s="142"/>
      <c r="FP112" s="142"/>
      <c r="FQ112" s="142"/>
      <c r="FR112" s="142"/>
      <c r="FS112" s="142"/>
      <c r="FT112" s="142"/>
      <c r="FU112" s="142"/>
      <c r="FV112" s="142"/>
      <c r="FW112" s="142"/>
      <c r="FX112" s="142"/>
      <c r="FY112" s="142"/>
      <c r="FZ112" s="142"/>
      <c r="GA112" s="142"/>
      <c r="GB112" s="142"/>
      <c r="GC112" s="142"/>
      <c r="GD112" s="142"/>
      <c r="GE112" s="142"/>
      <c r="GF112" s="142"/>
      <c r="GG112" s="142"/>
      <c r="GH112" s="142"/>
      <c r="GI112" s="142"/>
      <c r="GJ112" s="142"/>
      <c r="GK112" s="142"/>
      <c r="GL112" s="142"/>
      <c r="GM112" s="142"/>
      <c r="GN112" s="142"/>
      <c r="GO112" s="142"/>
      <c r="GP112" s="142"/>
      <c r="GQ112" s="142"/>
      <c r="GR112" s="142"/>
      <c r="GS112" s="142"/>
      <c r="GT112" s="142"/>
      <c r="GU112" s="142"/>
      <c r="GV112" s="142"/>
      <c r="GW112" s="142"/>
      <c r="GX112" s="142"/>
      <c r="GY112" s="142"/>
      <c r="GZ112" s="142"/>
      <c r="HA112" s="142"/>
      <c r="HB112" s="142"/>
      <c r="HC112" s="142"/>
      <c r="HD112" s="142"/>
      <c r="HE112" s="142"/>
      <c r="HF112" s="142"/>
      <c r="HG112" s="142"/>
      <c r="HH112" s="142"/>
      <c r="HI112" s="142"/>
      <c r="HJ112" s="142"/>
      <c r="HK112" s="142"/>
      <c r="HL112" s="142"/>
      <c r="HM112" s="142"/>
      <c r="HN112" s="142"/>
      <c r="HO112" s="142"/>
      <c r="HP112" s="142"/>
      <c r="HQ112" s="142"/>
      <c r="HR112" s="142"/>
      <c r="HS112" s="142"/>
      <c r="HT112" s="142"/>
      <c r="HU112" s="142"/>
      <c r="HV112" s="142"/>
      <c r="HW112" s="142"/>
      <c r="HX112" s="142"/>
      <c r="HY112" s="142"/>
      <c r="HZ112" s="142"/>
      <c r="IA112" s="142"/>
      <c r="IB112" s="142"/>
      <c r="IC112" s="142"/>
      <c r="ID112" s="142"/>
      <c r="IE112" s="142"/>
      <c r="IF112" s="142"/>
      <c r="IG112" s="142"/>
      <c r="IH112" s="142"/>
      <c r="II112" s="142"/>
      <c r="IJ112" s="142"/>
      <c r="IK112" s="142"/>
      <c r="IL112" s="142"/>
      <c r="IM112" s="142"/>
      <c r="IN112" s="142"/>
      <c r="IO112" s="142"/>
      <c r="IP112" s="142"/>
      <c r="IQ112" s="142"/>
      <c r="IR112" s="142"/>
      <c r="IS112" s="142"/>
      <c r="IT112" s="142"/>
      <c r="IU112" s="142"/>
      <c r="IV112" s="142"/>
    </row>
    <row r="113" spans="1:256" s="194" customFormat="1" x14ac:dyDescent="0.25">
      <c r="A113" s="148" t="s">
        <v>4750</v>
      </c>
      <c r="B113" s="150">
        <v>863.51400000000001</v>
      </c>
      <c r="C113" s="432">
        <v>507.32299999999998</v>
      </c>
      <c r="D113" s="146">
        <f t="shared" si="6"/>
        <v>1.0015279864336915</v>
      </c>
      <c r="E113" s="146">
        <f t="shared" si="3"/>
        <v>1.0006835042598041</v>
      </c>
      <c r="F113" s="432">
        <v>661.75</v>
      </c>
      <c r="G113" s="146">
        <f t="shared" si="2"/>
        <v>1.0007314514365009</v>
      </c>
      <c r="H113" s="432">
        <v>718.27599999999995</v>
      </c>
      <c r="I113" s="142"/>
      <c r="J113" s="142"/>
      <c r="K113" s="142"/>
      <c r="L113" s="142"/>
      <c r="M113" s="142"/>
      <c r="N113" s="142"/>
      <c r="O113" s="142"/>
      <c r="P113" s="142"/>
      <c r="Q113" s="142"/>
      <c r="R113" s="142"/>
      <c r="S113" s="142"/>
      <c r="T113" s="142"/>
      <c r="U113" s="142"/>
      <c r="V113" s="142"/>
      <c r="W113" s="142"/>
      <c r="X113" s="142"/>
      <c r="Y113" s="142"/>
      <c r="Z113" s="142"/>
      <c r="AA113" s="142"/>
      <c r="AB113" s="142"/>
      <c r="AC113" s="142"/>
      <c r="AD113" s="142"/>
      <c r="AE113" s="142"/>
      <c r="AF113" s="142"/>
      <c r="AG113" s="142"/>
      <c r="AH113" s="142"/>
      <c r="AI113" s="142"/>
      <c r="AJ113" s="142"/>
      <c r="AK113" s="142"/>
      <c r="AL113" s="142"/>
      <c r="AM113" s="142"/>
      <c r="AN113" s="142"/>
      <c r="AO113" s="142"/>
      <c r="AP113" s="142"/>
      <c r="AQ113" s="142"/>
      <c r="AR113" s="142"/>
      <c r="AS113" s="142"/>
      <c r="AT113" s="142"/>
      <c r="AU113" s="142"/>
      <c r="AV113" s="142"/>
      <c r="AW113" s="142"/>
      <c r="AX113" s="142"/>
      <c r="AY113" s="142"/>
      <c r="AZ113" s="142"/>
      <c r="BA113" s="142"/>
      <c r="BB113" s="142"/>
      <c r="BC113" s="142"/>
      <c r="BD113" s="142"/>
      <c r="BE113" s="142"/>
      <c r="BF113" s="142"/>
      <c r="BG113" s="142"/>
      <c r="BH113" s="142"/>
      <c r="BI113" s="142"/>
      <c r="BJ113" s="142"/>
      <c r="BK113" s="142"/>
      <c r="BL113" s="142"/>
      <c r="BM113" s="142"/>
      <c r="BN113" s="142"/>
      <c r="BO113" s="142"/>
      <c r="BP113" s="142"/>
      <c r="BQ113" s="142"/>
      <c r="BR113" s="142"/>
      <c r="BS113" s="142"/>
      <c r="BT113" s="142"/>
      <c r="BU113" s="142"/>
      <c r="BV113" s="142"/>
      <c r="BW113" s="142"/>
      <c r="BX113" s="142"/>
      <c r="BY113" s="142"/>
      <c r="BZ113" s="142"/>
      <c r="CA113" s="142"/>
      <c r="CB113" s="142"/>
      <c r="CC113" s="142"/>
      <c r="CD113" s="142"/>
      <c r="CE113" s="142"/>
      <c r="CF113" s="142"/>
      <c r="CG113" s="142"/>
      <c r="CH113" s="142"/>
      <c r="CI113" s="142"/>
      <c r="CJ113" s="142"/>
      <c r="CK113" s="142"/>
      <c r="CL113" s="142"/>
      <c r="CM113" s="142"/>
      <c r="CN113" s="142"/>
      <c r="CO113" s="142"/>
      <c r="CP113" s="142"/>
      <c r="CQ113" s="142"/>
      <c r="CR113" s="142"/>
      <c r="CS113" s="142"/>
      <c r="CT113" s="142"/>
      <c r="CU113" s="142"/>
      <c r="CV113" s="142"/>
      <c r="CW113" s="142"/>
      <c r="CX113" s="142"/>
      <c r="CY113" s="142"/>
      <c r="CZ113" s="142"/>
      <c r="DA113" s="142"/>
      <c r="DB113" s="142"/>
      <c r="DC113" s="142"/>
      <c r="DD113" s="142"/>
      <c r="DE113" s="142"/>
      <c r="DF113" s="142"/>
      <c r="DG113" s="142"/>
      <c r="DH113" s="142"/>
      <c r="DI113" s="142"/>
      <c r="DJ113" s="142"/>
      <c r="DK113" s="142"/>
      <c r="DL113" s="142"/>
      <c r="DM113" s="142"/>
      <c r="DN113" s="142"/>
      <c r="DO113" s="142"/>
      <c r="DP113" s="142"/>
      <c r="DQ113" s="142"/>
      <c r="DR113" s="142"/>
      <c r="DS113" s="142"/>
      <c r="DT113" s="142"/>
      <c r="DU113" s="142"/>
      <c r="DV113" s="142"/>
      <c r="DW113" s="142"/>
      <c r="DX113" s="142"/>
      <c r="DY113" s="142"/>
      <c r="DZ113" s="142"/>
      <c r="EA113" s="142"/>
      <c r="EB113" s="142"/>
      <c r="EC113" s="142"/>
      <c r="ED113" s="142"/>
      <c r="EE113" s="142"/>
      <c r="EF113" s="142"/>
      <c r="EG113" s="142"/>
      <c r="EH113" s="142"/>
      <c r="EI113" s="142"/>
      <c r="EJ113" s="142"/>
      <c r="EK113" s="142"/>
      <c r="EL113" s="142"/>
      <c r="EM113" s="142"/>
      <c r="EN113" s="142"/>
      <c r="EO113" s="142"/>
      <c r="EP113" s="142"/>
      <c r="EQ113" s="142"/>
      <c r="ER113" s="142"/>
      <c r="ES113" s="142"/>
      <c r="ET113" s="142"/>
      <c r="EU113" s="142"/>
      <c r="EV113" s="142"/>
      <c r="EW113" s="142"/>
      <c r="EX113" s="142"/>
      <c r="EY113" s="142"/>
      <c r="EZ113" s="142"/>
      <c r="FA113" s="142"/>
      <c r="FB113" s="142"/>
      <c r="FC113" s="142"/>
      <c r="FD113" s="142"/>
      <c r="FE113" s="142"/>
      <c r="FF113" s="142"/>
      <c r="FG113" s="142"/>
      <c r="FH113" s="142"/>
      <c r="FI113" s="142"/>
      <c r="FJ113" s="142"/>
      <c r="FK113" s="142"/>
      <c r="FL113" s="142"/>
      <c r="FM113" s="142"/>
      <c r="FN113" s="142"/>
      <c r="FO113" s="142"/>
      <c r="FP113" s="142"/>
      <c r="FQ113" s="142"/>
      <c r="FR113" s="142"/>
      <c r="FS113" s="142"/>
      <c r="FT113" s="142"/>
      <c r="FU113" s="142"/>
      <c r="FV113" s="142"/>
      <c r="FW113" s="142"/>
      <c r="FX113" s="142"/>
      <c r="FY113" s="142"/>
      <c r="FZ113" s="142"/>
      <c r="GA113" s="142"/>
      <c r="GB113" s="142"/>
      <c r="GC113" s="142"/>
      <c r="GD113" s="142"/>
      <c r="GE113" s="142"/>
      <c r="GF113" s="142"/>
      <c r="GG113" s="142"/>
      <c r="GH113" s="142"/>
      <c r="GI113" s="142"/>
      <c r="GJ113" s="142"/>
      <c r="GK113" s="142"/>
      <c r="GL113" s="142"/>
      <c r="GM113" s="142"/>
      <c r="GN113" s="142"/>
      <c r="GO113" s="142"/>
      <c r="GP113" s="142"/>
      <c r="GQ113" s="142"/>
      <c r="GR113" s="142"/>
      <c r="GS113" s="142"/>
      <c r="GT113" s="142"/>
      <c r="GU113" s="142"/>
      <c r="GV113" s="142"/>
      <c r="GW113" s="142"/>
      <c r="GX113" s="142"/>
      <c r="GY113" s="142"/>
      <c r="GZ113" s="142"/>
      <c r="HA113" s="142"/>
      <c r="HB113" s="142"/>
      <c r="HC113" s="142"/>
      <c r="HD113" s="142"/>
      <c r="HE113" s="142"/>
      <c r="HF113" s="142"/>
      <c r="HG113" s="142"/>
      <c r="HH113" s="142"/>
      <c r="HI113" s="142"/>
      <c r="HJ113" s="142"/>
      <c r="HK113" s="142"/>
      <c r="HL113" s="142"/>
      <c r="HM113" s="142"/>
      <c r="HN113" s="142"/>
      <c r="HO113" s="142"/>
      <c r="HP113" s="142"/>
      <c r="HQ113" s="142"/>
      <c r="HR113" s="142"/>
      <c r="HS113" s="142"/>
      <c r="HT113" s="142"/>
      <c r="HU113" s="142"/>
      <c r="HV113" s="142"/>
      <c r="HW113" s="142"/>
      <c r="HX113" s="142"/>
      <c r="HY113" s="142"/>
      <c r="HZ113" s="142"/>
      <c r="IA113" s="142"/>
      <c r="IB113" s="142"/>
      <c r="IC113" s="142"/>
      <c r="ID113" s="142"/>
      <c r="IE113" s="142"/>
      <c r="IF113" s="142"/>
      <c r="IG113" s="142"/>
      <c r="IH113" s="142"/>
      <c r="II113" s="142"/>
      <c r="IJ113" s="142"/>
      <c r="IK113" s="142"/>
      <c r="IL113" s="142"/>
      <c r="IM113" s="142"/>
      <c r="IN113" s="142"/>
      <c r="IO113" s="142"/>
      <c r="IP113" s="142"/>
      <c r="IQ113" s="142"/>
      <c r="IR113" s="142"/>
      <c r="IS113" s="142"/>
      <c r="IT113" s="142"/>
      <c r="IU113" s="142"/>
      <c r="IV113" s="142"/>
    </row>
    <row r="114" spans="1:256" s="194" customFormat="1" x14ac:dyDescent="0.25">
      <c r="A114" s="148" t="s">
        <v>4751</v>
      </c>
      <c r="B114" s="150">
        <v>863.51400000000001</v>
      </c>
      <c r="C114" s="432">
        <v>508.7</v>
      </c>
      <c r="D114" s="146">
        <f t="shared" si="6"/>
        <v>1.0027142471364396</v>
      </c>
      <c r="E114" s="146">
        <f t="shared" si="3"/>
        <v>1.0012149603324518</v>
      </c>
      <c r="F114" s="432">
        <v>662.55399999999997</v>
      </c>
      <c r="G114" s="146">
        <f t="shared" si="2"/>
        <v>1.0030893417015188</v>
      </c>
      <c r="H114" s="432">
        <v>720.495</v>
      </c>
      <c r="I114" s="142"/>
      <c r="J114" s="142"/>
      <c r="K114" s="142"/>
      <c r="L114" s="142"/>
      <c r="M114" s="142"/>
      <c r="N114" s="142"/>
      <c r="O114" s="142"/>
      <c r="P114" s="142"/>
      <c r="Q114" s="142"/>
      <c r="R114" s="142"/>
      <c r="S114" s="142"/>
      <c r="T114" s="142"/>
      <c r="U114" s="142"/>
      <c r="V114" s="142"/>
      <c r="W114" s="142"/>
      <c r="X114" s="142"/>
      <c r="Y114" s="142"/>
      <c r="Z114" s="142"/>
      <c r="AA114" s="142"/>
      <c r="AB114" s="142"/>
      <c r="AC114" s="142"/>
      <c r="AD114" s="142"/>
      <c r="AE114" s="142"/>
      <c r="AF114" s="142"/>
      <c r="AG114" s="142"/>
      <c r="AH114" s="142"/>
      <c r="AI114" s="142"/>
      <c r="AJ114" s="142"/>
      <c r="AK114" s="142"/>
      <c r="AL114" s="142"/>
      <c r="AM114" s="142"/>
      <c r="AN114" s="142"/>
      <c r="AO114" s="142"/>
      <c r="AP114" s="142"/>
      <c r="AQ114" s="142"/>
      <c r="AR114" s="142"/>
      <c r="AS114" s="142"/>
      <c r="AT114" s="142"/>
      <c r="AU114" s="142"/>
      <c r="AV114" s="142"/>
      <c r="AW114" s="142"/>
      <c r="AX114" s="142"/>
      <c r="AY114" s="142"/>
      <c r="AZ114" s="142"/>
      <c r="BA114" s="142"/>
      <c r="BB114" s="142"/>
      <c r="BC114" s="142"/>
      <c r="BD114" s="142"/>
      <c r="BE114" s="142"/>
      <c r="BF114" s="142"/>
      <c r="BG114" s="142"/>
      <c r="BH114" s="142"/>
      <c r="BI114" s="142"/>
      <c r="BJ114" s="142"/>
      <c r="BK114" s="142"/>
      <c r="BL114" s="142"/>
      <c r="BM114" s="142"/>
      <c r="BN114" s="142"/>
      <c r="BO114" s="142"/>
      <c r="BP114" s="142"/>
      <c r="BQ114" s="142"/>
      <c r="BR114" s="142"/>
      <c r="BS114" s="142"/>
      <c r="BT114" s="142"/>
      <c r="BU114" s="142"/>
      <c r="BV114" s="142"/>
      <c r="BW114" s="142"/>
      <c r="BX114" s="142"/>
      <c r="BY114" s="142"/>
      <c r="BZ114" s="142"/>
      <c r="CA114" s="142"/>
      <c r="CB114" s="142"/>
      <c r="CC114" s="142"/>
      <c r="CD114" s="142"/>
      <c r="CE114" s="142"/>
      <c r="CF114" s="142"/>
      <c r="CG114" s="142"/>
      <c r="CH114" s="142"/>
      <c r="CI114" s="142"/>
      <c r="CJ114" s="142"/>
      <c r="CK114" s="142"/>
      <c r="CL114" s="142"/>
      <c r="CM114" s="142"/>
      <c r="CN114" s="142"/>
      <c r="CO114" s="142"/>
      <c r="CP114" s="142"/>
      <c r="CQ114" s="142"/>
      <c r="CR114" s="142"/>
      <c r="CS114" s="142"/>
      <c r="CT114" s="142"/>
      <c r="CU114" s="142"/>
      <c r="CV114" s="142"/>
      <c r="CW114" s="142"/>
      <c r="CX114" s="142"/>
      <c r="CY114" s="142"/>
      <c r="CZ114" s="142"/>
      <c r="DA114" s="142"/>
      <c r="DB114" s="142"/>
      <c r="DC114" s="142"/>
      <c r="DD114" s="142"/>
      <c r="DE114" s="142"/>
      <c r="DF114" s="142"/>
      <c r="DG114" s="142"/>
      <c r="DH114" s="142"/>
      <c r="DI114" s="142"/>
      <c r="DJ114" s="142"/>
      <c r="DK114" s="142"/>
      <c r="DL114" s="142"/>
      <c r="DM114" s="142"/>
      <c r="DN114" s="142"/>
      <c r="DO114" s="142"/>
      <c r="DP114" s="142"/>
      <c r="DQ114" s="142"/>
      <c r="DR114" s="142"/>
      <c r="DS114" s="142"/>
      <c r="DT114" s="142"/>
      <c r="DU114" s="142"/>
      <c r="DV114" s="142"/>
      <c r="DW114" s="142"/>
      <c r="DX114" s="142"/>
      <c r="DY114" s="142"/>
      <c r="DZ114" s="142"/>
      <c r="EA114" s="142"/>
      <c r="EB114" s="142"/>
      <c r="EC114" s="142"/>
      <c r="ED114" s="142"/>
      <c r="EE114" s="142"/>
      <c r="EF114" s="142"/>
      <c r="EG114" s="142"/>
      <c r="EH114" s="142"/>
      <c r="EI114" s="142"/>
      <c r="EJ114" s="142"/>
      <c r="EK114" s="142"/>
      <c r="EL114" s="142"/>
      <c r="EM114" s="142"/>
      <c r="EN114" s="142"/>
      <c r="EO114" s="142"/>
      <c r="EP114" s="142"/>
      <c r="EQ114" s="142"/>
      <c r="ER114" s="142"/>
      <c r="ES114" s="142"/>
      <c r="ET114" s="142"/>
      <c r="EU114" s="142"/>
      <c r="EV114" s="142"/>
      <c r="EW114" s="142"/>
      <c r="EX114" s="142"/>
      <c r="EY114" s="142"/>
      <c r="EZ114" s="142"/>
      <c r="FA114" s="142"/>
      <c r="FB114" s="142"/>
      <c r="FC114" s="142"/>
      <c r="FD114" s="142"/>
      <c r="FE114" s="142"/>
      <c r="FF114" s="142"/>
      <c r="FG114" s="142"/>
      <c r="FH114" s="142"/>
      <c r="FI114" s="142"/>
      <c r="FJ114" s="142"/>
      <c r="FK114" s="142"/>
      <c r="FL114" s="142"/>
      <c r="FM114" s="142"/>
      <c r="FN114" s="142"/>
      <c r="FO114" s="142"/>
      <c r="FP114" s="142"/>
      <c r="FQ114" s="142"/>
      <c r="FR114" s="142"/>
      <c r="FS114" s="142"/>
      <c r="FT114" s="142"/>
      <c r="FU114" s="142"/>
      <c r="FV114" s="142"/>
      <c r="FW114" s="142"/>
      <c r="FX114" s="142"/>
      <c r="FY114" s="142"/>
      <c r="FZ114" s="142"/>
      <c r="GA114" s="142"/>
      <c r="GB114" s="142"/>
      <c r="GC114" s="142"/>
      <c r="GD114" s="142"/>
      <c r="GE114" s="142"/>
      <c r="GF114" s="142"/>
      <c r="GG114" s="142"/>
      <c r="GH114" s="142"/>
      <c r="GI114" s="142"/>
      <c r="GJ114" s="142"/>
      <c r="GK114" s="142"/>
      <c r="GL114" s="142"/>
      <c r="GM114" s="142"/>
      <c r="GN114" s="142"/>
      <c r="GO114" s="142"/>
      <c r="GP114" s="142"/>
      <c r="GQ114" s="142"/>
      <c r="GR114" s="142"/>
      <c r="GS114" s="142"/>
      <c r="GT114" s="142"/>
      <c r="GU114" s="142"/>
      <c r="GV114" s="142"/>
      <c r="GW114" s="142"/>
      <c r="GX114" s="142"/>
      <c r="GY114" s="142"/>
      <c r="GZ114" s="142"/>
      <c r="HA114" s="142"/>
      <c r="HB114" s="142"/>
      <c r="HC114" s="142"/>
      <c r="HD114" s="142"/>
      <c r="HE114" s="142"/>
      <c r="HF114" s="142"/>
      <c r="HG114" s="142"/>
      <c r="HH114" s="142"/>
      <c r="HI114" s="142"/>
      <c r="HJ114" s="142"/>
      <c r="HK114" s="142"/>
      <c r="HL114" s="142"/>
      <c r="HM114" s="142"/>
      <c r="HN114" s="142"/>
      <c r="HO114" s="142"/>
      <c r="HP114" s="142"/>
      <c r="HQ114" s="142"/>
      <c r="HR114" s="142"/>
      <c r="HS114" s="142"/>
      <c r="HT114" s="142"/>
      <c r="HU114" s="142"/>
      <c r="HV114" s="142"/>
      <c r="HW114" s="142"/>
      <c r="HX114" s="142"/>
      <c r="HY114" s="142"/>
      <c r="HZ114" s="142"/>
      <c r="IA114" s="142"/>
      <c r="IB114" s="142"/>
      <c r="IC114" s="142"/>
      <c r="ID114" s="142"/>
      <c r="IE114" s="142"/>
      <c r="IF114" s="142"/>
      <c r="IG114" s="142"/>
      <c r="IH114" s="142"/>
      <c r="II114" s="142"/>
      <c r="IJ114" s="142"/>
      <c r="IK114" s="142"/>
      <c r="IL114" s="142"/>
      <c r="IM114" s="142"/>
      <c r="IN114" s="142"/>
      <c r="IO114" s="142"/>
      <c r="IP114" s="142"/>
      <c r="IQ114" s="142"/>
      <c r="IR114" s="142"/>
      <c r="IS114" s="142"/>
      <c r="IT114" s="142"/>
      <c r="IU114" s="142"/>
      <c r="IV114" s="142"/>
    </row>
    <row r="115" spans="1:256" s="194" customFormat="1" x14ac:dyDescent="0.25">
      <c r="A115" s="148" t="s">
        <v>4752</v>
      </c>
      <c r="B115" s="150">
        <v>863.51400000000001</v>
      </c>
      <c r="C115" s="432">
        <v>513.28300000000002</v>
      </c>
      <c r="D115" s="146">
        <f t="shared" si="6"/>
        <v>1.0090092392372716</v>
      </c>
      <c r="E115" s="146">
        <f t="shared" si="3"/>
        <v>1.0040419346951344</v>
      </c>
      <c r="F115" s="432">
        <v>665.23199999999997</v>
      </c>
      <c r="G115" s="146">
        <f t="shared" si="2"/>
        <v>1.0012755119744066</v>
      </c>
      <c r="H115" s="432">
        <v>721.41399999999999</v>
      </c>
      <c r="I115" s="142"/>
      <c r="J115" s="142"/>
      <c r="K115" s="142"/>
      <c r="L115" s="142"/>
      <c r="M115" s="142"/>
      <c r="N115" s="142"/>
      <c r="O115" s="142"/>
      <c r="P115" s="142"/>
      <c r="Q115" s="142"/>
      <c r="R115" s="142"/>
      <c r="S115" s="142"/>
      <c r="T115" s="142"/>
      <c r="U115" s="142"/>
      <c r="V115" s="142"/>
      <c r="W115" s="142"/>
      <c r="X115" s="142"/>
      <c r="Y115" s="142"/>
      <c r="Z115" s="142"/>
      <c r="AA115" s="142"/>
      <c r="AB115" s="142"/>
      <c r="AC115" s="142"/>
      <c r="AD115" s="142"/>
      <c r="AE115" s="142"/>
      <c r="AF115" s="142"/>
      <c r="AG115" s="142"/>
      <c r="AH115" s="142"/>
      <c r="AI115" s="142"/>
      <c r="AJ115" s="142"/>
      <c r="AK115" s="142"/>
      <c r="AL115" s="142"/>
      <c r="AM115" s="142"/>
      <c r="AN115" s="142"/>
      <c r="AO115" s="142"/>
      <c r="AP115" s="142"/>
      <c r="AQ115" s="142"/>
      <c r="AR115" s="142"/>
      <c r="AS115" s="142"/>
      <c r="AT115" s="142"/>
      <c r="AU115" s="142"/>
      <c r="AV115" s="142"/>
      <c r="AW115" s="142"/>
      <c r="AX115" s="142"/>
      <c r="AY115" s="142"/>
      <c r="AZ115" s="142"/>
      <c r="BA115" s="142"/>
      <c r="BB115" s="142"/>
      <c r="BC115" s="142"/>
      <c r="BD115" s="142"/>
      <c r="BE115" s="142"/>
      <c r="BF115" s="142"/>
      <c r="BG115" s="142"/>
      <c r="BH115" s="142"/>
      <c r="BI115" s="142"/>
      <c r="BJ115" s="142"/>
      <c r="BK115" s="142"/>
      <c r="BL115" s="142"/>
      <c r="BM115" s="142"/>
      <c r="BN115" s="142"/>
      <c r="BO115" s="142"/>
      <c r="BP115" s="142"/>
      <c r="BQ115" s="142"/>
      <c r="BR115" s="142"/>
      <c r="BS115" s="142"/>
      <c r="BT115" s="142"/>
      <c r="BU115" s="142"/>
      <c r="BV115" s="142"/>
      <c r="BW115" s="142"/>
      <c r="BX115" s="142"/>
      <c r="BY115" s="142"/>
      <c r="BZ115" s="142"/>
      <c r="CA115" s="142"/>
      <c r="CB115" s="142"/>
      <c r="CC115" s="142"/>
      <c r="CD115" s="142"/>
      <c r="CE115" s="142"/>
      <c r="CF115" s="142"/>
      <c r="CG115" s="142"/>
      <c r="CH115" s="142"/>
      <c r="CI115" s="142"/>
      <c r="CJ115" s="142"/>
      <c r="CK115" s="142"/>
      <c r="CL115" s="142"/>
      <c r="CM115" s="142"/>
      <c r="CN115" s="142"/>
      <c r="CO115" s="142"/>
      <c r="CP115" s="142"/>
      <c r="CQ115" s="142"/>
      <c r="CR115" s="142"/>
      <c r="CS115" s="142"/>
      <c r="CT115" s="142"/>
      <c r="CU115" s="142"/>
      <c r="CV115" s="142"/>
      <c r="CW115" s="142"/>
      <c r="CX115" s="142"/>
      <c r="CY115" s="142"/>
      <c r="CZ115" s="142"/>
      <c r="DA115" s="142"/>
      <c r="DB115" s="142"/>
      <c r="DC115" s="142"/>
      <c r="DD115" s="142"/>
      <c r="DE115" s="142"/>
      <c r="DF115" s="142"/>
      <c r="DG115" s="142"/>
      <c r="DH115" s="142"/>
      <c r="DI115" s="142"/>
      <c r="DJ115" s="142"/>
      <c r="DK115" s="142"/>
      <c r="DL115" s="142"/>
      <c r="DM115" s="142"/>
      <c r="DN115" s="142"/>
      <c r="DO115" s="142"/>
      <c r="DP115" s="142"/>
      <c r="DQ115" s="142"/>
      <c r="DR115" s="142"/>
      <c r="DS115" s="142"/>
      <c r="DT115" s="142"/>
      <c r="DU115" s="142"/>
      <c r="DV115" s="142"/>
      <c r="DW115" s="142"/>
      <c r="DX115" s="142"/>
      <c r="DY115" s="142"/>
      <c r="DZ115" s="142"/>
      <c r="EA115" s="142"/>
      <c r="EB115" s="142"/>
      <c r="EC115" s="142"/>
      <c r="ED115" s="142"/>
      <c r="EE115" s="142"/>
      <c r="EF115" s="142"/>
      <c r="EG115" s="142"/>
      <c r="EH115" s="142"/>
      <c r="EI115" s="142"/>
      <c r="EJ115" s="142"/>
      <c r="EK115" s="142"/>
      <c r="EL115" s="142"/>
      <c r="EM115" s="142"/>
      <c r="EN115" s="142"/>
      <c r="EO115" s="142"/>
      <c r="EP115" s="142"/>
      <c r="EQ115" s="142"/>
      <c r="ER115" s="142"/>
      <c r="ES115" s="142"/>
      <c r="ET115" s="142"/>
      <c r="EU115" s="142"/>
      <c r="EV115" s="142"/>
      <c r="EW115" s="142"/>
      <c r="EX115" s="142"/>
      <c r="EY115" s="142"/>
      <c r="EZ115" s="142"/>
      <c r="FA115" s="142"/>
      <c r="FB115" s="142"/>
      <c r="FC115" s="142"/>
      <c r="FD115" s="142"/>
      <c r="FE115" s="142"/>
      <c r="FF115" s="142"/>
      <c r="FG115" s="142"/>
      <c r="FH115" s="142"/>
      <c r="FI115" s="142"/>
      <c r="FJ115" s="142"/>
      <c r="FK115" s="142"/>
      <c r="FL115" s="142"/>
      <c r="FM115" s="142"/>
      <c r="FN115" s="142"/>
      <c r="FO115" s="142"/>
      <c r="FP115" s="142"/>
      <c r="FQ115" s="142"/>
      <c r="FR115" s="142"/>
      <c r="FS115" s="142"/>
      <c r="FT115" s="142"/>
      <c r="FU115" s="142"/>
      <c r="FV115" s="142"/>
      <c r="FW115" s="142"/>
      <c r="FX115" s="142"/>
      <c r="FY115" s="142"/>
      <c r="FZ115" s="142"/>
      <c r="GA115" s="142"/>
      <c r="GB115" s="142"/>
      <c r="GC115" s="142"/>
      <c r="GD115" s="142"/>
      <c r="GE115" s="142"/>
      <c r="GF115" s="142"/>
      <c r="GG115" s="142"/>
      <c r="GH115" s="142"/>
      <c r="GI115" s="142"/>
      <c r="GJ115" s="142"/>
      <c r="GK115" s="142"/>
      <c r="GL115" s="142"/>
      <c r="GM115" s="142"/>
      <c r="GN115" s="142"/>
      <c r="GO115" s="142"/>
      <c r="GP115" s="142"/>
      <c r="GQ115" s="142"/>
      <c r="GR115" s="142"/>
      <c r="GS115" s="142"/>
      <c r="GT115" s="142"/>
      <c r="GU115" s="142"/>
      <c r="GV115" s="142"/>
      <c r="GW115" s="142"/>
      <c r="GX115" s="142"/>
      <c r="GY115" s="142"/>
      <c r="GZ115" s="142"/>
      <c r="HA115" s="142"/>
      <c r="HB115" s="142"/>
      <c r="HC115" s="142"/>
      <c r="HD115" s="142"/>
      <c r="HE115" s="142"/>
      <c r="HF115" s="142"/>
      <c r="HG115" s="142"/>
      <c r="HH115" s="142"/>
      <c r="HI115" s="142"/>
      <c r="HJ115" s="142"/>
      <c r="HK115" s="142"/>
      <c r="HL115" s="142"/>
      <c r="HM115" s="142"/>
      <c r="HN115" s="142"/>
      <c r="HO115" s="142"/>
      <c r="HP115" s="142"/>
      <c r="HQ115" s="142"/>
      <c r="HR115" s="142"/>
      <c r="HS115" s="142"/>
      <c r="HT115" s="142"/>
      <c r="HU115" s="142"/>
      <c r="HV115" s="142"/>
      <c r="HW115" s="142"/>
      <c r="HX115" s="142"/>
      <c r="HY115" s="142"/>
      <c r="HZ115" s="142"/>
      <c r="IA115" s="142"/>
      <c r="IB115" s="142"/>
      <c r="IC115" s="142"/>
      <c r="ID115" s="142"/>
      <c r="IE115" s="142"/>
      <c r="IF115" s="142"/>
      <c r="IG115" s="142"/>
      <c r="IH115" s="142"/>
      <c r="II115" s="142"/>
      <c r="IJ115" s="142"/>
      <c r="IK115" s="142"/>
      <c r="IL115" s="142"/>
      <c r="IM115" s="142"/>
      <c r="IN115" s="142"/>
      <c r="IO115" s="142"/>
      <c r="IP115" s="142"/>
      <c r="IQ115" s="142"/>
      <c r="IR115" s="142"/>
      <c r="IS115" s="142"/>
      <c r="IT115" s="142"/>
      <c r="IU115" s="142"/>
      <c r="IV115" s="142"/>
    </row>
    <row r="116" spans="1:256" s="194" customFormat="1" x14ac:dyDescent="0.25">
      <c r="A116" s="148" t="s">
        <v>4753</v>
      </c>
      <c r="B116" s="150">
        <v>863.51400000000001</v>
      </c>
      <c r="C116" s="432">
        <v>516.947</v>
      </c>
      <c r="D116" s="146">
        <f t="shared" si="6"/>
        <v>1.0071383622679886</v>
      </c>
      <c r="E116" s="146">
        <f t="shared" si="3"/>
        <v>1.0032169228179042</v>
      </c>
      <c r="F116" s="432">
        <v>667.37199999999996</v>
      </c>
      <c r="G116" s="146">
        <f t="shared" si="2"/>
        <v>1.002424405403832</v>
      </c>
      <c r="H116" s="432">
        <v>723.16300000000001</v>
      </c>
      <c r="I116" s="142"/>
      <c r="J116" s="142"/>
      <c r="K116" s="142"/>
      <c r="L116" s="142"/>
      <c r="M116" s="142"/>
      <c r="N116" s="142"/>
      <c r="O116" s="142"/>
      <c r="P116" s="142"/>
      <c r="Q116" s="142"/>
      <c r="R116" s="142"/>
      <c r="S116" s="142"/>
      <c r="T116" s="142"/>
      <c r="U116" s="142"/>
      <c r="V116" s="142"/>
      <c r="W116" s="142"/>
      <c r="X116" s="142"/>
      <c r="Y116" s="142"/>
      <c r="Z116" s="142"/>
      <c r="AA116" s="142"/>
      <c r="AB116" s="142"/>
      <c r="AC116" s="142"/>
      <c r="AD116" s="142"/>
      <c r="AE116" s="142"/>
      <c r="AF116" s="142"/>
      <c r="AG116" s="142"/>
      <c r="AH116" s="142"/>
      <c r="AI116" s="142"/>
      <c r="AJ116" s="142"/>
      <c r="AK116" s="142"/>
      <c r="AL116" s="142"/>
      <c r="AM116" s="142"/>
      <c r="AN116" s="142"/>
      <c r="AO116" s="142"/>
      <c r="AP116" s="142"/>
      <c r="AQ116" s="142"/>
      <c r="AR116" s="142"/>
      <c r="AS116" s="142"/>
      <c r="AT116" s="142"/>
      <c r="AU116" s="142"/>
      <c r="AV116" s="142"/>
      <c r="AW116" s="142"/>
      <c r="AX116" s="142"/>
      <c r="AY116" s="142"/>
      <c r="AZ116" s="142"/>
      <c r="BA116" s="142"/>
      <c r="BB116" s="142"/>
      <c r="BC116" s="142"/>
      <c r="BD116" s="142"/>
      <c r="BE116" s="142"/>
      <c r="BF116" s="142"/>
      <c r="BG116" s="142"/>
      <c r="BH116" s="142"/>
      <c r="BI116" s="142"/>
      <c r="BJ116" s="142"/>
      <c r="BK116" s="142"/>
      <c r="BL116" s="142"/>
      <c r="BM116" s="142"/>
      <c r="BN116" s="142"/>
      <c r="BO116" s="142"/>
      <c r="BP116" s="142"/>
      <c r="BQ116" s="142"/>
      <c r="BR116" s="142"/>
      <c r="BS116" s="142"/>
      <c r="BT116" s="142"/>
      <c r="BU116" s="142"/>
      <c r="BV116" s="142"/>
      <c r="BW116" s="142"/>
      <c r="BX116" s="142"/>
      <c r="BY116" s="142"/>
      <c r="BZ116" s="142"/>
      <c r="CA116" s="142"/>
      <c r="CB116" s="142"/>
      <c r="CC116" s="142"/>
      <c r="CD116" s="142"/>
      <c r="CE116" s="142"/>
      <c r="CF116" s="142"/>
      <c r="CG116" s="142"/>
      <c r="CH116" s="142"/>
      <c r="CI116" s="142"/>
      <c r="CJ116" s="142"/>
      <c r="CK116" s="142"/>
      <c r="CL116" s="142"/>
      <c r="CM116" s="142"/>
      <c r="CN116" s="142"/>
      <c r="CO116" s="142"/>
      <c r="CP116" s="142"/>
      <c r="CQ116" s="142"/>
      <c r="CR116" s="142"/>
      <c r="CS116" s="142"/>
      <c r="CT116" s="142"/>
      <c r="CU116" s="142"/>
      <c r="CV116" s="142"/>
      <c r="CW116" s="142"/>
      <c r="CX116" s="142"/>
      <c r="CY116" s="142"/>
      <c r="CZ116" s="142"/>
      <c r="DA116" s="142"/>
      <c r="DB116" s="142"/>
      <c r="DC116" s="142"/>
      <c r="DD116" s="142"/>
      <c r="DE116" s="142"/>
      <c r="DF116" s="142"/>
      <c r="DG116" s="142"/>
      <c r="DH116" s="142"/>
      <c r="DI116" s="142"/>
      <c r="DJ116" s="142"/>
      <c r="DK116" s="142"/>
      <c r="DL116" s="142"/>
      <c r="DM116" s="142"/>
      <c r="DN116" s="142"/>
      <c r="DO116" s="142"/>
      <c r="DP116" s="142"/>
      <c r="DQ116" s="142"/>
      <c r="DR116" s="142"/>
      <c r="DS116" s="142"/>
      <c r="DT116" s="142"/>
      <c r="DU116" s="142"/>
      <c r="DV116" s="142"/>
      <c r="DW116" s="142"/>
      <c r="DX116" s="142"/>
      <c r="DY116" s="142"/>
      <c r="DZ116" s="142"/>
      <c r="EA116" s="142"/>
      <c r="EB116" s="142"/>
      <c r="EC116" s="142"/>
      <c r="ED116" s="142"/>
      <c r="EE116" s="142"/>
      <c r="EF116" s="142"/>
      <c r="EG116" s="142"/>
      <c r="EH116" s="142"/>
      <c r="EI116" s="142"/>
      <c r="EJ116" s="142"/>
      <c r="EK116" s="142"/>
      <c r="EL116" s="142"/>
      <c r="EM116" s="142"/>
      <c r="EN116" s="142"/>
      <c r="EO116" s="142"/>
      <c r="EP116" s="142"/>
      <c r="EQ116" s="142"/>
      <c r="ER116" s="142"/>
      <c r="ES116" s="142"/>
      <c r="ET116" s="142"/>
      <c r="EU116" s="142"/>
      <c r="EV116" s="142"/>
      <c r="EW116" s="142"/>
      <c r="EX116" s="142"/>
      <c r="EY116" s="142"/>
      <c r="EZ116" s="142"/>
      <c r="FA116" s="142"/>
      <c r="FB116" s="142"/>
      <c r="FC116" s="142"/>
      <c r="FD116" s="142"/>
      <c r="FE116" s="142"/>
      <c r="FF116" s="142"/>
      <c r="FG116" s="142"/>
      <c r="FH116" s="142"/>
      <c r="FI116" s="142"/>
      <c r="FJ116" s="142"/>
      <c r="FK116" s="142"/>
      <c r="FL116" s="142"/>
      <c r="FM116" s="142"/>
      <c r="FN116" s="142"/>
      <c r="FO116" s="142"/>
      <c r="FP116" s="142"/>
      <c r="FQ116" s="142"/>
      <c r="FR116" s="142"/>
      <c r="FS116" s="142"/>
      <c r="FT116" s="142"/>
      <c r="FU116" s="142"/>
      <c r="FV116" s="142"/>
      <c r="FW116" s="142"/>
      <c r="FX116" s="142"/>
      <c r="FY116" s="142"/>
      <c r="FZ116" s="142"/>
      <c r="GA116" s="142"/>
      <c r="GB116" s="142"/>
      <c r="GC116" s="142"/>
      <c r="GD116" s="142"/>
      <c r="GE116" s="142"/>
      <c r="GF116" s="142"/>
      <c r="GG116" s="142"/>
      <c r="GH116" s="142"/>
      <c r="GI116" s="142"/>
      <c r="GJ116" s="142"/>
      <c r="GK116" s="142"/>
      <c r="GL116" s="142"/>
      <c r="GM116" s="142"/>
      <c r="GN116" s="142"/>
      <c r="GO116" s="142"/>
      <c r="GP116" s="142"/>
      <c r="GQ116" s="142"/>
      <c r="GR116" s="142"/>
      <c r="GS116" s="142"/>
      <c r="GT116" s="142"/>
      <c r="GU116" s="142"/>
      <c r="GV116" s="142"/>
      <c r="GW116" s="142"/>
      <c r="GX116" s="142"/>
      <c r="GY116" s="142"/>
      <c r="GZ116" s="142"/>
      <c r="HA116" s="142"/>
      <c r="HB116" s="142"/>
      <c r="HC116" s="142"/>
      <c r="HD116" s="142"/>
      <c r="HE116" s="142"/>
      <c r="HF116" s="142"/>
      <c r="HG116" s="142"/>
      <c r="HH116" s="142"/>
      <c r="HI116" s="142"/>
      <c r="HJ116" s="142"/>
      <c r="HK116" s="142"/>
      <c r="HL116" s="142"/>
      <c r="HM116" s="142"/>
      <c r="HN116" s="142"/>
      <c r="HO116" s="142"/>
      <c r="HP116" s="142"/>
      <c r="HQ116" s="142"/>
      <c r="HR116" s="142"/>
      <c r="HS116" s="142"/>
      <c r="HT116" s="142"/>
      <c r="HU116" s="142"/>
      <c r="HV116" s="142"/>
      <c r="HW116" s="142"/>
      <c r="HX116" s="142"/>
      <c r="HY116" s="142"/>
      <c r="HZ116" s="142"/>
      <c r="IA116" s="142"/>
      <c r="IB116" s="142"/>
      <c r="IC116" s="142"/>
      <c r="ID116" s="142"/>
      <c r="IE116" s="142"/>
      <c r="IF116" s="142"/>
      <c r="IG116" s="142"/>
      <c r="IH116" s="142"/>
      <c r="II116" s="142"/>
      <c r="IJ116" s="142"/>
      <c r="IK116" s="142"/>
      <c r="IL116" s="142"/>
      <c r="IM116" s="142"/>
      <c r="IN116" s="142"/>
      <c r="IO116" s="142"/>
      <c r="IP116" s="142"/>
      <c r="IQ116" s="142"/>
      <c r="IR116" s="142"/>
      <c r="IS116" s="142"/>
      <c r="IT116" s="142"/>
      <c r="IU116" s="142"/>
      <c r="IV116" s="142"/>
    </row>
    <row r="117" spans="1:256" s="194" customFormat="1" x14ac:dyDescent="0.25">
      <c r="A117" s="148" t="s">
        <v>4754</v>
      </c>
      <c r="B117" s="150">
        <v>863.51400000000001</v>
      </c>
      <c r="C117" s="432">
        <v>518.89499999999998</v>
      </c>
      <c r="D117" s="146">
        <f t="shared" si="6"/>
        <v>1.0037682779859443</v>
      </c>
      <c r="E117" s="146">
        <f t="shared" si="3"/>
        <v>1.001705195902735</v>
      </c>
      <c r="F117" s="432">
        <v>668.51</v>
      </c>
      <c r="G117" s="146">
        <f t="shared" si="2"/>
        <v>1.0028790189763581</v>
      </c>
      <c r="H117" s="432">
        <v>725.245</v>
      </c>
      <c r="I117" s="142"/>
      <c r="J117" s="142"/>
      <c r="K117" s="142"/>
      <c r="L117" s="142"/>
      <c r="M117" s="142"/>
      <c r="N117" s="142"/>
      <c r="O117" s="142"/>
      <c r="P117" s="142"/>
      <c r="Q117" s="142"/>
      <c r="R117" s="142"/>
      <c r="S117" s="142"/>
      <c r="T117" s="142"/>
      <c r="U117" s="142"/>
      <c r="V117" s="142"/>
      <c r="W117" s="142"/>
      <c r="X117" s="142"/>
      <c r="Y117" s="142"/>
      <c r="Z117" s="142"/>
      <c r="AA117" s="142"/>
      <c r="AB117" s="142"/>
      <c r="AC117" s="142"/>
      <c r="AD117" s="142"/>
      <c r="AE117" s="142"/>
      <c r="AF117" s="142"/>
      <c r="AG117" s="142"/>
      <c r="AH117" s="142"/>
      <c r="AI117" s="142"/>
      <c r="AJ117" s="142"/>
      <c r="AK117" s="142"/>
      <c r="AL117" s="142"/>
      <c r="AM117" s="142"/>
      <c r="AN117" s="142"/>
      <c r="AO117" s="142"/>
      <c r="AP117" s="142"/>
      <c r="AQ117" s="142"/>
      <c r="AR117" s="142"/>
      <c r="AS117" s="142"/>
      <c r="AT117" s="142"/>
      <c r="AU117" s="142"/>
      <c r="AV117" s="142"/>
      <c r="AW117" s="142"/>
      <c r="AX117" s="142"/>
      <c r="AY117" s="142"/>
      <c r="AZ117" s="142"/>
      <c r="BA117" s="142"/>
      <c r="BB117" s="142"/>
      <c r="BC117" s="142"/>
      <c r="BD117" s="142"/>
      <c r="BE117" s="142"/>
      <c r="BF117" s="142"/>
      <c r="BG117" s="142"/>
      <c r="BH117" s="142"/>
      <c r="BI117" s="142"/>
      <c r="BJ117" s="142"/>
      <c r="BK117" s="142"/>
      <c r="BL117" s="142"/>
      <c r="BM117" s="142"/>
      <c r="BN117" s="142"/>
      <c r="BO117" s="142"/>
      <c r="BP117" s="142"/>
      <c r="BQ117" s="142"/>
      <c r="BR117" s="142"/>
      <c r="BS117" s="142"/>
      <c r="BT117" s="142"/>
      <c r="BU117" s="142"/>
      <c r="BV117" s="142"/>
      <c r="BW117" s="142"/>
      <c r="BX117" s="142"/>
      <c r="BY117" s="142"/>
      <c r="BZ117" s="142"/>
      <c r="CA117" s="142"/>
      <c r="CB117" s="142"/>
      <c r="CC117" s="142"/>
      <c r="CD117" s="142"/>
      <c r="CE117" s="142"/>
      <c r="CF117" s="142"/>
      <c r="CG117" s="142"/>
      <c r="CH117" s="142"/>
      <c r="CI117" s="142"/>
      <c r="CJ117" s="142"/>
      <c r="CK117" s="142"/>
      <c r="CL117" s="142"/>
      <c r="CM117" s="142"/>
      <c r="CN117" s="142"/>
      <c r="CO117" s="142"/>
      <c r="CP117" s="142"/>
      <c r="CQ117" s="142"/>
      <c r="CR117" s="142"/>
      <c r="CS117" s="142"/>
      <c r="CT117" s="142"/>
      <c r="CU117" s="142"/>
      <c r="CV117" s="142"/>
      <c r="CW117" s="142"/>
      <c r="CX117" s="142"/>
      <c r="CY117" s="142"/>
      <c r="CZ117" s="142"/>
      <c r="DA117" s="142"/>
      <c r="DB117" s="142"/>
      <c r="DC117" s="142"/>
      <c r="DD117" s="142"/>
      <c r="DE117" s="142"/>
      <c r="DF117" s="142"/>
      <c r="DG117" s="142"/>
      <c r="DH117" s="142"/>
      <c r="DI117" s="142"/>
      <c r="DJ117" s="142"/>
      <c r="DK117" s="142"/>
      <c r="DL117" s="142"/>
      <c r="DM117" s="142"/>
      <c r="DN117" s="142"/>
      <c r="DO117" s="142"/>
      <c r="DP117" s="142"/>
      <c r="DQ117" s="142"/>
      <c r="DR117" s="142"/>
      <c r="DS117" s="142"/>
      <c r="DT117" s="142"/>
      <c r="DU117" s="142"/>
      <c r="DV117" s="142"/>
      <c r="DW117" s="142"/>
      <c r="DX117" s="142"/>
      <c r="DY117" s="142"/>
      <c r="DZ117" s="142"/>
      <c r="EA117" s="142"/>
      <c r="EB117" s="142"/>
      <c r="EC117" s="142"/>
      <c r="ED117" s="142"/>
      <c r="EE117" s="142"/>
      <c r="EF117" s="142"/>
      <c r="EG117" s="142"/>
      <c r="EH117" s="142"/>
      <c r="EI117" s="142"/>
      <c r="EJ117" s="142"/>
      <c r="EK117" s="142"/>
      <c r="EL117" s="142"/>
      <c r="EM117" s="142"/>
      <c r="EN117" s="142"/>
      <c r="EO117" s="142"/>
      <c r="EP117" s="142"/>
      <c r="EQ117" s="142"/>
      <c r="ER117" s="142"/>
      <c r="ES117" s="142"/>
      <c r="ET117" s="142"/>
      <c r="EU117" s="142"/>
      <c r="EV117" s="142"/>
      <c r="EW117" s="142"/>
      <c r="EX117" s="142"/>
      <c r="EY117" s="142"/>
      <c r="EZ117" s="142"/>
      <c r="FA117" s="142"/>
      <c r="FB117" s="142"/>
      <c r="FC117" s="142"/>
      <c r="FD117" s="142"/>
      <c r="FE117" s="142"/>
      <c r="FF117" s="142"/>
      <c r="FG117" s="142"/>
      <c r="FH117" s="142"/>
      <c r="FI117" s="142"/>
      <c r="FJ117" s="142"/>
      <c r="FK117" s="142"/>
      <c r="FL117" s="142"/>
      <c r="FM117" s="142"/>
      <c r="FN117" s="142"/>
      <c r="FO117" s="142"/>
      <c r="FP117" s="142"/>
      <c r="FQ117" s="142"/>
      <c r="FR117" s="142"/>
      <c r="FS117" s="142"/>
      <c r="FT117" s="142"/>
      <c r="FU117" s="142"/>
      <c r="FV117" s="142"/>
      <c r="FW117" s="142"/>
      <c r="FX117" s="142"/>
      <c r="FY117" s="142"/>
      <c r="FZ117" s="142"/>
      <c r="GA117" s="142"/>
      <c r="GB117" s="142"/>
      <c r="GC117" s="142"/>
      <c r="GD117" s="142"/>
      <c r="GE117" s="142"/>
      <c r="GF117" s="142"/>
      <c r="GG117" s="142"/>
      <c r="GH117" s="142"/>
      <c r="GI117" s="142"/>
      <c r="GJ117" s="142"/>
      <c r="GK117" s="142"/>
      <c r="GL117" s="142"/>
      <c r="GM117" s="142"/>
      <c r="GN117" s="142"/>
      <c r="GO117" s="142"/>
      <c r="GP117" s="142"/>
      <c r="GQ117" s="142"/>
      <c r="GR117" s="142"/>
      <c r="GS117" s="142"/>
      <c r="GT117" s="142"/>
      <c r="GU117" s="142"/>
      <c r="GV117" s="142"/>
      <c r="GW117" s="142"/>
      <c r="GX117" s="142"/>
      <c r="GY117" s="142"/>
      <c r="GZ117" s="142"/>
      <c r="HA117" s="142"/>
      <c r="HB117" s="142"/>
      <c r="HC117" s="142"/>
      <c r="HD117" s="142"/>
      <c r="HE117" s="142"/>
      <c r="HF117" s="142"/>
      <c r="HG117" s="142"/>
      <c r="HH117" s="142"/>
      <c r="HI117" s="142"/>
      <c r="HJ117" s="142"/>
      <c r="HK117" s="142"/>
      <c r="HL117" s="142"/>
      <c r="HM117" s="142"/>
      <c r="HN117" s="142"/>
      <c r="HO117" s="142"/>
      <c r="HP117" s="142"/>
      <c r="HQ117" s="142"/>
      <c r="HR117" s="142"/>
      <c r="HS117" s="142"/>
      <c r="HT117" s="142"/>
      <c r="HU117" s="142"/>
      <c r="HV117" s="142"/>
      <c r="HW117" s="142"/>
      <c r="HX117" s="142"/>
      <c r="HY117" s="142"/>
      <c r="HZ117" s="142"/>
      <c r="IA117" s="142"/>
      <c r="IB117" s="142"/>
      <c r="IC117" s="142"/>
      <c r="ID117" s="142"/>
      <c r="IE117" s="142"/>
      <c r="IF117" s="142"/>
      <c r="IG117" s="142"/>
      <c r="IH117" s="142"/>
      <c r="II117" s="142"/>
      <c r="IJ117" s="142"/>
      <c r="IK117" s="142"/>
      <c r="IL117" s="142"/>
      <c r="IM117" s="142"/>
      <c r="IN117" s="142"/>
      <c r="IO117" s="142"/>
      <c r="IP117" s="142"/>
      <c r="IQ117" s="142"/>
      <c r="IR117" s="142"/>
      <c r="IS117" s="142"/>
      <c r="IT117" s="142"/>
      <c r="IU117" s="142"/>
      <c r="IV117" s="142"/>
    </row>
    <row r="118" spans="1:256" s="194" customFormat="1" x14ac:dyDescent="0.25">
      <c r="A118" s="148" t="s">
        <v>4755</v>
      </c>
      <c r="B118" s="150">
        <v>863.51400000000001</v>
      </c>
      <c r="C118" s="432">
        <v>521.16999999999996</v>
      </c>
      <c r="D118" s="146">
        <f t="shared" si="6"/>
        <v>1.0043843166729298</v>
      </c>
      <c r="E118" s="146">
        <f t="shared" si="3"/>
        <v>1.0019880031712316</v>
      </c>
      <c r="F118" s="432">
        <v>669.83900000000006</v>
      </c>
      <c r="G118" s="146">
        <f t="shared" si="2"/>
        <v>1.0023137008872864</v>
      </c>
      <c r="H118" s="432">
        <v>726.923</v>
      </c>
      <c r="I118" s="142"/>
      <c r="J118" s="142"/>
      <c r="K118" s="142"/>
      <c r="L118" s="142"/>
      <c r="M118" s="142"/>
      <c r="N118" s="142"/>
      <c r="O118" s="142"/>
      <c r="P118" s="142"/>
      <c r="Q118" s="142"/>
      <c r="R118" s="142"/>
      <c r="S118" s="142"/>
      <c r="T118" s="142"/>
      <c r="U118" s="142"/>
      <c r="V118" s="142"/>
      <c r="W118" s="142"/>
      <c r="X118" s="142"/>
      <c r="Y118" s="142"/>
      <c r="Z118" s="142"/>
      <c r="AA118" s="142"/>
      <c r="AB118" s="142"/>
      <c r="AC118" s="142"/>
      <c r="AD118" s="142"/>
      <c r="AE118" s="142"/>
      <c r="AF118" s="142"/>
      <c r="AG118" s="142"/>
      <c r="AH118" s="142"/>
      <c r="AI118" s="142"/>
      <c r="AJ118" s="142"/>
      <c r="AK118" s="142"/>
      <c r="AL118" s="142"/>
      <c r="AM118" s="142"/>
      <c r="AN118" s="142"/>
      <c r="AO118" s="142"/>
      <c r="AP118" s="142"/>
      <c r="AQ118" s="142"/>
      <c r="AR118" s="142"/>
      <c r="AS118" s="142"/>
      <c r="AT118" s="142"/>
      <c r="AU118" s="142"/>
      <c r="AV118" s="142"/>
      <c r="AW118" s="142"/>
      <c r="AX118" s="142"/>
      <c r="AY118" s="142"/>
      <c r="AZ118" s="142"/>
      <c r="BA118" s="142"/>
      <c r="BB118" s="142"/>
      <c r="BC118" s="142"/>
      <c r="BD118" s="142"/>
      <c r="BE118" s="142"/>
      <c r="BF118" s="142"/>
      <c r="BG118" s="142"/>
      <c r="BH118" s="142"/>
      <c r="BI118" s="142"/>
      <c r="BJ118" s="142"/>
      <c r="BK118" s="142"/>
      <c r="BL118" s="142"/>
      <c r="BM118" s="142"/>
      <c r="BN118" s="142"/>
      <c r="BO118" s="142"/>
      <c r="BP118" s="142"/>
      <c r="BQ118" s="142"/>
      <c r="BR118" s="142"/>
      <c r="BS118" s="142"/>
      <c r="BT118" s="142"/>
      <c r="BU118" s="142"/>
      <c r="BV118" s="142"/>
      <c r="BW118" s="142"/>
      <c r="BX118" s="142"/>
      <c r="BY118" s="142"/>
      <c r="BZ118" s="142"/>
      <c r="CA118" s="142"/>
      <c r="CB118" s="142"/>
      <c r="CC118" s="142"/>
      <c r="CD118" s="142"/>
      <c r="CE118" s="142"/>
      <c r="CF118" s="142"/>
      <c r="CG118" s="142"/>
      <c r="CH118" s="142"/>
      <c r="CI118" s="142"/>
      <c r="CJ118" s="142"/>
      <c r="CK118" s="142"/>
      <c r="CL118" s="142"/>
      <c r="CM118" s="142"/>
      <c r="CN118" s="142"/>
      <c r="CO118" s="142"/>
      <c r="CP118" s="142"/>
      <c r="CQ118" s="142"/>
      <c r="CR118" s="142"/>
      <c r="CS118" s="142"/>
      <c r="CT118" s="142"/>
      <c r="CU118" s="142"/>
      <c r="CV118" s="142"/>
      <c r="CW118" s="142"/>
      <c r="CX118" s="142"/>
      <c r="CY118" s="142"/>
      <c r="CZ118" s="142"/>
      <c r="DA118" s="142"/>
      <c r="DB118" s="142"/>
      <c r="DC118" s="142"/>
      <c r="DD118" s="142"/>
      <c r="DE118" s="142"/>
      <c r="DF118" s="142"/>
      <c r="DG118" s="142"/>
      <c r="DH118" s="142"/>
      <c r="DI118" s="142"/>
      <c r="DJ118" s="142"/>
      <c r="DK118" s="142"/>
      <c r="DL118" s="142"/>
      <c r="DM118" s="142"/>
      <c r="DN118" s="142"/>
      <c r="DO118" s="142"/>
      <c r="DP118" s="142"/>
      <c r="DQ118" s="142"/>
      <c r="DR118" s="142"/>
      <c r="DS118" s="142"/>
      <c r="DT118" s="142"/>
      <c r="DU118" s="142"/>
      <c r="DV118" s="142"/>
      <c r="DW118" s="142"/>
      <c r="DX118" s="142"/>
      <c r="DY118" s="142"/>
      <c r="DZ118" s="142"/>
      <c r="EA118" s="142"/>
      <c r="EB118" s="142"/>
      <c r="EC118" s="142"/>
      <c r="ED118" s="142"/>
      <c r="EE118" s="142"/>
      <c r="EF118" s="142"/>
      <c r="EG118" s="142"/>
      <c r="EH118" s="142"/>
      <c r="EI118" s="142"/>
      <c r="EJ118" s="142"/>
      <c r="EK118" s="142"/>
      <c r="EL118" s="142"/>
      <c r="EM118" s="142"/>
      <c r="EN118" s="142"/>
      <c r="EO118" s="142"/>
      <c r="EP118" s="142"/>
      <c r="EQ118" s="142"/>
      <c r="ER118" s="142"/>
      <c r="ES118" s="142"/>
      <c r="ET118" s="142"/>
      <c r="EU118" s="142"/>
      <c r="EV118" s="142"/>
      <c r="EW118" s="142"/>
      <c r="EX118" s="142"/>
      <c r="EY118" s="142"/>
      <c r="EZ118" s="142"/>
      <c r="FA118" s="142"/>
      <c r="FB118" s="142"/>
      <c r="FC118" s="142"/>
      <c r="FD118" s="142"/>
      <c r="FE118" s="142"/>
      <c r="FF118" s="142"/>
      <c r="FG118" s="142"/>
      <c r="FH118" s="142"/>
      <c r="FI118" s="142"/>
      <c r="FJ118" s="142"/>
      <c r="FK118" s="142"/>
      <c r="FL118" s="142"/>
      <c r="FM118" s="142"/>
      <c r="FN118" s="142"/>
      <c r="FO118" s="142"/>
      <c r="FP118" s="142"/>
      <c r="FQ118" s="142"/>
      <c r="FR118" s="142"/>
      <c r="FS118" s="142"/>
      <c r="FT118" s="142"/>
      <c r="FU118" s="142"/>
      <c r="FV118" s="142"/>
      <c r="FW118" s="142"/>
      <c r="FX118" s="142"/>
      <c r="FY118" s="142"/>
      <c r="FZ118" s="142"/>
      <c r="GA118" s="142"/>
      <c r="GB118" s="142"/>
      <c r="GC118" s="142"/>
      <c r="GD118" s="142"/>
      <c r="GE118" s="142"/>
      <c r="GF118" s="142"/>
      <c r="GG118" s="142"/>
      <c r="GH118" s="142"/>
      <c r="GI118" s="142"/>
      <c r="GJ118" s="142"/>
      <c r="GK118" s="142"/>
      <c r="GL118" s="142"/>
      <c r="GM118" s="142"/>
      <c r="GN118" s="142"/>
      <c r="GO118" s="142"/>
      <c r="GP118" s="142"/>
      <c r="GQ118" s="142"/>
      <c r="GR118" s="142"/>
      <c r="GS118" s="142"/>
      <c r="GT118" s="142"/>
      <c r="GU118" s="142"/>
      <c r="GV118" s="142"/>
      <c r="GW118" s="142"/>
      <c r="GX118" s="142"/>
      <c r="GY118" s="142"/>
      <c r="GZ118" s="142"/>
      <c r="HA118" s="142"/>
      <c r="HB118" s="142"/>
      <c r="HC118" s="142"/>
      <c r="HD118" s="142"/>
      <c r="HE118" s="142"/>
      <c r="HF118" s="142"/>
      <c r="HG118" s="142"/>
      <c r="HH118" s="142"/>
      <c r="HI118" s="142"/>
      <c r="HJ118" s="142"/>
      <c r="HK118" s="142"/>
      <c r="HL118" s="142"/>
      <c r="HM118" s="142"/>
      <c r="HN118" s="142"/>
      <c r="HO118" s="142"/>
      <c r="HP118" s="142"/>
      <c r="HQ118" s="142"/>
      <c r="HR118" s="142"/>
      <c r="HS118" s="142"/>
      <c r="HT118" s="142"/>
      <c r="HU118" s="142"/>
      <c r="HV118" s="142"/>
      <c r="HW118" s="142"/>
      <c r="HX118" s="142"/>
      <c r="HY118" s="142"/>
      <c r="HZ118" s="142"/>
      <c r="IA118" s="142"/>
      <c r="IB118" s="142"/>
      <c r="IC118" s="142"/>
      <c r="ID118" s="142"/>
      <c r="IE118" s="142"/>
      <c r="IF118" s="142"/>
      <c r="IG118" s="142"/>
      <c r="IH118" s="142"/>
      <c r="II118" s="142"/>
      <c r="IJ118" s="142"/>
      <c r="IK118" s="142"/>
      <c r="IL118" s="142"/>
      <c r="IM118" s="142"/>
      <c r="IN118" s="142"/>
      <c r="IO118" s="142"/>
      <c r="IP118" s="142"/>
      <c r="IQ118" s="142"/>
      <c r="IR118" s="142"/>
      <c r="IS118" s="142"/>
      <c r="IT118" s="142"/>
      <c r="IU118" s="142"/>
      <c r="IV118" s="142"/>
    </row>
    <row r="119" spans="1:256" s="194" customFormat="1" x14ac:dyDescent="0.25">
      <c r="A119" s="148" t="s">
        <v>4756</v>
      </c>
      <c r="B119" s="150">
        <v>863.51400000000001</v>
      </c>
      <c r="C119" s="432">
        <v>525.52800000000002</v>
      </c>
      <c r="D119" s="146">
        <f t="shared" si="6"/>
        <v>1.0083619548323965</v>
      </c>
      <c r="E119" s="146">
        <f t="shared" si="3"/>
        <v>1.0038009133538057</v>
      </c>
      <c r="F119" s="432">
        <v>672.38499999999999</v>
      </c>
      <c r="G119" s="146">
        <f t="shared" si="2"/>
        <v>1.0097135460014335</v>
      </c>
      <c r="H119" s="432">
        <v>733.98400000000004</v>
      </c>
      <c r="I119" s="142"/>
      <c r="J119" s="142"/>
      <c r="K119" s="142"/>
      <c r="L119" s="142"/>
      <c r="M119" s="142"/>
      <c r="N119" s="142"/>
      <c r="O119" s="142"/>
      <c r="P119" s="142"/>
      <c r="Q119" s="142"/>
      <c r="R119" s="142"/>
      <c r="S119" s="142"/>
      <c r="T119" s="142"/>
      <c r="U119" s="142"/>
      <c r="V119" s="142"/>
      <c r="W119" s="142"/>
      <c r="X119" s="142"/>
      <c r="Y119" s="142"/>
      <c r="Z119" s="142"/>
      <c r="AA119" s="142"/>
      <c r="AB119" s="142"/>
      <c r="AC119" s="142"/>
      <c r="AD119" s="142"/>
      <c r="AE119" s="142"/>
      <c r="AF119" s="142"/>
      <c r="AG119" s="142"/>
      <c r="AH119" s="142"/>
      <c r="AI119" s="142"/>
      <c r="AJ119" s="142"/>
      <c r="AK119" s="142"/>
      <c r="AL119" s="142"/>
      <c r="AM119" s="142"/>
      <c r="AN119" s="142"/>
      <c r="AO119" s="142"/>
      <c r="AP119" s="142"/>
      <c r="AQ119" s="142"/>
      <c r="AR119" s="142"/>
      <c r="AS119" s="142"/>
      <c r="AT119" s="142"/>
      <c r="AU119" s="142"/>
      <c r="AV119" s="142"/>
      <c r="AW119" s="142"/>
      <c r="AX119" s="142"/>
      <c r="AY119" s="142"/>
      <c r="AZ119" s="142"/>
      <c r="BA119" s="142"/>
      <c r="BB119" s="142"/>
      <c r="BC119" s="142"/>
      <c r="BD119" s="142"/>
      <c r="BE119" s="142"/>
      <c r="BF119" s="142"/>
      <c r="BG119" s="142"/>
      <c r="BH119" s="142"/>
      <c r="BI119" s="142"/>
      <c r="BJ119" s="142"/>
      <c r="BK119" s="142"/>
      <c r="BL119" s="142"/>
      <c r="BM119" s="142"/>
      <c r="BN119" s="142"/>
      <c r="BO119" s="142"/>
      <c r="BP119" s="142"/>
      <c r="BQ119" s="142"/>
      <c r="BR119" s="142"/>
      <c r="BS119" s="142"/>
      <c r="BT119" s="142"/>
      <c r="BU119" s="142"/>
      <c r="BV119" s="142"/>
      <c r="BW119" s="142"/>
      <c r="BX119" s="142"/>
      <c r="BY119" s="142"/>
      <c r="BZ119" s="142"/>
      <c r="CA119" s="142"/>
      <c r="CB119" s="142"/>
      <c r="CC119" s="142"/>
      <c r="CD119" s="142"/>
      <c r="CE119" s="142"/>
      <c r="CF119" s="142"/>
      <c r="CG119" s="142"/>
      <c r="CH119" s="142"/>
      <c r="CI119" s="142"/>
      <c r="CJ119" s="142"/>
      <c r="CK119" s="142"/>
      <c r="CL119" s="142"/>
      <c r="CM119" s="142"/>
      <c r="CN119" s="142"/>
      <c r="CO119" s="142"/>
      <c r="CP119" s="142"/>
      <c r="CQ119" s="142"/>
      <c r="CR119" s="142"/>
      <c r="CS119" s="142"/>
      <c r="CT119" s="142"/>
      <c r="CU119" s="142"/>
      <c r="CV119" s="142"/>
      <c r="CW119" s="142"/>
      <c r="CX119" s="142"/>
      <c r="CY119" s="142"/>
      <c r="CZ119" s="142"/>
      <c r="DA119" s="142"/>
      <c r="DB119" s="142"/>
      <c r="DC119" s="142"/>
      <c r="DD119" s="142"/>
      <c r="DE119" s="142"/>
      <c r="DF119" s="142"/>
      <c r="DG119" s="142"/>
      <c r="DH119" s="142"/>
      <c r="DI119" s="142"/>
      <c r="DJ119" s="142"/>
      <c r="DK119" s="142"/>
      <c r="DL119" s="142"/>
      <c r="DM119" s="142"/>
      <c r="DN119" s="142"/>
      <c r="DO119" s="142"/>
      <c r="DP119" s="142"/>
      <c r="DQ119" s="142"/>
      <c r="DR119" s="142"/>
      <c r="DS119" s="142"/>
      <c r="DT119" s="142"/>
      <c r="DU119" s="142"/>
      <c r="DV119" s="142"/>
      <c r="DW119" s="142"/>
      <c r="DX119" s="142"/>
      <c r="DY119" s="142"/>
      <c r="DZ119" s="142"/>
      <c r="EA119" s="142"/>
      <c r="EB119" s="142"/>
      <c r="EC119" s="142"/>
      <c r="ED119" s="142"/>
      <c r="EE119" s="142"/>
      <c r="EF119" s="142"/>
      <c r="EG119" s="142"/>
      <c r="EH119" s="142"/>
      <c r="EI119" s="142"/>
      <c r="EJ119" s="142"/>
      <c r="EK119" s="142"/>
      <c r="EL119" s="142"/>
      <c r="EM119" s="142"/>
      <c r="EN119" s="142"/>
      <c r="EO119" s="142"/>
      <c r="EP119" s="142"/>
      <c r="EQ119" s="142"/>
      <c r="ER119" s="142"/>
      <c r="ES119" s="142"/>
      <c r="ET119" s="142"/>
      <c r="EU119" s="142"/>
      <c r="EV119" s="142"/>
      <c r="EW119" s="142"/>
      <c r="EX119" s="142"/>
      <c r="EY119" s="142"/>
      <c r="EZ119" s="142"/>
      <c r="FA119" s="142"/>
      <c r="FB119" s="142"/>
      <c r="FC119" s="142"/>
      <c r="FD119" s="142"/>
      <c r="FE119" s="142"/>
      <c r="FF119" s="142"/>
      <c r="FG119" s="142"/>
      <c r="FH119" s="142"/>
      <c r="FI119" s="142"/>
      <c r="FJ119" s="142"/>
      <c r="FK119" s="142"/>
      <c r="FL119" s="142"/>
      <c r="FM119" s="142"/>
      <c r="FN119" s="142"/>
      <c r="FO119" s="142"/>
      <c r="FP119" s="142"/>
      <c r="FQ119" s="142"/>
      <c r="FR119" s="142"/>
      <c r="FS119" s="142"/>
      <c r="FT119" s="142"/>
      <c r="FU119" s="142"/>
      <c r="FV119" s="142"/>
      <c r="FW119" s="142"/>
      <c r="FX119" s="142"/>
      <c r="FY119" s="142"/>
      <c r="FZ119" s="142"/>
      <c r="GA119" s="142"/>
      <c r="GB119" s="142"/>
      <c r="GC119" s="142"/>
      <c r="GD119" s="142"/>
      <c r="GE119" s="142"/>
      <c r="GF119" s="142"/>
      <c r="GG119" s="142"/>
      <c r="GH119" s="142"/>
      <c r="GI119" s="142"/>
      <c r="GJ119" s="142"/>
      <c r="GK119" s="142"/>
      <c r="GL119" s="142"/>
      <c r="GM119" s="142"/>
      <c r="GN119" s="142"/>
      <c r="GO119" s="142"/>
      <c r="GP119" s="142"/>
      <c r="GQ119" s="142"/>
      <c r="GR119" s="142"/>
      <c r="GS119" s="142"/>
      <c r="GT119" s="142"/>
      <c r="GU119" s="142"/>
      <c r="GV119" s="142"/>
      <c r="GW119" s="142"/>
      <c r="GX119" s="142"/>
      <c r="GY119" s="142"/>
      <c r="GZ119" s="142"/>
      <c r="HA119" s="142"/>
      <c r="HB119" s="142"/>
      <c r="HC119" s="142"/>
      <c r="HD119" s="142"/>
      <c r="HE119" s="142"/>
      <c r="HF119" s="142"/>
      <c r="HG119" s="142"/>
      <c r="HH119" s="142"/>
      <c r="HI119" s="142"/>
      <c r="HJ119" s="142"/>
      <c r="HK119" s="142"/>
      <c r="HL119" s="142"/>
      <c r="HM119" s="142"/>
      <c r="HN119" s="142"/>
      <c r="HO119" s="142"/>
      <c r="HP119" s="142"/>
      <c r="HQ119" s="142"/>
      <c r="HR119" s="142"/>
      <c r="HS119" s="142"/>
      <c r="HT119" s="142"/>
      <c r="HU119" s="142"/>
      <c r="HV119" s="142"/>
      <c r="HW119" s="142"/>
      <c r="HX119" s="142"/>
      <c r="HY119" s="142"/>
      <c r="HZ119" s="142"/>
      <c r="IA119" s="142"/>
      <c r="IB119" s="142"/>
      <c r="IC119" s="142"/>
      <c r="ID119" s="142"/>
      <c r="IE119" s="142"/>
      <c r="IF119" s="142"/>
      <c r="IG119" s="142"/>
      <c r="IH119" s="142"/>
      <c r="II119" s="142"/>
      <c r="IJ119" s="142"/>
      <c r="IK119" s="142"/>
      <c r="IL119" s="142"/>
      <c r="IM119" s="142"/>
      <c r="IN119" s="142"/>
      <c r="IO119" s="142"/>
      <c r="IP119" s="142"/>
      <c r="IQ119" s="142"/>
      <c r="IR119" s="142"/>
      <c r="IS119" s="142"/>
      <c r="IT119" s="142"/>
      <c r="IU119" s="142"/>
      <c r="IV119" s="142"/>
    </row>
    <row r="120" spans="1:256" s="194" customFormat="1" x14ac:dyDescent="0.25">
      <c r="A120" s="148" t="s">
        <v>4757</v>
      </c>
      <c r="B120" s="150">
        <v>863.51400000000001</v>
      </c>
      <c r="C120" s="432">
        <v>529.90700000000004</v>
      </c>
      <c r="D120" s="146">
        <f t="shared" si="6"/>
        <v>1.0083325721940601</v>
      </c>
      <c r="E120" s="146">
        <f t="shared" si="3"/>
        <v>1.0038043680331952</v>
      </c>
      <c r="F120" s="432">
        <v>674.94299999999998</v>
      </c>
      <c r="G120" s="146">
        <f t="shared" si="2"/>
        <v>1.0061350111174086</v>
      </c>
      <c r="H120" s="432">
        <v>738.48699999999997</v>
      </c>
      <c r="I120" s="142"/>
      <c r="J120" s="142"/>
      <c r="K120" s="142"/>
      <c r="L120" s="142"/>
      <c r="M120" s="142"/>
      <c r="N120" s="142"/>
      <c r="O120" s="142"/>
      <c r="P120" s="142"/>
      <c r="Q120" s="142"/>
      <c r="R120" s="142"/>
      <c r="S120" s="142"/>
      <c r="T120" s="142"/>
      <c r="U120" s="142"/>
      <c r="V120" s="142"/>
      <c r="W120" s="142"/>
      <c r="X120" s="142"/>
      <c r="Y120" s="142"/>
      <c r="Z120" s="142"/>
      <c r="AA120" s="142"/>
      <c r="AB120" s="142"/>
      <c r="AC120" s="142"/>
      <c r="AD120" s="142"/>
      <c r="AE120" s="142"/>
      <c r="AF120" s="142"/>
      <c r="AG120" s="142"/>
      <c r="AH120" s="142"/>
      <c r="AI120" s="142"/>
      <c r="AJ120" s="142"/>
      <c r="AK120" s="142"/>
      <c r="AL120" s="142"/>
      <c r="AM120" s="142"/>
      <c r="AN120" s="142"/>
      <c r="AO120" s="142"/>
      <c r="AP120" s="142"/>
      <c r="AQ120" s="142"/>
      <c r="AR120" s="142"/>
      <c r="AS120" s="142"/>
      <c r="AT120" s="142"/>
      <c r="AU120" s="142"/>
      <c r="AV120" s="142"/>
      <c r="AW120" s="142"/>
      <c r="AX120" s="142"/>
      <c r="AY120" s="142"/>
      <c r="AZ120" s="142"/>
      <c r="BA120" s="142"/>
      <c r="BB120" s="142"/>
      <c r="BC120" s="142"/>
      <c r="BD120" s="142"/>
      <c r="BE120" s="142"/>
      <c r="BF120" s="142"/>
      <c r="BG120" s="142"/>
      <c r="BH120" s="142"/>
      <c r="BI120" s="142"/>
      <c r="BJ120" s="142"/>
      <c r="BK120" s="142"/>
      <c r="BL120" s="142"/>
      <c r="BM120" s="142"/>
      <c r="BN120" s="142"/>
      <c r="BO120" s="142"/>
      <c r="BP120" s="142"/>
      <c r="BQ120" s="142"/>
      <c r="BR120" s="142"/>
      <c r="BS120" s="142"/>
      <c r="BT120" s="142"/>
      <c r="BU120" s="142"/>
      <c r="BV120" s="142"/>
      <c r="BW120" s="142"/>
      <c r="BX120" s="142"/>
      <c r="BY120" s="142"/>
      <c r="BZ120" s="142"/>
      <c r="CA120" s="142"/>
      <c r="CB120" s="142"/>
      <c r="CC120" s="142"/>
      <c r="CD120" s="142"/>
      <c r="CE120" s="142"/>
      <c r="CF120" s="142"/>
      <c r="CG120" s="142"/>
      <c r="CH120" s="142"/>
      <c r="CI120" s="142"/>
      <c r="CJ120" s="142"/>
      <c r="CK120" s="142"/>
      <c r="CL120" s="142"/>
      <c r="CM120" s="142"/>
      <c r="CN120" s="142"/>
      <c r="CO120" s="142"/>
      <c r="CP120" s="142"/>
      <c r="CQ120" s="142"/>
      <c r="CR120" s="142"/>
      <c r="CS120" s="142"/>
      <c r="CT120" s="142"/>
      <c r="CU120" s="142"/>
      <c r="CV120" s="142"/>
      <c r="CW120" s="142"/>
      <c r="CX120" s="142"/>
      <c r="CY120" s="142"/>
      <c r="CZ120" s="142"/>
      <c r="DA120" s="142"/>
      <c r="DB120" s="142"/>
      <c r="DC120" s="142"/>
      <c r="DD120" s="142"/>
      <c r="DE120" s="142"/>
      <c r="DF120" s="142"/>
      <c r="DG120" s="142"/>
      <c r="DH120" s="142"/>
      <c r="DI120" s="142"/>
      <c r="DJ120" s="142"/>
      <c r="DK120" s="142"/>
      <c r="DL120" s="142"/>
      <c r="DM120" s="142"/>
      <c r="DN120" s="142"/>
      <c r="DO120" s="142"/>
      <c r="DP120" s="142"/>
      <c r="DQ120" s="142"/>
      <c r="DR120" s="142"/>
      <c r="DS120" s="142"/>
      <c r="DT120" s="142"/>
      <c r="DU120" s="142"/>
      <c r="DV120" s="142"/>
      <c r="DW120" s="142"/>
      <c r="DX120" s="142"/>
      <c r="DY120" s="142"/>
      <c r="DZ120" s="142"/>
      <c r="EA120" s="142"/>
      <c r="EB120" s="142"/>
      <c r="EC120" s="142"/>
      <c r="ED120" s="142"/>
      <c r="EE120" s="142"/>
      <c r="EF120" s="142"/>
      <c r="EG120" s="142"/>
      <c r="EH120" s="142"/>
      <c r="EI120" s="142"/>
      <c r="EJ120" s="142"/>
      <c r="EK120" s="142"/>
      <c r="EL120" s="142"/>
      <c r="EM120" s="142"/>
      <c r="EN120" s="142"/>
      <c r="EO120" s="142"/>
      <c r="EP120" s="142"/>
      <c r="EQ120" s="142"/>
      <c r="ER120" s="142"/>
      <c r="ES120" s="142"/>
      <c r="ET120" s="142"/>
      <c r="EU120" s="142"/>
      <c r="EV120" s="142"/>
      <c r="EW120" s="142"/>
      <c r="EX120" s="142"/>
      <c r="EY120" s="142"/>
      <c r="EZ120" s="142"/>
      <c r="FA120" s="142"/>
      <c r="FB120" s="142"/>
      <c r="FC120" s="142"/>
      <c r="FD120" s="142"/>
      <c r="FE120" s="142"/>
      <c r="FF120" s="142"/>
      <c r="FG120" s="142"/>
      <c r="FH120" s="142"/>
      <c r="FI120" s="142"/>
      <c r="FJ120" s="142"/>
      <c r="FK120" s="142"/>
      <c r="FL120" s="142"/>
      <c r="FM120" s="142"/>
      <c r="FN120" s="142"/>
      <c r="FO120" s="142"/>
      <c r="FP120" s="142"/>
      <c r="FQ120" s="142"/>
      <c r="FR120" s="142"/>
      <c r="FS120" s="142"/>
      <c r="FT120" s="142"/>
      <c r="FU120" s="142"/>
      <c r="FV120" s="142"/>
      <c r="FW120" s="142"/>
      <c r="FX120" s="142"/>
      <c r="FY120" s="142"/>
      <c r="FZ120" s="142"/>
      <c r="GA120" s="142"/>
      <c r="GB120" s="142"/>
      <c r="GC120" s="142"/>
      <c r="GD120" s="142"/>
      <c r="GE120" s="142"/>
      <c r="GF120" s="142"/>
      <c r="GG120" s="142"/>
      <c r="GH120" s="142"/>
      <c r="GI120" s="142"/>
      <c r="GJ120" s="142"/>
      <c r="GK120" s="142"/>
      <c r="GL120" s="142"/>
      <c r="GM120" s="142"/>
      <c r="GN120" s="142"/>
      <c r="GO120" s="142"/>
      <c r="GP120" s="142"/>
      <c r="GQ120" s="142"/>
      <c r="GR120" s="142"/>
      <c r="GS120" s="142"/>
      <c r="GT120" s="142"/>
      <c r="GU120" s="142"/>
      <c r="GV120" s="142"/>
      <c r="GW120" s="142"/>
      <c r="GX120" s="142"/>
      <c r="GY120" s="142"/>
      <c r="GZ120" s="142"/>
      <c r="HA120" s="142"/>
      <c r="HB120" s="142"/>
      <c r="HC120" s="142"/>
      <c r="HD120" s="142"/>
      <c r="HE120" s="142"/>
      <c r="HF120" s="142"/>
      <c r="HG120" s="142"/>
      <c r="HH120" s="142"/>
      <c r="HI120" s="142"/>
      <c r="HJ120" s="142"/>
      <c r="HK120" s="142"/>
      <c r="HL120" s="142"/>
      <c r="HM120" s="142"/>
      <c r="HN120" s="142"/>
      <c r="HO120" s="142"/>
      <c r="HP120" s="142"/>
      <c r="HQ120" s="142"/>
      <c r="HR120" s="142"/>
      <c r="HS120" s="142"/>
      <c r="HT120" s="142"/>
      <c r="HU120" s="142"/>
      <c r="HV120" s="142"/>
      <c r="HW120" s="142"/>
      <c r="HX120" s="142"/>
      <c r="HY120" s="142"/>
      <c r="HZ120" s="142"/>
      <c r="IA120" s="142"/>
      <c r="IB120" s="142"/>
      <c r="IC120" s="142"/>
      <c r="ID120" s="142"/>
      <c r="IE120" s="142"/>
      <c r="IF120" s="142"/>
      <c r="IG120" s="142"/>
      <c r="IH120" s="142"/>
      <c r="II120" s="142"/>
      <c r="IJ120" s="142"/>
      <c r="IK120" s="142"/>
      <c r="IL120" s="142"/>
      <c r="IM120" s="142"/>
      <c r="IN120" s="142"/>
      <c r="IO120" s="142"/>
      <c r="IP120" s="142"/>
      <c r="IQ120" s="142"/>
      <c r="IR120" s="142"/>
      <c r="IS120" s="142"/>
      <c r="IT120" s="142"/>
      <c r="IU120" s="142"/>
      <c r="IV120" s="142"/>
    </row>
    <row r="121" spans="1:256" s="194" customFormat="1" x14ac:dyDescent="0.25">
      <c r="A121" s="148" t="s">
        <v>4758</v>
      </c>
      <c r="B121" s="150">
        <v>863.51400000000001</v>
      </c>
      <c r="C121" s="432">
        <v>531.24900000000002</v>
      </c>
      <c r="D121" s="146">
        <f t="shared" si="6"/>
        <v>1.0025325198572579</v>
      </c>
      <c r="E121" s="146">
        <f t="shared" si="3"/>
        <v>1.001161579570423</v>
      </c>
      <c r="F121" s="432">
        <v>675.72699999999998</v>
      </c>
      <c r="G121" s="146">
        <f t="shared" si="2"/>
        <v>1.0014841154956011</v>
      </c>
      <c r="H121" s="432">
        <v>739.58299999999997</v>
      </c>
      <c r="I121" s="142"/>
      <c r="J121" s="142"/>
      <c r="K121" s="142"/>
      <c r="L121" s="142"/>
      <c r="M121" s="142"/>
      <c r="N121" s="142"/>
      <c r="O121" s="142"/>
      <c r="P121" s="142"/>
      <c r="Q121" s="142"/>
      <c r="R121" s="142"/>
      <c r="S121" s="142"/>
      <c r="T121" s="142"/>
      <c r="U121" s="142"/>
      <c r="V121" s="142"/>
      <c r="W121" s="142"/>
      <c r="X121" s="142"/>
      <c r="Y121" s="142"/>
      <c r="Z121" s="142"/>
      <c r="AA121" s="142"/>
      <c r="AB121" s="142"/>
      <c r="AC121" s="142"/>
      <c r="AD121" s="142"/>
      <c r="AE121" s="142"/>
      <c r="AF121" s="142"/>
      <c r="AG121" s="142"/>
      <c r="AH121" s="142"/>
      <c r="AI121" s="142"/>
      <c r="AJ121" s="142"/>
      <c r="AK121" s="142"/>
      <c r="AL121" s="142"/>
      <c r="AM121" s="142"/>
      <c r="AN121" s="142"/>
      <c r="AO121" s="142"/>
      <c r="AP121" s="142"/>
      <c r="AQ121" s="142"/>
      <c r="AR121" s="142"/>
      <c r="AS121" s="142"/>
      <c r="AT121" s="142"/>
      <c r="AU121" s="142"/>
      <c r="AV121" s="142"/>
      <c r="AW121" s="142"/>
      <c r="AX121" s="142"/>
      <c r="AY121" s="142"/>
      <c r="AZ121" s="142"/>
      <c r="BA121" s="142"/>
      <c r="BB121" s="142"/>
      <c r="BC121" s="142"/>
      <c r="BD121" s="142"/>
      <c r="BE121" s="142"/>
      <c r="BF121" s="142"/>
      <c r="BG121" s="142"/>
      <c r="BH121" s="142"/>
      <c r="BI121" s="142"/>
      <c r="BJ121" s="142"/>
      <c r="BK121" s="142"/>
      <c r="BL121" s="142"/>
      <c r="BM121" s="142"/>
      <c r="BN121" s="142"/>
      <c r="BO121" s="142"/>
      <c r="BP121" s="142"/>
      <c r="BQ121" s="142"/>
      <c r="BR121" s="142"/>
      <c r="BS121" s="142"/>
      <c r="BT121" s="142"/>
      <c r="BU121" s="142"/>
      <c r="BV121" s="142"/>
      <c r="BW121" s="142"/>
      <c r="BX121" s="142"/>
      <c r="BY121" s="142"/>
      <c r="BZ121" s="142"/>
      <c r="CA121" s="142"/>
      <c r="CB121" s="142"/>
      <c r="CC121" s="142"/>
      <c r="CD121" s="142"/>
      <c r="CE121" s="142"/>
      <c r="CF121" s="142"/>
      <c r="CG121" s="142"/>
      <c r="CH121" s="142"/>
      <c r="CI121" s="142"/>
      <c r="CJ121" s="142"/>
      <c r="CK121" s="142"/>
      <c r="CL121" s="142"/>
      <c r="CM121" s="142"/>
      <c r="CN121" s="142"/>
      <c r="CO121" s="142"/>
      <c r="CP121" s="142"/>
      <c r="CQ121" s="142"/>
      <c r="CR121" s="142"/>
      <c r="CS121" s="142"/>
      <c r="CT121" s="142"/>
      <c r="CU121" s="142"/>
      <c r="CV121" s="142"/>
      <c r="CW121" s="142"/>
      <c r="CX121" s="142"/>
      <c r="CY121" s="142"/>
      <c r="CZ121" s="142"/>
      <c r="DA121" s="142"/>
      <c r="DB121" s="142"/>
      <c r="DC121" s="142"/>
      <c r="DD121" s="142"/>
      <c r="DE121" s="142"/>
      <c r="DF121" s="142"/>
      <c r="DG121" s="142"/>
      <c r="DH121" s="142"/>
      <c r="DI121" s="142"/>
      <c r="DJ121" s="142"/>
      <c r="DK121" s="142"/>
      <c r="DL121" s="142"/>
      <c r="DM121" s="142"/>
      <c r="DN121" s="142"/>
      <c r="DO121" s="142"/>
      <c r="DP121" s="142"/>
      <c r="DQ121" s="142"/>
      <c r="DR121" s="142"/>
      <c r="DS121" s="142"/>
      <c r="DT121" s="142"/>
      <c r="DU121" s="142"/>
      <c r="DV121" s="142"/>
      <c r="DW121" s="142"/>
      <c r="DX121" s="142"/>
      <c r="DY121" s="142"/>
      <c r="DZ121" s="142"/>
      <c r="EA121" s="142"/>
      <c r="EB121" s="142"/>
      <c r="EC121" s="142"/>
      <c r="ED121" s="142"/>
      <c r="EE121" s="142"/>
      <c r="EF121" s="142"/>
      <c r="EG121" s="142"/>
      <c r="EH121" s="142"/>
      <c r="EI121" s="142"/>
      <c r="EJ121" s="142"/>
      <c r="EK121" s="142"/>
      <c r="EL121" s="142"/>
      <c r="EM121" s="142"/>
      <c r="EN121" s="142"/>
      <c r="EO121" s="142"/>
      <c r="EP121" s="142"/>
      <c r="EQ121" s="142"/>
      <c r="ER121" s="142"/>
      <c r="ES121" s="142"/>
      <c r="ET121" s="142"/>
      <c r="EU121" s="142"/>
      <c r="EV121" s="142"/>
      <c r="EW121" s="142"/>
      <c r="EX121" s="142"/>
      <c r="EY121" s="142"/>
      <c r="EZ121" s="142"/>
      <c r="FA121" s="142"/>
      <c r="FB121" s="142"/>
      <c r="FC121" s="142"/>
      <c r="FD121" s="142"/>
      <c r="FE121" s="142"/>
      <c r="FF121" s="142"/>
      <c r="FG121" s="142"/>
      <c r="FH121" s="142"/>
      <c r="FI121" s="142"/>
      <c r="FJ121" s="142"/>
      <c r="FK121" s="142"/>
      <c r="FL121" s="142"/>
      <c r="FM121" s="142"/>
      <c r="FN121" s="142"/>
      <c r="FO121" s="142"/>
      <c r="FP121" s="142"/>
      <c r="FQ121" s="142"/>
      <c r="FR121" s="142"/>
      <c r="FS121" s="142"/>
      <c r="FT121" s="142"/>
      <c r="FU121" s="142"/>
      <c r="FV121" s="142"/>
      <c r="FW121" s="142"/>
      <c r="FX121" s="142"/>
      <c r="FY121" s="142"/>
      <c r="FZ121" s="142"/>
      <c r="GA121" s="142"/>
      <c r="GB121" s="142"/>
      <c r="GC121" s="142"/>
      <c r="GD121" s="142"/>
      <c r="GE121" s="142"/>
      <c r="GF121" s="142"/>
      <c r="GG121" s="142"/>
      <c r="GH121" s="142"/>
      <c r="GI121" s="142"/>
      <c r="GJ121" s="142"/>
      <c r="GK121" s="142"/>
      <c r="GL121" s="142"/>
      <c r="GM121" s="142"/>
      <c r="GN121" s="142"/>
      <c r="GO121" s="142"/>
      <c r="GP121" s="142"/>
      <c r="GQ121" s="142"/>
      <c r="GR121" s="142"/>
      <c r="GS121" s="142"/>
      <c r="GT121" s="142"/>
      <c r="GU121" s="142"/>
      <c r="GV121" s="142"/>
      <c r="GW121" s="142"/>
      <c r="GX121" s="142"/>
      <c r="GY121" s="142"/>
      <c r="GZ121" s="142"/>
      <c r="HA121" s="142"/>
      <c r="HB121" s="142"/>
      <c r="HC121" s="142"/>
      <c r="HD121" s="142"/>
      <c r="HE121" s="142"/>
      <c r="HF121" s="142"/>
      <c r="HG121" s="142"/>
      <c r="HH121" s="142"/>
      <c r="HI121" s="142"/>
      <c r="HJ121" s="142"/>
      <c r="HK121" s="142"/>
      <c r="HL121" s="142"/>
      <c r="HM121" s="142"/>
      <c r="HN121" s="142"/>
      <c r="HO121" s="142"/>
      <c r="HP121" s="142"/>
      <c r="HQ121" s="142"/>
      <c r="HR121" s="142"/>
      <c r="HS121" s="142"/>
      <c r="HT121" s="142"/>
      <c r="HU121" s="142"/>
      <c r="HV121" s="142"/>
      <c r="HW121" s="142"/>
      <c r="HX121" s="142"/>
      <c r="HY121" s="142"/>
      <c r="HZ121" s="142"/>
      <c r="IA121" s="142"/>
      <c r="IB121" s="142"/>
      <c r="IC121" s="142"/>
      <c r="ID121" s="142"/>
      <c r="IE121" s="142"/>
      <c r="IF121" s="142"/>
      <c r="IG121" s="142"/>
      <c r="IH121" s="142"/>
      <c r="II121" s="142"/>
      <c r="IJ121" s="142"/>
      <c r="IK121" s="142"/>
      <c r="IL121" s="142"/>
      <c r="IM121" s="142"/>
      <c r="IN121" s="142"/>
      <c r="IO121" s="142"/>
      <c r="IP121" s="142"/>
      <c r="IQ121" s="142"/>
      <c r="IR121" s="142"/>
      <c r="IS121" s="142"/>
      <c r="IT121" s="142"/>
      <c r="IU121" s="142"/>
      <c r="IV121" s="142"/>
    </row>
    <row r="122" spans="1:256" s="194" customFormat="1" x14ac:dyDescent="0.25">
      <c r="A122" s="148" t="s">
        <v>4759</v>
      </c>
      <c r="B122" s="150">
        <v>868.70899999999995</v>
      </c>
      <c r="C122" s="432">
        <v>532.47699999999998</v>
      </c>
      <c r="D122" s="146">
        <f t="shared" si="6"/>
        <v>1.002311533762887</v>
      </c>
      <c r="E122" s="146">
        <f t="shared" si="3"/>
        <v>1.0043138723182587</v>
      </c>
      <c r="F122" s="432">
        <v>678.64200000000005</v>
      </c>
      <c r="G122" s="146">
        <f t="shared" si="2"/>
        <v>1.0023283390775612</v>
      </c>
      <c r="H122" s="432">
        <v>741.30499999999995</v>
      </c>
      <c r="I122" s="142"/>
      <c r="J122" s="142"/>
      <c r="K122" s="142"/>
      <c r="L122" s="142"/>
      <c r="M122" s="142"/>
      <c r="N122" s="142"/>
      <c r="O122" s="142"/>
      <c r="P122" s="142"/>
      <c r="Q122" s="142"/>
      <c r="R122" s="142"/>
      <c r="S122" s="142"/>
      <c r="T122" s="142"/>
      <c r="U122" s="142"/>
      <c r="V122" s="142"/>
      <c r="W122" s="142"/>
      <c r="X122" s="142"/>
      <c r="Y122" s="142"/>
      <c r="Z122" s="142"/>
      <c r="AA122" s="142"/>
      <c r="AB122" s="142"/>
      <c r="AC122" s="142"/>
      <c r="AD122" s="142"/>
      <c r="AE122" s="142"/>
      <c r="AF122" s="142"/>
      <c r="AG122" s="142"/>
      <c r="AH122" s="142"/>
      <c r="AI122" s="142"/>
      <c r="AJ122" s="142"/>
      <c r="AK122" s="142"/>
      <c r="AL122" s="142"/>
      <c r="AM122" s="142"/>
      <c r="AN122" s="142"/>
      <c r="AO122" s="142"/>
      <c r="AP122" s="142"/>
      <c r="AQ122" s="142"/>
      <c r="AR122" s="142"/>
      <c r="AS122" s="142"/>
      <c r="AT122" s="142"/>
      <c r="AU122" s="142"/>
      <c r="AV122" s="142"/>
      <c r="AW122" s="142"/>
      <c r="AX122" s="142"/>
      <c r="AY122" s="142"/>
      <c r="AZ122" s="142"/>
      <c r="BA122" s="142"/>
      <c r="BB122" s="142"/>
      <c r="BC122" s="142"/>
      <c r="BD122" s="142"/>
      <c r="BE122" s="142"/>
      <c r="BF122" s="142"/>
      <c r="BG122" s="142"/>
      <c r="BH122" s="142"/>
      <c r="BI122" s="142"/>
      <c r="BJ122" s="142"/>
      <c r="BK122" s="142"/>
      <c r="BL122" s="142"/>
      <c r="BM122" s="142"/>
      <c r="BN122" s="142"/>
      <c r="BO122" s="142"/>
      <c r="BP122" s="142"/>
      <c r="BQ122" s="142"/>
      <c r="BR122" s="142"/>
      <c r="BS122" s="142"/>
      <c r="BT122" s="142"/>
      <c r="BU122" s="142"/>
      <c r="BV122" s="142"/>
      <c r="BW122" s="142"/>
      <c r="BX122" s="142"/>
      <c r="BY122" s="142"/>
      <c r="BZ122" s="142"/>
      <c r="CA122" s="142"/>
      <c r="CB122" s="142"/>
      <c r="CC122" s="142"/>
      <c r="CD122" s="142"/>
      <c r="CE122" s="142"/>
      <c r="CF122" s="142"/>
      <c r="CG122" s="142"/>
      <c r="CH122" s="142"/>
      <c r="CI122" s="142"/>
      <c r="CJ122" s="142"/>
      <c r="CK122" s="142"/>
      <c r="CL122" s="142"/>
      <c r="CM122" s="142"/>
      <c r="CN122" s="142"/>
      <c r="CO122" s="142"/>
      <c r="CP122" s="142"/>
      <c r="CQ122" s="142"/>
      <c r="CR122" s="142"/>
      <c r="CS122" s="142"/>
      <c r="CT122" s="142"/>
      <c r="CU122" s="142"/>
      <c r="CV122" s="142"/>
      <c r="CW122" s="142"/>
      <c r="CX122" s="142"/>
      <c r="CY122" s="142"/>
      <c r="CZ122" s="142"/>
      <c r="DA122" s="142"/>
      <c r="DB122" s="142"/>
      <c r="DC122" s="142"/>
      <c r="DD122" s="142"/>
      <c r="DE122" s="142"/>
      <c r="DF122" s="142"/>
      <c r="DG122" s="142"/>
      <c r="DH122" s="142"/>
      <c r="DI122" s="142"/>
      <c r="DJ122" s="142"/>
      <c r="DK122" s="142"/>
      <c r="DL122" s="142"/>
      <c r="DM122" s="142"/>
      <c r="DN122" s="142"/>
      <c r="DO122" s="142"/>
      <c r="DP122" s="142"/>
      <c r="DQ122" s="142"/>
      <c r="DR122" s="142"/>
      <c r="DS122" s="142"/>
      <c r="DT122" s="142"/>
      <c r="DU122" s="142"/>
      <c r="DV122" s="142"/>
      <c r="DW122" s="142"/>
      <c r="DX122" s="142"/>
      <c r="DY122" s="142"/>
      <c r="DZ122" s="142"/>
      <c r="EA122" s="142"/>
      <c r="EB122" s="142"/>
      <c r="EC122" s="142"/>
      <c r="ED122" s="142"/>
      <c r="EE122" s="142"/>
      <c r="EF122" s="142"/>
      <c r="EG122" s="142"/>
      <c r="EH122" s="142"/>
      <c r="EI122" s="142"/>
      <c r="EJ122" s="142"/>
      <c r="EK122" s="142"/>
      <c r="EL122" s="142"/>
      <c r="EM122" s="142"/>
      <c r="EN122" s="142"/>
      <c r="EO122" s="142"/>
      <c r="EP122" s="142"/>
      <c r="EQ122" s="142"/>
      <c r="ER122" s="142"/>
      <c r="ES122" s="142"/>
      <c r="ET122" s="142"/>
      <c r="EU122" s="142"/>
      <c r="EV122" s="142"/>
      <c r="EW122" s="142"/>
      <c r="EX122" s="142"/>
      <c r="EY122" s="142"/>
      <c r="EZ122" s="142"/>
      <c r="FA122" s="142"/>
      <c r="FB122" s="142"/>
      <c r="FC122" s="142"/>
      <c r="FD122" s="142"/>
      <c r="FE122" s="142"/>
      <c r="FF122" s="142"/>
      <c r="FG122" s="142"/>
      <c r="FH122" s="142"/>
      <c r="FI122" s="142"/>
      <c r="FJ122" s="142"/>
      <c r="FK122" s="142"/>
      <c r="FL122" s="142"/>
      <c r="FM122" s="142"/>
      <c r="FN122" s="142"/>
      <c r="FO122" s="142"/>
      <c r="FP122" s="142"/>
      <c r="FQ122" s="142"/>
      <c r="FR122" s="142"/>
      <c r="FS122" s="142"/>
      <c r="FT122" s="142"/>
      <c r="FU122" s="142"/>
      <c r="FV122" s="142"/>
      <c r="FW122" s="142"/>
      <c r="FX122" s="142"/>
      <c r="FY122" s="142"/>
      <c r="FZ122" s="142"/>
      <c r="GA122" s="142"/>
      <c r="GB122" s="142"/>
      <c r="GC122" s="142"/>
      <c r="GD122" s="142"/>
      <c r="GE122" s="142"/>
      <c r="GF122" s="142"/>
      <c r="GG122" s="142"/>
      <c r="GH122" s="142"/>
      <c r="GI122" s="142"/>
      <c r="GJ122" s="142"/>
      <c r="GK122" s="142"/>
      <c r="GL122" s="142"/>
      <c r="GM122" s="142"/>
      <c r="GN122" s="142"/>
      <c r="GO122" s="142"/>
      <c r="GP122" s="142"/>
      <c r="GQ122" s="142"/>
      <c r="GR122" s="142"/>
      <c r="GS122" s="142"/>
      <c r="GT122" s="142"/>
      <c r="GU122" s="142"/>
      <c r="GV122" s="142"/>
      <c r="GW122" s="142"/>
      <c r="GX122" s="142"/>
      <c r="GY122" s="142"/>
      <c r="GZ122" s="142"/>
      <c r="HA122" s="142"/>
      <c r="HB122" s="142"/>
      <c r="HC122" s="142"/>
      <c r="HD122" s="142"/>
      <c r="HE122" s="142"/>
      <c r="HF122" s="142"/>
      <c r="HG122" s="142"/>
      <c r="HH122" s="142"/>
      <c r="HI122" s="142"/>
      <c r="HJ122" s="142"/>
      <c r="HK122" s="142"/>
      <c r="HL122" s="142"/>
      <c r="HM122" s="142"/>
      <c r="HN122" s="142"/>
      <c r="HO122" s="142"/>
      <c r="HP122" s="142"/>
      <c r="HQ122" s="142"/>
      <c r="HR122" s="142"/>
      <c r="HS122" s="142"/>
      <c r="HT122" s="142"/>
      <c r="HU122" s="142"/>
      <c r="HV122" s="142"/>
      <c r="HW122" s="142"/>
      <c r="HX122" s="142"/>
      <c r="HY122" s="142"/>
      <c r="HZ122" s="142"/>
      <c r="IA122" s="142"/>
      <c r="IB122" s="142"/>
      <c r="IC122" s="142"/>
      <c r="ID122" s="142"/>
      <c r="IE122" s="142"/>
      <c r="IF122" s="142"/>
      <c r="IG122" s="142"/>
      <c r="IH122" s="142"/>
      <c r="II122" s="142"/>
      <c r="IJ122" s="142"/>
      <c r="IK122" s="142"/>
      <c r="IL122" s="142"/>
      <c r="IM122" s="142"/>
      <c r="IN122" s="142"/>
      <c r="IO122" s="142"/>
      <c r="IP122" s="142"/>
      <c r="IQ122" s="142"/>
      <c r="IR122" s="142"/>
      <c r="IS122" s="142"/>
      <c r="IT122" s="142"/>
      <c r="IU122" s="142"/>
      <c r="IV122" s="142"/>
    </row>
    <row r="123" spans="1:256" s="194" customFormat="1" x14ac:dyDescent="0.25">
      <c r="A123" s="148" t="s">
        <v>4760</v>
      </c>
      <c r="B123" s="150">
        <v>881.93600000000004</v>
      </c>
      <c r="C123" s="432">
        <v>535.28599999999994</v>
      </c>
      <c r="D123" s="146">
        <f t="shared" si="6"/>
        <v>1.0052753452261787</v>
      </c>
      <c r="E123" s="146">
        <f t="shared" si="3"/>
        <v>1.0106639435814464</v>
      </c>
      <c r="F123" s="432">
        <v>685.87900000000002</v>
      </c>
      <c r="G123" s="146">
        <f t="shared" si="2"/>
        <v>1.0034547183682829</v>
      </c>
      <c r="H123" s="432">
        <v>743.86599999999999</v>
      </c>
      <c r="I123" s="142"/>
      <c r="J123" s="142"/>
      <c r="K123" s="142"/>
      <c r="L123" s="142"/>
      <c r="M123" s="142"/>
      <c r="N123" s="142"/>
      <c r="O123" s="142"/>
      <c r="P123" s="142"/>
      <c r="Q123" s="142"/>
      <c r="R123" s="142"/>
      <c r="S123" s="142"/>
      <c r="T123" s="142"/>
      <c r="U123" s="142"/>
      <c r="V123" s="142"/>
      <c r="W123" s="142"/>
      <c r="X123" s="142"/>
      <c r="Y123" s="142"/>
      <c r="Z123" s="142"/>
      <c r="AA123" s="142"/>
      <c r="AB123" s="142"/>
      <c r="AC123" s="142"/>
      <c r="AD123" s="142"/>
      <c r="AE123" s="142"/>
      <c r="AF123" s="142"/>
      <c r="AG123" s="142"/>
      <c r="AH123" s="142"/>
      <c r="AI123" s="142"/>
      <c r="AJ123" s="142"/>
      <c r="AK123" s="142"/>
      <c r="AL123" s="142"/>
      <c r="AM123" s="142"/>
      <c r="AN123" s="142"/>
      <c r="AO123" s="142"/>
      <c r="AP123" s="142"/>
      <c r="AQ123" s="142"/>
      <c r="AR123" s="142"/>
      <c r="AS123" s="142"/>
      <c r="AT123" s="142"/>
      <c r="AU123" s="142"/>
      <c r="AV123" s="142"/>
      <c r="AW123" s="142"/>
      <c r="AX123" s="142"/>
      <c r="AY123" s="142"/>
      <c r="AZ123" s="142"/>
      <c r="BA123" s="142"/>
      <c r="BB123" s="142"/>
      <c r="BC123" s="142"/>
      <c r="BD123" s="142"/>
      <c r="BE123" s="142"/>
      <c r="BF123" s="142"/>
      <c r="BG123" s="142"/>
      <c r="BH123" s="142"/>
      <c r="BI123" s="142"/>
      <c r="BJ123" s="142"/>
      <c r="BK123" s="142"/>
      <c r="BL123" s="142"/>
      <c r="BM123" s="142"/>
      <c r="BN123" s="142"/>
      <c r="BO123" s="142"/>
      <c r="BP123" s="142"/>
      <c r="BQ123" s="142"/>
      <c r="BR123" s="142"/>
      <c r="BS123" s="142"/>
      <c r="BT123" s="142"/>
      <c r="BU123" s="142"/>
      <c r="BV123" s="142"/>
      <c r="BW123" s="142"/>
      <c r="BX123" s="142"/>
      <c r="BY123" s="142"/>
      <c r="BZ123" s="142"/>
      <c r="CA123" s="142"/>
      <c r="CB123" s="142"/>
      <c r="CC123" s="142"/>
      <c r="CD123" s="142"/>
      <c r="CE123" s="142"/>
      <c r="CF123" s="142"/>
      <c r="CG123" s="142"/>
      <c r="CH123" s="142"/>
      <c r="CI123" s="142"/>
      <c r="CJ123" s="142"/>
      <c r="CK123" s="142"/>
      <c r="CL123" s="142"/>
      <c r="CM123" s="142"/>
      <c r="CN123" s="142"/>
      <c r="CO123" s="142"/>
      <c r="CP123" s="142"/>
      <c r="CQ123" s="142"/>
      <c r="CR123" s="142"/>
      <c r="CS123" s="142"/>
      <c r="CT123" s="142"/>
      <c r="CU123" s="142"/>
      <c r="CV123" s="142"/>
      <c r="CW123" s="142"/>
      <c r="CX123" s="142"/>
      <c r="CY123" s="142"/>
      <c r="CZ123" s="142"/>
      <c r="DA123" s="142"/>
      <c r="DB123" s="142"/>
      <c r="DC123" s="142"/>
      <c r="DD123" s="142"/>
      <c r="DE123" s="142"/>
      <c r="DF123" s="142"/>
      <c r="DG123" s="142"/>
      <c r="DH123" s="142"/>
      <c r="DI123" s="142"/>
      <c r="DJ123" s="142"/>
      <c r="DK123" s="142"/>
      <c r="DL123" s="142"/>
      <c r="DM123" s="142"/>
      <c r="DN123" s="142"/>
      <c r="DO123" s="142"/>
      <c r="DP123" s="142"/>
      <c r="DQ123" s="142"/>
      <c r="DR123" s="142"/>
      <c r="DS123" s="142"/>
      <c r="DT123" s="142"/>
      <c r="DU123" s="142"/>
      <c r="DV123" s="142"/>
      <c r="DW123" s="142"/>
      <c r="DX123" s="142"/>
      <c r="DY123" s="142"/>
      <c r="DZ123" s="142"/>
      <c r="EA123" s="142"/>
      <c r="EB123" s="142"/>
      <c r="EC123" s="142"/>
      <c r="ED123" s="142"/>
      <c r="EE123" s="142"/>
      <c r="EF123" s="142"/>
      <c r="EG123" s="142"/>
      <c r="EH123" s="142"/>
      <c r="EI123" s="142"/>
      <c r="EJ123" s="142"/>
      <c r="EK123" s="142"/>
      <c r="EL123" s="142"/>
      <c r="EM123" s="142"/>
      <c r="EN123" s="142"/>
      <c r="EO123" s="142"/>
      <c r="EP123" s="142"/>
      <c r="EQ123" s="142"/>
      <c r="ER123" s="142"/>
      <c r="ES123" s="142"/>
      <c r="ET123" s="142"/>
      <c r="EU123" s="142"/>
      <c r="EV123" s="142"/>
      <c r="EW123" s="142"/>
      <c r="EX123" s="142"/>
      <c r="EY123" s="142"/>
      <c r="EZ123" s="142"/>
      <c r="FA123" s="142"/>
      <c r="FB123" s="142"/>
      <c r="FC123" s="142"/>
      <c r="FD123" s="142"/>
      <c r="FE123" s="142"/>
      <c r="FF123" s="142"/>
      <c r="FG123" s="142"/>
      <c r="FH123" s="142"/>
      <c r="FI123" s="142"/>
      <c r="FJ123" s="142"/>
      <c r="FK123" s="142"/>
      <c r="FL123" s="142"/>
      <c r="FM123" s="142"/>
      <c r="FN123" s="142"/>
      <c r="FO123" s="142"/>
      <c r="FP123" s="142"/>
      <c r="FQ123" s="142"/>
      <c r="FR123" s="142"/>
      <c r="FS123" s="142"/>
      <c r="FT123" s="142"/>
      <c r="FU123" s="142"/>
      <c r="FV123" s="142"/>
      <c r="FW123" s="142"/>
      <c r="FX123" s="142"/>
      <c r="FY123" s="142"/>
      <c r="FZ123" s="142"/>
      <c r="GA123" s="142"/>
      <c r="GB123" s="142"/>
      <c r="GC123" s="142"/>
      <c r="GD123" s="142"/>
      <c r="GE123" s="142"/>
      <c r="GF123" s="142"/>
      <c r="GG123" s="142"/>
      <c r="GH123" s="142"/>
      <c r="GI123" s="142"/>
      <c r="GJ123" s="142"/>
      <c r="GK123" s="142"/>
      <c r="GL123" s="142"/>
      <c r="GM123" s="142"/>
      <c r="GN123" s="142"/>
      <c r="GO123" s="142"/>
      <c r="GP123" s="142"/>
      <c r="GQ123" s="142"/>
      <c r="GR123" s="142"/>
      <c r="GS123" s="142"/>
      <c r="GT123" s="142"/>
      <c r="GU123" s="142"/>
      <c r="GV123" s="142"/>
      <c r="GW123" s="142"/>
      <c r="GX123" s="142"/>
      <c r="GY123" s="142"/>
      <c r="GZ123" s="142"/>
      <c r="HA123" s="142"/>
      <c r="HB123" s="142"/>
      <c r="HC123" s="142"/>
      <c r="HD123" s="142"/>
      <c r="HE123" s="142"/>
      <c r="HF123" s="142"/>
      <c r="HG123" s="142"/>
      <c r="HH123" s="142"/>
      <c r="HI123" s="142"/>
      <c r="HJ123" s="142"/>
      <c r="HK123" s="142"/>
      <c r="HL123" s="142"/>
      <c r="HM123" s="142"/>
      <c r="HN123" s="142"/>
      <c r="HO123" s="142"/>
      <c r="HP123" s="142"/>
      <c r="HQ123" s="142"/>
      <c r="HR123" s="142"/>
      <c r="HS123" s="142"/>
      <c r="HT123" s="142"/>
      <c r="HU123" s="142"/>
      <c r="HV123" s="142"/>
      <c r="HW123" s="142"/>
      <c r="HX123" s="142"/>
      <c r="HY123" s="142"/>
      <c r="HZ123" s="142"/>
      <c r="IA123" s="142"/>
      <c r="IB123" s="142"/>
      <c r="IC123" s="142"/>
      <c r="ID123" s="142"/>
      <c r="IE123" s="142"/>
      <c r="IF123" s="142"/>
      <c r="IG123" s="142"/>
      <c r="IH123" s="142"/>
      <c r="II123" s="142"/>
      <c r="IJ123" s="142"/>
      <c r="IK123" s="142"/>
      <c r="IL123" s="142"/>
      <c r="IM123" s="142"/>
      <c r="IN123" s="142"/>
      <c r="IO123" s="142"/>
      <c r="IP123" s="142"/>
      <c r="IQ123" s="142"/>
      <c r="IR123" s="142"/>
      <c r="IS123" s="142"/>
      <c r="IT123" s="142"/>
      <c r="IU123" s="142"/>
      <c r="IV123" s="142"/>
    </row>
    <row r="124" spans="1:256" s="194" customFormat="1" x14ac:dyDescent="0.25">
      <c r="A124" s="148" t="s">
        <v>4761</v>
      </c>
      <c r="B124" s="150">
        <v>881.93600000000004</v>
      </c>
      <c r="C124" s="432">
        <v>540.05499999999995</v>
      </c>
      <c r="D124" s="146">
        <f>C124/C123</f>
        <v>1.0089092559865194</v>
      </c>
      <c r="E124" s="146">
        <f>F124/F123</f>
        <v>1.0040619409545999</v>
      </c>
      <c r="F124" s="432">
        <v>688.66499999999996</v>
      </c>
      <c r="G124" s="146">
        <f t="shared" si="2"/>
        <v>1.0013429838169778</v>
      </c>
      <c r="H124" s="432">
        <v>744.86500000000001</v>
      </c>
      <c r="I124" s="142"/>
      <c r="J124" s="142"/>
      <c r="K124" s="142"/>
      <c r="L124" s="142"/>
      <c r="M124" s="142"/>
      <c r="N124" s="142"/>
      <c r="O124" s="142"/>
      <c r="P124" s="142"/>
      <c r="Q124" s="142"/>
      <c r="R124" s="142"/>
      <c r="S124" s="142"/>
      <c r="T124" s="142"/>
      <c r="U124" s="142"/>
      <c r="V124" s="142"/>
      <c r="W124" s="142"/>
      <c r="X124" s="142"/>
      <c r="Y124" s="142"/>
      <c r="Z124" s="142"/>
      <c r="AA124" s="142"/>
      <c r="AB124" s="142"/>
      <c r="AC124" s="142"/>
      <c r="AD124" s="142"/>
      <c r="AE124" s="142"/>
      <c r="AF124" s="142"/>
      <c r="AG124" s="142"/>
      <c r="AH124" s="142"/>
      <c r="AI124" s="142"/>
      <c r="AJ124" s="142"/>
      <c r="AK124" s="142"/>
      <c r="AL124" s="142"/>
      <c r="AM124" s="142"/>
      <c r="AN124" s="142"/>
      <c r="AO124" s="142"/>
      <c r="AP124" s="142"/>
      <c r="AQ124" s="142"/>
      <c r="AR124" s="142"/>
      <c r="AS124" s="142"/>
      <c r="AT124" s="142"/>
      <c r="AU124" s="142"/>
      <c r="AV124" s="142"/>
      <c r="AW124" s="142"/>
      <c r="AX124" s="142"/>
      <c r="AY124" s="142"/>
      <c r="AZ124" s="142"/>
      <c r="BA124" s="142"/>
      <c r="BB124" s="142"/>
      <c r="BC124" s="142"/>
      <c r="BD124" s="142"/>
      <c r="BE124" s="142"/>
      <c r="BF124" s="142"/>
      <c r="BG124" s="142"/>
      <c r="BH124" s="142"/>
      <c r="BI124" s="142"/>
      <c r="BJ124" s="142"/>
      <c r="BK124" s="142"/>
      <c r="BL124" s="142"/>
      <c r="BM124" s="142"/>
      <c r="BN124" s="142"/>
      <c r="BO124" s="142"/>
      <c r="BP124" s="142"/>
      <c r="BQ124" s="142"/>
      <c r="BR124" s="142"/>
      <c r="BS124" s="142"/>
      <c r="BT124" s="142"/>
      <c r="BU124" s="142"/>
      <c r="BV124" s="142"/>
      <c r="BW124" s="142"/>
      <c r="BX124" s="142"/>
      <c r="BY124" s="142"/>
      <c r="BZ124" s="142"/>
      <c r="CA124" s="142"/>
      <c r="CB124" s="142"/>
      <c r="CC124" s="142"/>
      <c r="CD124" s="142"/>
      <c r="CE124" s="142"/>
      <c r="CF124" s="142"/>
      <c r="CG124" s="142"/>
      <c r="CH124" s="142"/>
      <c r="CI124" s="142"/>
      <c r="CJ124" s="142"/>
      <c r="CK124" s="142"/>
      <c r="CL124" s="142"/>
      <c r="CM124" s="142"/>
      <c r="CN124" s="142"/>
      <c r="CO124" s="142"/>
      <c r="CP124" s="142"/>
      <c r="CQ124" s="142"/>
      <c r="CR124" s="142"/>
      <c r="CS124" s="142"/>
      <c r="CT124" s="142"/>
      <c r="CU124" s="142"/>
      <c r="CV124" s="142"/>
      <c r="CW124" s="142"/>
      <c r="CX124" s="142"/>
      <c r="CY124" s="142"/>
      <c r="CZ124" s="142"/>
      <c r="DA124" s="142"/>
      <c r="DB124" s="142"/>
      <c r="DC124" s="142"/>
      <c r="DD124" s="142"/>
      <c r="DE124" s="142"/>
      <c r="DF124" s="142"/>
      <c r="DG124" s="142"/>
      <c r="DH124" s="142"/>
      <c r="DI124" s="142"/>
      <c r="DJ124" s="142"/>
      <c r="DK124" s="142"/>
      <c r="DL124" s="142"/>
      <c r="DM124" s="142"/>
      <c r="DN124" s="142"/>
      <c r="DO124" s="142"/>
      <c r="DP124" s="142"/>
      <c r="DQ124" s="142"/>
      <c r="DR124" s="142"/>
      <c r="DS124" s="142"/>
      <c r="DT124" s="142"/>
      <c r="DU124" s="142"/>
      <c r="DV124" s="142"/>
      <c r="DW124" s="142"/>
      <c r="DX124" s="142"/>
      <c r="DY124" s="142"/>
      <c r="DZ124" s="142"/>
      <c r="EA124" s="142"/>
      <c r="EB124" s="142"/>
      <c r="EC124" s="142"/>
      <c r="ED124" s="142"/>
      <c r="EE124" s="142"/>
      <c r="EF124" s="142"/>
      <c r="EG124" s="142"/>
      <c r="EH124" s="142"/>
      <c r="EI124" s="142"/>
      <c r="EJ124" s="142"/>
      <c r="EK124" s="142"/>
      <c r="EL124" s="142"/>
      <c r="EM124" s="142"/>
      <c r="EN124" s="142"/>
      <c r="EO124" s="142"/>
      <c r="EP124" s="142"/>
      <c r="EQ124" s="142"/>
      <c r="ER124" s="142"/>
      <c r="ES124" s="142"/>
      <c r="ET124" s="142"/>
      <c r="EU124" s="142"/>
      <c r="EV124" s="142"/>
      <c r="EW124" s="142"/>
      <c r="EX124" s="142"/>
      <c r="EY124" s="142"/>
      <c r="EZ124" s="142"/>
      <c r="FA124" s="142"/>
      <c r="FB124" s="142"/>
      <c r="FC124" s="142"/>
      <c r="FD124" s="142"/>
      <c r="FE124" s="142"/>
      <c r="FF124" s="142"/>
      <c r="FG124" s="142"/>
      <c r="FH124" s="142"/>
      <c r="FI124" s="142"/>
      <c r="FJ124" s="142"/>
      <c r="FK124" s="142"/>
      <c r="FL124" s="142"/>
      <c r="FM124" s="142"/>
      <c r="FN124" s="142"/>
      <c r="FO124" s="142"/>
      <c r="FP124" s="142"/>
      <c r="FQ124" s="142"/>
      <c r="FR124" s="142"/>
      <c r="FS124" s="142"/>
      <c r="FT124" s="142"/>
      <c r="FU124" s="142"/>
      <c r="FV124" s="142"/>
      <c r="FW124" s="142"/>
      <c r="FX124" s="142"/>
      <c r="FY124" s="142"/>
      <c r="FZ124" s="142"/>
      <c r="GA124" s="142"/>
      <c r="GB124" s="142"/>
      <c r="GC124" s="142"/>
      <c r="GD124" s="142"/>
      <c r="GE124" s="142"/>
      <c r="GF124" s="142"/>
      <c r="GG124" s="142"/>
      <c r="GH124" s="142"/>
      <c r="GI124" s="142"/>
      <c r="GJ124" s="142"/>
      <c r="GK124" s="142"/>
      <c r="GL124" s="142"/>
      <c r="GM124" s="142"/>
      <c r="GN124" s="142"/>
      <c r="GO124" s="142"/>
      <c r="GP124" s="142"/>
      <c r="GQ124" s="142"/>
      <c r="GR124" s="142"/>
      <c r="GS124" s="142"/>
      <c r="GT124" s="142"/>
      <c r="GU124" s="142"/>
      <c r="GV124" s="142"/>
      <c r="GW124" s="142"/>
      <c r="GX124" s="142"/>
      <c r="GY124" s="142"/>
      <c r="GZ124" s="142"/>
      <c r="HA124" s="142"/>
      <c r="HB124" s="142"/>
      <c r="HC124" s="142"/>
      <c r="HD124" s="142"/>
      <c r="HE124" s="142"/>
      <c r="HF124" s="142"/>
      <c r="HG124" s="142"/>
      <c r="HH124" s="142"/>
      <c r="HI124" s="142"/>
      <c r="HJ124" s="142"/>
      <c r="HK124" s="142"/>
      <c r="HL124" s="142"/>
      <c r="HM124" s="142"/>
      <c r="HN124" s="142"/>
      <c r="HO124" s="142"/>
      <c r="HP124" s="142"/>
      <c r="HQ124" s="142"/>
      <c r="HR124" s="142"/>
      <c r="HS124" s="142"/>
      <c r="HT124" s="142"/>
      <c r="HU124" s="142"/>
      <c r="HV124" s="142"/>
      <c r="HW124" s="142"/>
      <c r="HX124" s="142"/>
      <c r="HY124" s="142"/>
      <c r="HZ124" s="142"/>
      <c r="IA124" s="142"/>
      <c r="IB124" s="142"/>
      <c r="IC124" s="142"/>
      <c r="ID124" s="142"/>
      <c r="IE124" s="142"/>
      <c r="IF124" s="142"/>
      <c r="IG124" s="142"/>
      <c r="IH124" s="142"/>
      <c r="II124" s="142"/>
      <c r="IJ124" s="142"/>
      <c r="IK124" s="142"/>
      <c r="IL124" s="142"/>
      <c r="IM124" s="142"/>
      <c r="IN124" s="142"/>
      <c r="IO124" s="142"/>
      <c r="IP124" s="142"/>
      <c r="IQ124" s="142"/>
      <c r="IR124" s="142"/>
      <c r="IS124" s="142"/>
      <c r="IT124" s="142"/>
      <c r="IU124" s="142"/>
      <c r="IV124" s="142"/>
    </row>
    <row r="125" spans="1:256" s="194" customFormat="1" x14ac:dyDescent="0.25">
      <c r="A125" s="148" t="s">
        <v>4762</v>
      </c>
      <c r="B125" s="150">
        <v>881.93600000000004</v>
      </c>
      <c r="C125" s="432">
        <v>543.59799999999996</v>
      </c>
      <c r="D125" s="146">
        <f t="shared" ref="D125:D155" si="7">C125/C124</f>
        <v>1.006560442917851</v>
      </c>
      <c r="E125" s="146">
        <f t="shared" ref="E125:E183" si="8">F125/F124</f>
        <v>1.0030058155997474</v>
      </c>
      <c r="F125" s="432">
        <v>690.73500000000001</v>
      </c>
      <c r="G125" s="146">
        <f t="shared" si="2"/>
        <v>1.0013304424291649</v>
      </c>
      <c r="H125" s="432">
        <v>745.85599999999999</v>
      </c>
      <c r="I125" s="142"/>
      <c r="J125" s="142"/>
      <c r="K125" s="142"/>
      <c r="L125" s="142"/>
      <c r="M125" s="142"/>
      <c r="N125" s="142"/>
      <c r="O125" s="142"/>
      <c r="P125" s="142"/>
      <c r="Q125" s="142"/>
      <c r="R125" s="142"/>
      <c r="S125" s="142"/>
      <c r="T125" s="142"/>
      <c r="U125" s="142"/>
      <c r="V125" s="142"/>
      <c r="W125" s="142"/>
      <c r="X125" s="142"/>
      <c r="Y125" s="142"/>
      <c r="Z125" s="142"/>
      <c r="AA125" s="142"/>
      <c r="AB125" s="142"/>
      <c r="AC125" s="142"/>
      <c r="AD125" s="142"/>
      <c r="AE125" s="142"/>
      <c r="AF125" s="142"/>
      <c r="AG125" s="142"/>
      <c r="AH125" s="142"/>
      <c r="AI125" s="142"/>
      <c r="AJ125" s="142"/>
      <c r="AK125" s="142"/>
      <c r="AL125" s="142"/>
      <c r="AM125" s="142"/>
      <c r="AN125" s="142"/>
      <c r="AO125" s="142"/>
      <c r="AP125" s="142"/>
      <c r="AQ125" s="142"/>
      <c r="AR125" s="142"/>
      <c r="AS125" s="142"/>
      <c r="AT125" s="142"/>
      <c r="AU125" s="142"/>
      <c r="AV125" s="142"/>
      <c r="AW125" s="142"/>
      <c r="AX125" s="142"/>
      <c r="AY125" s="142"/>
      <c r="AZ125" s="142"/>
      <c r="BA125" s="142"/>
      <c r="BB125" s="142"/>
      <c r="BC125" s="142"/>
      <c r="BD125" s="142"/>
      <c r="BE125" s="142"/>
      <c r="BF125" s="142"/>
      <c r="BG125" s="142"/>
      <c r="BH125" s="142"/>
      <c r="BI125" s="142"/>
      <c r="BJ125" s="142"/>
      <c r="BK125" s="142"/>
      <c r="BL125" s="142"/>
      <c r="BM125" s="142"/>
      <c r="BN125" s="142"/>
      <c r="BO125" s="142"/>
      <c r="BP125" s="142"/>
      <c r="BQ125" s="142"/>
      <c r="BR125" s="142"/>
      <c r="BS125" s="142"/>
      <c r="BT125" s="142"/>
      <c r="BU125" s="142"/>
      <c r="BV125" s="142"/>
      <c r="BW125" s="142"/>
      <c r="BX125" s="142"/>
      <c r="BY125" s="142"/>
      <c r="BZ125" s="142"/>
      <c r="CA125" s="142"/>
      <c r="CB125" s="142"/>
      <c r="CC125" s="142"/>
      <c r="CD125" s="142"/>
      <c r="CE125" s="142"/>
      <c r="CF125" s="142"/>
      <c r="CG125" s="142"/>
      <c r="CH125" s="142"/>
      <c r="CI125" s="142"/>
      <c r="CJ125" s="142"/>
      <c r="CK125" s="142"/>
      <c r="CL125" s="142"/>
      <c r="CM125" s="142"/>
      <c r="CN125" s="142"/>
      <c r="CO125" s="142"/>
      <c r="CP125" s="142"/>
      <c r="CQ125" s="142"/>
      <c r="CR125" s="142"/>
      <c r="CS125" s="142"/>
      <c r="CT125" s="142"/>
      <c r="CU125" s="142"/>
      <c r="CV125" s="142"/>
      <c r="CW125" s="142"/>
      <c r="CX125" s="142"/>
      <c r="CY125" s="142"/>
      <c r="CZ125" s="142"/>
      <c r="DA125" s="142"/>
      <c r="DB125" s="142"/>
      <c r="DC125" s="142"/>
      <c r="DD125" s="142"/>
      <c r="DE125" s="142"/>
      <c r="DF125" s="142"/>
      <c r="DG125" s="142"/>
      <c r="DH125" s="142"/>
      <c r="DI125" s="142"/>
      <c r="DJ125" s="142"/>
      <c r="DK125" s="142"/>
      <c r="DL125" s="142"/>
      <c r="DM125" s="142"/>
      <c r="DN125" s="142"/>
      <c r="DO125" s="142"/>
      <c r="DP125" s="142"/>
      <c r="DQ125" s="142"/>
      <c r="DR125" s="142"/>
      <c r="DS125" s="142"/>
      <c r="DT125" s="142"/>
      <c r="DU125" s="142"/>
      <c r="DV125" s="142"/>
      <c r="DW125" s="142"/>
      <c r="DX125" s="142"/>
      <c r="DY125" s="142"/>
      <c r="DZ125" s="142"/>
      <c r="EA125" s="142"/>
      <c r="EB125" s="142"/>
      <c r="EC125" s="142"/>
      <c r="ED125" s="142"/>
      <c r="EE125" s="142"/>
      <c r="EF125" s="142"/>
      <c r="EG125" s="142"/>
      <c r="EH125" s="142"/>
      <c r="EI125" s="142"/>
      <c r="EJ125" s="142"/>
      <c r="EK125" s="142"/>
      <c r="EL125" s="142"/>
      <c r="EM125" s="142"/>
      <c r="EN125" s="142"/>
      <c r="EO125" s="142"/>
      <c r="EP125" s="142"/>
      <c r="EQ125" s="142"/>
      <c r="ER125" s="142"/>
      <c r="ES125" s="142"/>
      <c r="ET125" s="142"/>
      <c r="EU125" s="142"/>
      <c r="EV125" s="142"/>
      <c r="EW125" s="142"/>
      <c r="EX125" s="142"/>
      <c r="EY125" s="142"/>
      <c r="EZ125" s="142"/>
      <c r="FA125" s="142"/>
      <c r="FB125" s="142"/>
      <c r="FC125" s="142"/>
      <c r="FD125" s="142"/>
      <c r="FE125" s="142"/>
      <c r="FF125" s="142"/>
      <c r="FG125" s="142"/>
      <c r="FH125" s="142"/>
      <c r="FI125" s="142"/>
      <c r="FJ125" s="142"/>
      <c r="FK125" s="142"/>
      <c r="FL125" s="142"/>
      <c r="FM125" s="142"/>
      <c r="FN125" s="142"/>
      <c r="FO125" s="142"/>
      <c r="FP125" s="142"/>
      <c r="FQ125" s="142"/>
      <c r="FR125" s="142"/>
      <c r="FS125" s="142"/>
      <c r="FT125" s="142"/>
      <c r="FU125" s="142"/>
      <c r="FV125" s="142"/>
      <c r="FW125" s="142"/>
      <c r="FX125" s="142"/>
      <c r="FY125" s="142"/>
      <c r="FZ125" s="142"/>
      <c r="GA125" s="142"/>
      <c r="GB125" s="142"/>
      <c r="GC125" s="142"/>
      <c r="GD125" s="142"/>
      <c r="GE125" s="142"/>
      <c r="GF125" s="142"/>
      <c r="GG125" s="142"/>
      <c r="GH125" s="142"/>
      <c r="GI125" s="142"/>
      <c r="GJ125" s="142"/>
      <c r="GK125" s="142"/>
      <c r="GL125" s="142"/>
      <c r="GM125" s="142"/>
      <c r="GN125" s="142"/>
      <c r="GO125" s="142"/>
      <c r="GP125" s="142"/>
      <c r="GQ125" s="142"/>
      <c r="GR125" s="142"/>
      <c r="GS125" s="142"/>
      <c r="GT125" s="142"/>
      <c r="GU125" s="142"/>
      <c r="GV125" s="142"/>
      <c r="GW125" s="142"/>
      <c r="GX125" s="142"/>
      <c r="GY125" s="142"/>
      <c r="GZ125" s="142"/>
      <c r="HA125" s="142"/>
      <c r="HB125" s="142"/>
      <c r="HC125" s="142"/>
      <c r="HD125" s="142"/>
      <c r="HE125" s="142"/>
      <c r="HF125" s="142"/>
      <c r="HG125" s="142"/>
      <c r="HH125" s="142"/>
      <c r="HI125" s="142"/>
      <c r="HJ125" s="142"/>
      <c r="HK125" s="142"/>
      <c r="HL125" s="142"/>
      <c r="HM125" s="142"/>
      <c r="HN125" s="142"/>
      <c r="HO125" s="142"/>
      <c r="HP125" s="142"/>
      <c r="HQ125" s="142"/>
      <c r="HR125" s="142"/>
      <c r="HS125" s="142"/>
      <c r="HT125" s="142"/>
      <c r="HU125" s="142"/>
      <c r="HV125" s="142"/>
      <c r="HW125" s="142"/>
      <c r="HX125" s="142"/>
      <c r="HY125" s="142"/>
      <c r="HZ125" s="142"/>
      <c r="IA125" s="142"/>
      <c r="IB125" s="142"/>
      <c r="IC125" s="142"/>
      <c r="ID125" s="142"/>
      <c r="IE125" s="142"/>
      <c r="IF125" s="142"/>
      <c r="IG125" s="142"/>
      <c r="IH125" s="142"/>
      <c r="II125" s="142"/>
      <c r="IJ125" s="142"/>
      <c r="IK125" s="142"/>
      <c r="IL125" s="142"/>
      <c r="IM125" s="142"/>
      <c r="IN125" s="142"/>
      <c r="IO125" s="142"/>
      <c r="IP125" s="142"/>
      <c r="IQ125" s="142"/>
      <c r="IR125" s="142"/>
      <c r="IS125" s="142"/>
      <c r="IT125" s="142"/>
      <c r="IU125" s="142"/>
      <c r="IV125" s="142"/>
    </row>
    <row r="126" spans="1:256" s="194" customFormat="1" x14ac:dyDescent="0.25">
      <c r="A126" s="148" t="s">
        <v>4763</v>
      </c>
      <c r="B126" s="150">
        <v>882.29600000000005</v>
      </c>
      <c r="C126" s="432">
        <v>544.99199999999996</v>
      </c>
      <c r="D126" s="146">
        <f t="shared" si="7"/>
        <v>1.0025643950124909</v>
      </c>
      <c r="E126" s="146">
        <f t="shared" si="8"/>
        <v>1.0013999580157369</v>
      </c>
      <c r="F126" s="432">
        <v>691.702</v>
      </c>
      <c r="G126" s="146">
        <f t="shared" si="2"/>
        <v>1.0049084541788229</v>
      </c>
      <c r="H126" s="432">
        <v>749.51700000000005</v>
      </c>
      <c r="I126" s="142"/>
      <c r="J126" s="142"/>
      <c r="K126" s="142"/>
      <c r="L126" s="142"/>
      <c r="M126" s="142"/>
      <c r="N126" s="142"/>
      <c r="O126" s="142"/>
      <c r="P126" s="142"/>
      <c r="Q126" s="142"/>
      <c r="R126" s="142"/>
      <c r="S126" s="142"/>
      <c r="T126" s="142"/>
      <c r="U126" s="142"/>
      <c r="V126" s="142"/>
      <c r="W126" s="142"/>
      <c r="X126" s="142"/>
      <c r="Y126" s="142"/>
      <c r="Z126" s="142"/>
      <c r="AA126" s="142"/>
      <c r="AB126" s="142"/>
      <c r="AC126" s="142"/>
      <c r="AD126" s="142"/>
      <c r="AE126" s="142"/>
      <c r="AF126" s="142"/>
      <c r="AG126" s="142"/>
      <c r="AH126" s="142"/>
      <c r="AI126" s="142"/>
      <c r="AJ126" s="142"/>
      <c r="AK126" s="142"/>
      <c r="AL126" s="142"/>
      <c r="AM126" s="142"/>
      <c r="AN126" s="142"/>
      <c r="AO126" s="142"/>
      <c r="AP126" s="142"/>
      <c r="AQ126" s="142"/>
      <c r="AR126" s="142"/>
      <c r="AS126" s="142"/>
      <c r="AT126" s="142"/>
      <c r="AU126" s="142"/>
      <c r="AV126" s="142"/>
      <c r="AW126" s="142"/>
      <c r="AX126" s="142"/>
      <c r="AY126" s="142"/>
      <c r="AZ126" s="142"/>
      <c r="BA126" s="142"/>
      <c r="BB126" s="142"/>
      <c r="BC126" s="142"/>
      <c r="BD126" s="142"/>
      <c r="BE126" s="142"/>
      <c r="BF126" s="142"/>
      <c r="BG126" s="142"/>
      <c r="BH126" s="142"/>
      <c r="BI126" s="142"/>
      <c r="BJ126" s="142"/>
      <c r="BK126" s="142"/>
      <c r="BL126" s="142"/>
      <c r="BM126" s="142"/>
      <c r="BN126" s="142"/>
      <c r="BO126" s="142"/>
      <c r="BP126" s="142"/>
      <c r="BQ126" s="142"/>
      <c r="BR126" s="142"/>
      <c r="BS126" s="142"/>
      <c r="BT126" s="142"/>
      <c r="BU126" s="142"/>
      <c r="BV126" s="142"/>
      <c r="BW126" s="142"/>
      <c r="BX126" s="142"/>
      <c r="BY126" s="142"/>
      <c r="BZ126" s="142"/>
      <c r="CA126" s="142"/>
      <c r="CB126" s="142"/>
      <c r="CC126" s="142"/>
      <c r="CD126" s="142"/>
      <c r="CE126" s="142"/>
      <c r="CF126" s="142"/>
      <c r="CG126" s="142"/>
      <c r="CH126" s="142"/>
      <c r="CI126" s="142"/>
      <c r="CJ126" s="142"/>
      <c r="CK126" s="142"/>
      <c r="CL126" s="142"/>
      <c r="CM126" s="142"/>
      <c r="CN126" s="142"/>
      <c r="CO126" s="142"/>
      <c r="CP126" s="142"/>
      <c r="CQ126" s="142"/>
      <c r="CR126" s="142"/>
      <c r="CS126" s="142"/>
      <c r="CT126" s="142"/>
      <c r="CU126" s="142"/>
      <c r="CV126" s="142"/>
      <c r="CW126" s="142"/>
      <c r="CX126" s="142"/>
      <c r="CY126" s="142"/>
      <c r="CZ126" s="142"/>
      <c r="DA126" s="142"/>
      <c r="DB126" s="142"/>
      <c r="DC126" s="142"/>
      <c r="DD126" s="142"/>
      <c r="DE126" s="142"/>
      <c r="DF126" s="142"/>
      <c r="DG126" s="142"/>
      <c r="DH126" s="142"/>
      <c r="DI126" s="142"/>
      <c r="DJ126" s="142"/>
      <c r="DK126" s="142"/>
      <c r="DL126" s="142"/>
      <c r="DM126" s="142"/>
      <c r="DN126" s="142"/>
      <c r="DO126" s="142"/>
      <c r="DP126" s="142"/>
      <c r="DQ126" s="142"/>
      <c r="DR126" s="142"/>
      <c r="DS126" s="142"/>
      <c r="DT126" s="142"/>
      <c r="DU126" s="142"/>
      <c r="DV126" s="142"/>
      <c r="DW126" s="142"/>
      <c r="DX126" s="142"/>
      <c r="DY126" s="142"/>
      <c r="DZ126" s="142"/>
      <c r="EA126" s="142"/>
      <c r="EB126" s="142"/>
      <c r="EC126" s="142"/>
      <c r="ED126" s="142"/>
      <c r="EE126" s="142"/>
      <c r="EF126" s="142"/>
      <c r="EG126" s="142"/>
      <c r="EH126" s="142"/>
      <c r="EI126" s="142"/>
      <c r="EJ126" s="142"/>
      <c r="EK126" s="142"/>
      <c r="EL126" s="142"/>
      <c r="EM126" s="142"/>
      <c r="EN126" s="142"/>
      <c r="EO126" s="142"/>
      <c r="EP126" s="142"/>
      <c r="EQ126" s="142"/>
      <c r="ER126" s="142"/>
      <c r="ES126" s="142"/>
      <c r="ET126" s="142"/>
      <c r="EU126" s="142"/>
      <c r="EV126" s="142"/>
      <c r="EW126" s="142"/>
      <c r="EX126" s="142"/>
      <c r="EY126" s="142"/>
      <c r="EZ126" s="142"/>
      <c r="FA126" s="142"/>
      <c r="FB126" s="142"/>
      <c r="FC126" s="142"/>
      <c r="FD126" s="142"/>
      <c r="FE126" s="142"/>
      <c r="FF126" s="142"/>
      <c r="FG126" s="142"/>
      <c r="FH126" s="142"/>
      <c r="FI126" s="142"/>
      <c r="FJ126" s="142"/>
      <c r="FK126" s="142"/>
      <c r="FL126" s="142"/>
      <c r="FM126" s="142"/>
      <c r="FN126" s="142"/>
      <c r="FO126" s="142"/>
      <c r="FP126" s="142"/>
      <c r="FQ126" s="142"/>
      <c r="FR126" s="142"/>
      <c r="FS126" s="142"/>
      <c r="FT126" s="142"/>
      <c r="FU126" s="142"/>
      <c r="FV126" s="142"/>
      <c r="FW126" s="142"/>
      <c r="FX126" s="142"/>
      <c r="FY126" s="142"/>
      <c r="FZ126" s="142"/>
      <c r="GA126" s="142"/>
      <c r="GB126" s="142"/>
      <c r="GC126" s="142"/>
      <c r="GD126" s="142"/>
      <c r="GE126" s="142"/>
      <c r="GF126" s="142"/>
      <c r="GG126" s="142"/>
      <c r="GH126" s="142"/>
      <c r="GI126" s="142"/>
      <c r="GJ126" s="142"/>
      <c r="GK126" s="142"/>
      <c r="GL126" s="142"/>
      <c r="GM126" s="142"/>
      <c r="GN126" s="142"/>
      <c r="GO126" s="142"/>
      <c r="GP126" s="142"/>
      <c r="GQ126" s="142"/>
      <c r="GR126" s="142"/>
      <c r="GS126" s="142"/>
      <c r="GT126" s="142"/>
      <c r="GU126" s="142"/>
      <c r="GV126" s="142"/>
      <c r="GW126" s="142"/>
      <c r="GX126" s="142"/>
      <c r="GY126" s="142"/>
      <c r="GZ126" s="142"/>
      <c r="HA126" s="142"/>
      <c r="HB126" s="142"/>
      <c r="HC126" s="142"/>
      <c r="HD126" s="142"/>
      <c r="HE126" s="142"/>
      <c r="HF126" s="142"/>
      <c r="HG126" s="142"/>
      <c r="HH126" s="142"/>
      <c r="HI126" s="142"/>
      <c r="HJ126" s="142"/>
      <c r="HK126" s="142"/>
      <c r="HL126" s="142"/>
      <c r="HM126" s="142"/>
      <c r="HN126" s="142"/>
      <c r="HO126" s="142"/>
      <c r="HP126" s="142"/>
      <c r="HQ126" s="142"/>
      <c r="HR126" s="142"/>
      <c r="HS126" s="142"/>
      <c r="HT126" s="142"/>
      <c r="HU126" s="142"/>
      <c r="HV126" s="142"/>
      <c r="HW126" s="142"/>
      <c r="HX126" s="142"/>
      <c r="HY126" s="142"/>
      <c r="HZ126" s="142"/>
      <c r="IA126" s="142"/>
      <c r="IB126" s="142"/>
      <c r="IC126" s="142"/>
      <c r="ID126" s="142"/>
      <c r="IE126" s="142"/>
      <c r="IF126" s="142"/>
      <c r="IG126" s="142"/>
      <c r="IH126" s="142"/>
      <c r="II126" s="142"/>
      <c r="IJ126" s="142"/>
      <c r="IK126" s="142"/>
      <c r="IL126" s="142"/>
      <c r="IM126" s="142"/>
      <c r="IN126" s="142"/>
      <c r="IO126" s="142"/>
      <c r="IP126" s="142"/>
      <c r="IQ126" s="142"/>
      <c r="IR126" s="142"/>
      <c r="IS126" s="142"/>
      <c r="IT126" s="142"/>
      <c r="IU126" s="142"/>
      <c r="IV126" s="142"/>
    </row>
    <row r="127" spans="1:256" s="194" customFormat="1" x14ac:dyDescent="0.25">
      <c r="A127" s="148" t="s">
        <v>4764</v>
      </c>
      <c r="B127" s="150">
        <v>882.29600000000005</v>
      </c>
      <c r="C127" s="432">
        <v>545.36400000000003</v>
      </c>
      <c r="D127" s="146">
        <f t="shared" si="7"/>
        <v>1.0006825788268452</v>
      </c>
      <c r="E127" s="146">
        <f t="shared" si="8"/>
        <v>1.0003137189136362</v>
      </c>
      <c r="F127" s="432">
        <v>691.91899999999998</v>
      </c>
      <c r="G127" s="146">
        <f t="shared" si="2"/>
        <v>1.0008845696628628</v>
      </c>
      <c r="H127" s="432">
        <v>750.18</v>
      </c>
      <c r="I127" s="142"/>
      <c r="J127" s="142"/>
      <c r="K127" s="142"/>
      <c r="L127" s="142"/>
      <c r="M127" s="142"/>
      <c r="N127" s="142"/>
      <c r="O127" s="142"/>
      <c r="P127" s="142"/>
      <c r="Q127" s="142"/>
      <c r="R127" s="142"/>
      <c r="S127" s="142"/>
      <c r="T127" s="142"/>
      <c r="U127" s="142"/>
      <c r="V127" s="142"/>
      <c r="W127" s="142"/>
      <c r="X127" s="142"/>
      <c r="Y127" s="142"/>
      <c r="Z127" s="142"/>
      <c r="AA127" s="142"/>
      <c r="AB127" s="142"/>
      <c r="AC127" s="142"/>
      <c r="AD127" s="142"/>
      <c r="AE127" s="142"/>
      <c r="AF127" s="142"/>
      <c r="AG127" s="142"/>
      <c r="AH127" s="142"/>
      <c r="AI127" s="142"/>
      <c r="AJ127" s="142"/>
      <c r="AK127" s="142"/>
      <c r="AL127" s="142"/>
      <c r="AM127" s="142"/>
      <c r="AN127" s="142"/>
      <c r="AO127" s="142"/>
      <c r="AP127" s="142"/>
      <c r="AQ127" s="142"/>
      <c r="AR127" s="142"/>
      <c r="AS127" s="142"/>
      <c r="AT127" s="142"/>
      <c r="AU127" s="142"/>
      <c r="AV127" s="142"/>
      <c r="AW127" s="142"/>
      <c r="AX127" s="142"/>
      <c r="AY127" s="142"/>
      <c r="AZ127" s="142"/>
      <c r="BA127" s="142"/>
      <c r="BB127" s="142"/>
      <c r="BC127" s="142"/>
      <c r="BD127" s="142"/>
      <c r="BE127" s="142"/>
      <c r="BF127" s="142"/>
      <c r="BG127" s="142"/>
      <c r="BH127" s="142"/>
      <c r="BI127" s="142"/>
      <c r="BJ127" s="142"/>
      <c r="BK127" s="142"/>
      <c r="BL127" s="142"/>
      <c r="BM127" s="142"/>
      <c r="BN127" s="142"/>
      <c r="BO127" s="142"/>
      <c r="BP127" s="142"/>
      <c r="BQ127" s="142"/>
      <c r="BR127" s="142"/>
      <c r="BS127" s="142"/>
      <c r="BT127" s="142"/>
      <c r="BU127" s="142"/>
      <c r="BV127" s="142"/>
      <c r="BW127" s="142"/>
      <c r="BX127" s="142"/>
      <c r="BY127" s="142"/>
      <c r="BZ127" s="142"/>
      <c r="CA127" s="142"/>
      <c r="CB127" s="142"/>
      <c r="CC127" s="142"/>
      <c r="CD127" s="142"/>
      <c r="CE127" s="142"/>
      <c r="CF127" s="142"/>
      <c r="CG127" s="142"/>
      <c r="CH127" s="142"/>
      <c r="CI127" s="142"/>
      <c r="CJ127" s="142"/>
      <c r="CK127" s="142"/>
      <c r="CL127" s="142"/>
      <c r="CM127" s="142"/>
      <c r="CN127" s="142"/>
      <c r="CO127" s="142"/>
      <c r="CP127" s="142"/>
      <c r="CQ127" s="142"/>
      <c r="CR127" s="142"/>
      <c r="CS127" s="142"/>
      <c r="CT127" s="142"/>
      <c r="CU127" s="142"/>
      <c r="CV127" s="142"/>
      <c r="CW127" s="142"/>
      <c r="CX127" s="142"/>
      <c r="CY127" s="142"/>
      <c r="CZ127" s="142"/>
      <c r="DA127" s="142"/>
      <c r="DB127" s="142"/>
      <c r="DC127" s="142"/>
      <c r="DD127" s="142"/>
      <c r="DE127" s="142"/>
      <c r="DF127" s="142"/>
      <c r="DG127" s="142"/>
      <c r="DH127" s="142"/>
      <c r="DI127" s="142"/>
      <c r="DJ127" s="142"/>
      <c r="DK127" s="142"/>
      <c r="DL127" s="142"/>
      <c r="DM127" s="142"/>
      <c r="DN127" s="142"/>
      <c r="DO127" s="142"/>
      <c r="DP127" s="142"/>
      <c r="DQ127" s="142"/>
      <c r="DR127" s="142"/>
      <c r="DS127" s="142"/>
      <c r="DT127" s="142"/>
      <c r="DU127" s="142"/>
      <c r="DV127" s="142"/>
      <c r="DW127" s="142"/>
      <c r="DX127" s="142"/>
      <c r="DY127" s="142"/>
      <c r="DZ127" s="142"/>
      <c r="EA127" s="142"/>
      <c r="EB127" s="142"/>
      <c r="EC127" s="142"/>
      <c r="ED127" s="142"/>
      <c r="EE127" s="142"/>
      <c r="EF127" s="142"/>
      <c r="EG127" s="142"/>
      <c r="EH127" s="142"/>
      <c r="EI127" s="142"/>
      <c r="EJ127" s="142"/>
      <c r="EK127" s="142"/>
      <c r="EL127" s="142"/>
      <c r="EM127" s="142"/>
      <c r="EN127" s="142"/>
      <c r="EO127" s="142"/>
      <c r="EP127" s="142"/>
      <c r="EQ127" s="142"/>
      <c r="ER127" s="142"/>
      <c r="ES127" s="142"/>
      <c r="ET127" s="142"/>
      <c r="EU127" s="142"/>
      <c r="EV127" s="142"/>
      <c r="EW127" s="142"/>
      <c r="EX127" s="142"/>
      <c r="EY127" s="142"/>
      <c r="EZ127" s="142"/>
      <c r="FA127" s="142"/>
      <c r="FB127" s="142"/>
      <c r="FC127" s="142"/>
      <c r="FD127" s="142"/>
      <c r="FE127" s="142"/>
      <c r="FF127" s="142"/>
      <c r="FG127" s="142"/>
      <c r="FH127" s="142"/>
      <c r="FI127" s="142"/>
      <c r="FJ127" s="142"/>
      <c r="FK127" s="142"/>
      <c r="FL127" s="142"/>
      <c r="FM127" s="142"/>
      <c r="FN127" s="142"/>
      <c r="FO127" s="142"/>
      <c r="FP127" s="142"/>
      <c r="FQ127" s="142"/>
      <c r="FR127" s="142"/>
      <c r="FS127" s="142"/>
      <c r="FT127" s="142"/>
      <c r="FU127" s="142"/>
      <c r="FV127" s="142"/>
      <c r="FW127" s="142"/>
      <c r="FX127" s="142"/>
      <c r="FY127" s="142"/>
      <c r="FZ127" s="142"/>
      <c r="GA127" s="142"/>
      <c r="GB127" s="142"/>
      <c r="GC127" s="142"/>
      <c r="GD127" s="142"/>
      <c r="GE127" s="142"/>
      <c r="GF127" s="142"/>
      <c r="GG127" s="142"/>
      <c r="GH127" s="142"/>
      <c r="GI127" s="142"/>
      <c r="GJ127" s="142"/>
      <c r="GK127" s="142"/>
      <c r="GL127" s="142"/>
      <c r="GM127" s="142"/>
      <c r="GN127" s="142"/>
      <c r="GO127" s="142"/>
      <c r="GP127" s="142"/>
      <c r="GQ127" s="142"/>
      <c r="GR127" s="142"/>
      <c r="GS127" s="142"/>
      <c r="GT127" s="142"/>
      <c r="GU127" s="142"/>
      <c r="GV127" s="142"/>
      <c r="GW127" s="142"/>
      <c r="GX127" s="142"/>
      <c r="GY127" s="142"/>
      <c r="GZ127" s="142"/>
      <c r="HA127" s="142"/>
      <c r="HB127" s="142"/>
      <c r="HC127" s="142"/>
      <c r="HD127" s="142"/>
      <c r="HE127" s="142"/>
      <c r="HF127" s="142"/>
      <c r="HG127" s="142"/>
      <c r="HH127" s="142"/>
      <c r="HI127" s="142"/>
      <c r="HJ127" s="142"/>
      <c r="HK127" s="142"/>
      <c r="HL127" s="142"/>
      <c r="HM127" s="142"/>
      <c r="HN127" s="142"/>
      <c r="HO127" s="142"/>
      <c r="HP127" s="142"/>
      <c r="HQ127" s="142"/>
      <c r="HR127" s="142"/>
      <c r="HS127" s="142"/>
      <c r="HT127" s="142"/>
      <c r="HU127" s="142"/>
      <c r="HV127" s="142"/>
      <c r="HW127" s="142"/>
      <c r="HX127" s="142"/>
      <c r="HY127" s="142"/>
      <c r="HZ127" s="142"/>
      <c r="IA127" s="142"/>
      <c r="IB127" s="142"/>
      <c r="IC127" s="142"/>
      <c r="ID127" s="142"/>
      <c r="IE127" s="142"/>
      <c r="IF127" s="142"/>
      <c r="IG127" s="142"/>
      <c r="IH127" s="142"/>
      <c r="II127" s="142"/>
      <c r="IJ127" s="142"/>
      <c r="IK127" s="142"/>
      <c r="IL127" s="142"/>
      <c r="IM127" s="142"/>
      <c r="IN127" s="142"/>
      <c r="IO127" s="142"/>
      <c r="IP127" s="142"/>
      <c r="IQ127" s="142"/>
      <c r="IR127" s="142"/>
      <c r="IS127" s="142"/>
      <c r="IT127" s="142"/>
      <c r="IU127" s="142"/>
      <c r="IV127" s="142"/>
    </row>
    <row r="128" spans="1:256" s="194" customFormat="1" x14ac:dyDescent="0.25">
      <c r="A128" s="148" t="s">
        <v>4765</v>
      </c>
      <c r="B128" s="150">
        <v>882.29600000000005</v>
      </c>
      <c r="C128" s="432">
        <v>544.52</v>
      </c>
      <c r="D128" s="146">
        <f t="shared" si="7"/>
        <v>0.99845240976668781</v>
      </c>
      <c r="E128" s="146">
        <f t="shared" si="8"/>
        <v>0.99928748885346419</v>
      </c>
      <c r="F128" s="432">
        <v>691.42600000000004</v>
      </c>
      <c r="G128" s="146">
        <f t="shared" ref="G128:G183" si="9">H128/H127</f>
        <v>1.0031245834333093</v>
      </c>
      <c r="H128" s="432">
        <v>752.524</v>
      </c>
      <c r="I128" s="142"/>
      <c r="J128" s="142"/>
      <c r="K128" s="142"/>
      <c r="L128" s="142"/>
      <c r="M128" s="142"/>
      <c r="N128" s="142"/>
      <c r="O128" s="142"/>
      <c r="P128" s="142"/>
      <c r="Q128" s="142"/>
      <c r="R128" s="142"/>
      <c r="S128" s="142"/>
      <c r="T128" s="142"/>
      <c r="U128" s="142"/>
      <c r="V128" s="142"/>
      <c r="W128" s="142"/>
      <c r="X128" s="142"/>
      <c r="Y128" s="142"/>
      <c r="Z128" s="142"/>
      <c r="AA128" s="142"/>
      <c r="AB128" s="142"/>
      <c r="AC128" s="142"/>
      <c r="AD128" s="142"/>
      <c r="AE128" s="142"/>
      <c r="AF128" s="142"/>
      <c r="AG128" s="142"/>
      <c r="AH128" s="142"/>
      <c r="AI128" s="142"/>
      <c r="AJ128" s="142"/>
      <c r="AK128" s="142"/>
      <c r="AL128" s="142"/>
      <c r="AM128" s="142"/>
      <c r="AN128" s="142"/>
      <c r="AO128" s="142"/>
      <c r="AP128" s="142"/>
      <c r="AQ128" s="142"/>
      <c r="AR128" s="142"/>
      <c r="AS128" s="142"/>
      <c r="AT128" s="142"/>
      <c r="AU128" s="142"/>
      <c r="AV128" s="142"/>
      <c r="AW128" s="142"/>
      <c r="AX128" s="142"/>
      <c r="AY128" s="142"/>
      <c r="AZ128" s="142"/>
      <c r="BA128" s="142"/>
      <c r="BB128" s="142"/>
      <c r="BC128" s="142"/>
      <c r="BD128" s="142"/>
      <c r="BE128" s="142"/>
      <c r="BF128" s="142"/>
      <c r="BG128" s="142"/>
      <c r="BH128" s="142"/>
      <c r="BI128" s="142"/>
      <c r="BJ128" s="142"/>
      <c r="BK128" s="142"/>
      <c r="BL128" s="142"/>
      <c r="BM128" s="142"/>
      <c r="BN128" s="142"/>
      <c r="BO128" s="142"/>
      <c r="BP128" s="142"/>
      <c r="BQ128" s="142"/>
      <c r="BR128" s="142"/>
      <c r="BS128" s="142"/>
      <c r="BT128" s="142"/>
      <c r="BU128" s="142"/>
      <c r="BV128" s="142"/>
      <c r="BW128" s="142"/>
      <c r="BX128" s="142"/>
      <c r="BY128" s="142"/>
      <c r="BZ128" s="142"/>
      <c r="CA128" s="142"/>
      <c r="CB128" s="142"/>
      <c r="CC128" s="142"/>
      <c r="CD128" s="142"/>
      <c r="CE128" s="142"/>
      <c r="CF128" s="142"/>
      <c r="CG128" s="142"/>
      <c r="CH128" s="142"/>
      <c r="CI128" s="142"/>
      <c r="CJ128" s="142"/>
      <c r="CK128" s="142"/>
      <c r="CL128" s="142"/>
      <c r="CM128" s="142"/>
      <c r="CN128" s="142"/>
      <c r="CO128" s="142"/>
      <c r="CP128" s="142"/>
      <c r="CQ128" s="142"/>
      <c r="CR128" s="142"/>
      <c r="CS128" s="142"/>
      <c r="CT128" s="142"/>
      <c r="CU128" s="142"/>
      <c r="CV128" s="142"/>
      <c r="CW128" s="142"/>
      <c r="CX128" s="142"/>
      <c r="CY128" s="142"/>
      <c r="CZ128" s="142"/>
      <c r="DA128" s="142"/>
      <c r="DB128" s="142"/>
      <c r="DC128" s="142"/>
      <c r="DD128" s="142"/>
      <c r="DE128" s="142"/>
      <c r="DF128" s="142"/>
      <c r="DG128" s="142"/>
      <c r="DH128" s="142"/>
      <c r="DI128" s="142"/>
      <c r="DJ128" s="142"/>
      <c r="DK128" s="142"/>
      <c r="DL128" s="142"/>
      <c r="DM128" s="142"/>
      <c r="DN128" s="142"/>
      <c r="DO128" s="142"/>
      <c r="DP128" s="142"/>
      <c r="DQ128" s="142"/>
      <c r="DR128" s="142"/>
      <c r="DS128" s="142"/>
      <c r="DT128" s="142"/>
      <c r="DU128" s="142"/>
      <c r="DV128" s="142"/>
      <c r="DW128" s="142"/>
      <c r="DX128" s="142"/>
      <c r="DY128" s="142"/>
      <c r="DZ128" s="142"/>
      <c r="EA128" s="142"/>
      <c r="EB128" s="142"/>
      <c r="EC128" s="142"/>
      <c r="ED128" s="142"/>
      <c r="EE128" s="142"/>
      <c r="EF128" s="142"/>
      <c r="EG128" s="142"/>
      <c r="EH128" s="142"/>
      <c r="EI128" s="142"/>
      <c r="EJ128" s="142"/>
      <c r="EK128" s="142"/>
      <c r="EL128" s="142"/>
      <c r="EM128" s="142"/>
      <c r="EN128" s="142"/>
      <c r="EO128" s="142"/>
      <c r="EP128" s="142"/>
      <c r="EQ128" s="142"/>
      <c r="ER128" s="142"/>
      <c r="ES128" s="142"/>
      <c r="ET128" s="142"/>
      <c r="EU128" s="142"/>
      <c r="EV128" s="142"/>
      <c r="EW128" s="142"/>
      <c r="EX128" s="142"/>
      <c r="EY128" s="142"/>
      <c r="EZ128" s="142"/>
      <c r="FA128" s="142"/>
      <c r="FB128" s="142"/>
      <c r="FC128" s="142"/>
      <c r="FD128" s="142"/>
      <c r="FE128" s="142"/>
      <c r="FF128" s="142"/>
      <c r="FG128" s="142"/>
      <c r="FH128" s="142"/>
      <c r="FI128" s="142"/>
      <c r="FJ128" s="142"/>
      <c r="FK128" s="142"/>
      <c r="FL128" s="142"/>
      <c r="FM128" s="142"/>
      <c r="FN128" s="142"/>
      <c r="FO128" s="142"/>
      <c r="FP128" s="142"/>
      <c r="FQ128" s="142"/>
      <c r="FR128" s="142"/>
      <c r="FS128" s="142"/>
      <c r="FT128" s="142"/>
      <c r="FU128" s="142"/>
      <c r="FV128" s="142"/>
      <c r="FW128" s="142"/>
      <c r="FX128" s="142"/>
      <c r="FY128" s="142"/>
      <c r="FZ128" s="142"/>
      <c r="GA128" s="142"/>
      <c r="GB128" s="142"/>
      <c r="GC128" s="142"/>
      <c r="GD128" s="142"/>
      <c r="GE128" s="142"/>
      <c r="GF128" s="142"/>
      <c r="GG128" s="142"/>
      <c r="GH128" s="142"/>
      <c r="GI128" s="142"/>
      <c r="GJ128" s="142"/>
      <c r="GK128" s="142"/>
      <c r="GL128" s="142"/>
      <c r="GM128" s="142"/>
      <c r="GN128" s="142"/>
      <c r="GO128" s="142"/>
      <c r="GP128" s="142"/>
      <c r="GQ128" s="142"/>
      <c r="GR128" s="142"/>
      <c r="GS128" s="142"/>
      <c r="GT128" s="142"/>
      <c r="GU128" s="142"/>
      <c r="GV128" s="142"/>
      <c r="GW128" s="142"/>
      <c r="GX128" s="142"/>
      <c r="GY128" s="142"/>
      <c r="GZ128" s="142"/>
      <c r="HA128" s="142"/>
      <c r="HB128" s="142"/>
      <c r="HC128" s="142"/>
      <c r="HD128" s="142"/>
      <c r="HE128" s="142"/>
      <c r="HF128" s="142"/>
      <c r="HG128" s="142"/>
      <c r="HH128" s="142"/>
      <c r="HI128" s="142"/>
      <c r="HJ128" s="142"/>
      <c r="HK128" s="142"/>
      <c r="HL128" s="142"/>
      <c r="HM128" s="142"/>
      <c r="HN128" s="142"/>
      <c r="HO128" s="142"/>
      <c r="HP128" s="142"/>
      <c r="HQ128" s="142"/>
      <c r="HR128" s="142"/>
      <c r="HS128" s="142"/>
      <c r="HT128" s="142"/>
      <c r="HU128" s="142"/>
      <c r="HV128" s="142"/>
      <c r="HW128" s="142"/>
      <c r="HX128" s="142"/>
      <c r="HY128" s="142"/>
      <c r="HZ128" s="142"/>
      <c r="IA128" s="142"/>
      <c r="IB128" s="142"/>
      <c r="IC128" s="142"/>
      <c r="ID128" s="142"/>
      <c r="IE128" s="142"/>
      <c r="IF128" s="142"/>
      <c r="IG128" s="142"/>
      <c r="IH128" s="142"/>
      <c r="II128" s="142"/>
      <c r="IJ128" s="142"/>
      <c r="IK128" s="142"/>
      <c r="IL128" s="142"/>
      <c r="IM128" s="142"/>
      <c r="IN128" s="142"/>
      <c r="IO128" s="142"/>
      <c r="IP128" s="142"/>
      <c r="IQ128" s="142"/>
      <c r="IR128" s="142"/>
      <c r="IS128" s="142"/>
      <c r="IT128" s="142"/>
      <c r="IU128" s="142"/>
      <c r="IV128" s="142"/>
    </row>
    <row r="129" spans="1:256" s="194" customFormat="1" x14ac:dyDescent="0.25">
      <c r="A129" s="148" t="s">
        <v>4766</v>
      </c>
      <c r="B129" s="150">
        <v>882.29600000000005</v>
      </c>
      <c r="C129" s="432">
        <v>547.58900000000006</v>
      </c>
      <c r="D129" s="146">
        <f t="shared" si="7"/>
        <v>1.0056361566150005</v>
      </c>
      <c r="E129" s="146">
        <f t="shared" si="8"/>
        <v>1.0025931914622823</v>
      </c>
      <c r="F129" s="432">
        <v>693.21900000000005</v>
      </c>
      <c r="G129" s="146">
        <f t="shared" si="9"/>
        <v>1.0037859257644939</v>
      </c>
      <c r="H129" s="432">
        <v>755.37300000000005</v>
      </c>
      <c r="I129" s="142"/>
      <c r="J129" s="142"/>
      <c r="K129" s="142"/>
      <c r="L129" s="142"/>
      <c r="M129" s="142"/>
      <c r="N129" s="142"/>
      <c r="O129" s="142"/>
      <c r="P129" s="142"/>
      <c r="Q129" s="142"/>
      <c r="R129" s="142"/>
      <c r="S129" s="142"/>
      <c r="T129" s="142"/>
      <c r="U129" s="142"/>
      <c r="V129" s="142"/>
      <c r="W129" s="142"/>
      <c r="X129" s="142"/>
      <c r="Y129" s="142"/>
      <c r="Z129" s="142"/>
      <c r="AA129" s="142"/>
      <c r="AB129" s="142"/>
      <c r="AC129" s="142"/>
      <c r="AD129" s="142"/>
      <c r="AE129" s="142"/>
      <c r="AF129" s="142"/>
      <c r="AG129" s="142"/>
      <c r="AH129" s="142"/>
      <c r="AI129" s="142"/>
      <c r="AJ129" s="142"/>
      <c r="AK129" s="142"/>
      <c r="AL129" s="142"/>
      <c r="AM129" s="142"/>
      <c r="AN129" s="142"/>
      <c r="AO129" s="142"/>
      <c r="AP129" s="142"/>
      <c r="AQ129" s="142"/>
      <c r="AR129" s="142"/>
      <c r="AS129" s="142"/>
      <c r="AT129" s="142"/>
      <c r="AU129" s="142"/>
      <c r="AV129" s="142"/>
      <c r="AW129" s="142"/>
      <c r="AX129" s="142"/>
      <c r="AY129" s="142"/>
      <c r="AZ129" s="142"/>
      <c r="BA129" s="142"/>
      <c r="BB129" s="142"/>
      <c r="BC129" s="142"/>
      <c r="BD129" s="142"/>
      <c r="BE129" s="142"/>
      <c r="BF129" s="142"/>
      <c r="BG129" s="142"/>
      <c r="BH129" s="142"/>
      <c r="BI129" s="142"/>
      <c r="BJ129" s="142"/>
      <c r="BK129" s="142"/>
      <c r="BL129" s="142"/>
      <c r="BM129" s="142"/>
      <c r="BN129" s="142"/>
      <c r="BO129" s="142"/>
      <c r="BP129" s="142"/>
      <c r="BQ129" s="142"/>
      <c r="BR129" s="142"/>
      <c r="BS129" s="142"/>
      <c r="BT129" s="142"/>
      <c r="BU129" s="142"/>
      <c r="BV129" s="142"/>
      <c r="BW129" s="142"/>
      <c r="BX129" s="142"/>
      <c r="BY129" s="142"/>
      <c r="BZ129" s="142"/>
      <c r="CA129" s="142"/>
      <c r="CB129" s="142"/>
      <c r="CC129" s="142"/>
      <c r="CD129" s="142"/>
      <c r="CE129" s="142"/>
      <c r="CF129" s="142"/>
      <c r="CG129" s="142"/>
      <c r="CH129" s="142"/>
      <c r="CI129" s="142"/>
      <c r="CJ129" s="142"/>
      <c r="CK129" s="142"/>
      <c r="CL129" s="142"/>
      <c r="CM129" s="142"/>
      <c r="CN129" s="142"/>
      <c r="CO129" s="142"/>
      <c r="CP129" s="142"/>
      <c r="CQ129" s="142"/>
      <c r="CR129" s="142"/>
      <c r="CS129" s="142"/>
      <c r="CT129" s="142"/>
      <c r="CU129" s="142"/>
      <c r="CV129" s="142"/>
      <c r="CW129" s="142"/>
      <c r="CX129" s="142"/>
      <c r="CY129" s="142"/>
      <c r="CZ129" s="142"/>
      <c r="DA129" s="142"/>
      <c r="DB129" s="142"/>
      <c r="DC129" s="142"/>
      <c r="DD129" s="142"/>
      <c r="DE129" s="142"/>
      <c r="DF129" s="142"/>
      <c r="DG129" s="142"/>
      <c r="DH129" s="142"/>
      <c r="DI129" s="142"/>
      <c r="DJ129" s="142"/>
      <c r="DK129" s="142"/>
      <c r="DL129" s="142"/>
      <c r="DM129" s="142"/>
      <c r="DN129" s="142"/>
      <c r="DO129" s="142"/>
      <c r="DP129" s="142"/>
      <c r="DQ129" s="142"/>
      <c r="DR129" s="142"/>
      <c r="DS129" s="142"/>
      <c r="DT129" s="142"/>
      <c r="DU129" s="142"/>
      <c r="DV129" s="142"/>
      <c r="DW129" s="142"/>
      <c r="DX129" s="142"/>
      <c r="DY129" s="142"/>
      <c r="DZ129" s="142"/>
      <c r="EA129" s="142"/>
      <c r="EB129" s="142"/>
      <c r="EC129" s="142"/>
      <c r="ED129" s="142"/>
      <c r="EE129" s="142"/>
      <c r="EF129" s="142"/>
      <c r="EG129" s="142"/>
      <c r="EH129" s="142"/>
      <c r="EI129" s="142"/>
      <c r="EJ129" s="142"/>
      <c r="EK129" s="142"/>
      <c r="EL129" s="142"/>
      <c r="EM129" s="142"/>
      <c r="EN129" s="142"/>
      <c r="EO129" s="142"/>
      <c r="EP129" s="142"/>
      <c r="EQ129" s="142"/>
      <c r="ER129" s="142"/>
      <c r="ES129" s="142"/>
      <c r="ET129" s="142"/>
      <c r="EU129" s="142"/>
      <c r="EV129" s="142"/>
      <c r="EW129" s="142"/>
      <c r="EX129" s="142"/>
      <c r="EY129" s="142"/>
      <c r="EZ129" s="142"/>
      <c r="FA129" s="142"/>
      <c r="FB129" s="142"/>
      <c r="FC129" s="142"/>
      <c r="FD129" s="142"/>
      <c r="FE129" s="142"/>
      <c r="FF129" s="142"/>
      <c r="FG129" s="142"/>
      <c r="FH129" s="142"/>
      <c r="FI129" s="142"/>
      <c r="FJ129" s="142"/>
      <c r="FK129" s="142"/>
      <c r="FL129" s="142"/>
      <c r="FM129" s="142"/>
      <c r="FN129" s="142"/>
      <c r="FO129" s="142"/>
      <c r="FP129" s="142"/>
      <c r="FQ129" s="142"/>
      <c r="FR129" s="142"/>
      <c r="FS129" s="142"/>
      <c r="FT129" s="142"/>
      <c r="FU129" s="142"/>
      <c r="FV129" s="142"/>
      <c r="FW129" s="142"/>
      <c r="FX129" s="142"/>
      <c r="FY129" s="142"/>
      <c r="FZ129" s="142"/>
      <c r="GA129" s="142"/>
      <c r="GB129" s="142"/>
      <c r="GC129" s="142"/>
      <c r="GD129" s="142"/>
      <c r="GE129" s="142"/>
      <c r="GF129" s="142"/>
      <c r="GG129" s="142"/>
      <c r="GH129" s="142"/>
      <c r="GI129" s="142"/>
      <c r="GJ129" s="142"/>
      <c r="GK129" s="142"/>
      <c r="GL129" s="142"/>
      <c r="GM129" s="142"/>
      <c r="GN129" s="142"/>
      <c r="GO129" s="142"/>
      <c r="GP129" s="142"/>
      <c r="GQ129" s="142"/>
      <c r="GR129" s="142"/>
      <c r="GS129" s="142"/>
      <c r="GT129" s="142"/>
      <c r="GU129" s="142"/>
      <c r="GV129" s="142"/>
      <c r="GW129" s="142"/>
      <c r="GX129" s="142"/>
      <c r="GY129" s="142"/>
      <c r="GZ129" s="142"/>
      <c r="HA129" s="142"/>
      <c r="HB129" s="142"/>
      <c r="HC129" s="142"/>
      <c r="HD129" s="142"/>
      <c r="HE129" s="142"/>
      <c r="HF129" s="142"/>
      <c r="HG129" s="142"/>
      <c r="HH129" s="142"/>
      <c r="HI129" s="142"/>
      <c r="HJ129" s="142"/>
      <c r="HK129" s="142"/>
      <c r="HL129" s="142"/>
      <c r="HM129" s="142"/>
      <c r="HN129" s="142"/>
      <c r="HO129" s="142"/>
      <c r="HP129" s="142"/>
      <c r="HQ129" s="142"/>
      <c r="HR129" s="142"/>
      <c r="HS129" s="142"/>
      <c r="HT129" s="142"/>
      <c r="HU129" s="142"/>
      <c r="HV129" s="142"/>
      <c r="HW129" s="142"/>
      <c r="HX129" s="142"/>
      <c r="HY129" s="142"/>
      <c r="HZ129" s="142"/>
      <c r="IA129" s="142"/>
      <c r="IB129" s="142"/>
      <c r="IC129" s="142"/>
      <c r="ID129" s="142"/>
      <c r="IE129" s="142"/>
      <c r="IF129" s="142"/>
      <c r="IG129" s="142"/>
      <c r="IH129" s="142"/>
      <c r="II129" s="142"/>
      <c r="IJ129" s="142"/>
      <c r="IK129" s="142"/>
      <c r="IL129" s="142"/>
      <c r="IM129" s="142"/>
      <c r="IN129" s="142"/>
      <c r="IO129" s="142"/>
      <c r="IP129" s="142"/>
      <c r="IQ129" s="142"/>
      <c r="IR129" s="142"/>
      <c r="IS129" s="142"/>
      <c r="IT129" s="142"/>
      <c r="IU129" s="142"/>
      <c r="IV129" s="142"/>
    </row>
    <row r="130" spans="1:256" s="194" customFormat="1" x14ac:dyDescent="0.25">
      <c r="A130" s="148" t="s">
        <v>4767</v>
      </c>
      <c r="B130" s="150">
        <v>882.29600000000005</v>
      </c>
      <c r="C130" s="432">
        <v>549.53200000000004</v>
      </c>
      <c r="D130" s="146">
        <f t="shared" si="7"/>
        <v>1.003548281649193</v>
      </c>
      <c r="E130" s="146">
        <f t="shared" si="8"/>
        <v>1.0016372892260599</v>
      </c>
      <c r="F130" s="432">
        <v>694.35400000000004</v>
      </c>
      <c r="G130" s="146">
        <f t="shared" si="9"/>
        <v>1.0003336100178322</v>
      </c>
      <c r="H130" s="432">
        <v>755.625</v>
      </c>
      <c r="I130" s="142"/>
      <c r="J130" s="142"/>
      <c r="K130" s="142"/>
      <c r="L130" s="142"/>
      <c r="M130" s="142"/>
      <c r="N130" s="142"/>
      <c r="O130" s="142"/>
      <c r="P130" s="142"/>
      <c r="Q130" s="142"/>
      <c r="R130" s="142"/>
      <c r="S130" s="142"/>
      <c r="T130" s="142"/>
      <c r="U130" s="142"/>
      <c r="V130" s="142"/>
      <c r="W130" s="142"/>
      <c r="X130" s="142"/>
      <c r="Y130" s="142"/>
      <c r="Z130" s="142"/>
      <c r="AA130" s="142"/>
      <c r="AB130" s="142"/>
      <c r="AC130" s="142"/>
      <c r="AD130" s="142"/>
      <c r="AE130" s="142"/>
      <c r="AF130" s="142"/>
      <c r="AG130" s="142"/>
      <c r="AH130" s="142"/>
      <c r="AI130" s="142"/>
      <c r="AJ130" s="142"/>
      <c r="AK130" s="142"/>
      <c r="AL130" s="142"/>
      <c r="AM130" s="142"/>
      <c r="AN130" s="142"/>
      <c r="AO130" s="142"/>
      <c r="AP130" s="142"/>
      <c r="AQ130" s="142"/>
      <c r="AR130" s="142"/>
      <c r="AS130" s="142"/>
      <c r="AT130" s="142"/>
      <c r="AU130" s="142"/>
      <c r="AV130" s="142"/>
      <c r="AW130" s="142"/>
      <c r="AX130" s="142"/>
      <c r="AY130" s="142"/>
      <c r="AZ130" s="142"/>
      <c r="BA130" s="142"/>
      <c r="BB130" s="142"/>
      <c r="BC130" s="142"/>
      <c r="BD130" s="142"/>
      <c r="BE130" s="142"/>
      <c r="BF130" s="142"/>
      <c r="BG130" s="142"/>
      <c r="BH130" s="142"/>
      <c r="BI130" s="142"/>
      <c r="BJ130" s="142"/>
      <c r="BK130" s="142"/>
      <c r="BL130" s="142"/>
      <c r="BM130" s="142"/>
      <c r="BN130" s="142"/>
      <c r="BO130" s="142"/>
      <c r="BP130" s="142"/>
      <c r="BQ130" s="142"/>
      <c r="BR130" s="142"/>
      <c r="BS130" s="142"/>
      <c r="BT130" s="142"/>
      <c r="BU130" s="142"/>
      <c r="BV130" s="142"/>
      <c r="BW130" s="142"/>
      <c r="BX130" s="142"/>
      <c r="BY130" s="142"/>
      <c r="BZ130" s="142"/>
      <c r="CA130" s="142"/>
      <c r="CB130" s="142"/>
      <c r="CC130" s="142"/>
      <c r="CD130" s="142"/>
      <c r="CE130" s="142"/>
      <c r="CF130" s="142"/>
      <c r="CG130" s="142"/>
      <c r="CH130" s="142"/>
      <c r="CI130" s="142"/>
      <c r="CJ130" s="142"/>
      <c r="CK130" s="142"/>
      <c r="CL130" s="142"/>
      <c r="CM130" s="142"/>
      <c r="CN130" s="142"/>
      <c r="CO130" s="142"/>
      <c r="CP130" s="142"/>
      <c r="CQ130" s="142"/>
      <c r="CR130" s="142"/>
      <c r="CS130" s="142"/>
      <c r="CT130" s="142"/>
      <c r="CU130" s="142"/>
      <c r="CV130" s="142"/>
      <c r="CW130" s="142"/>
      <c r="CX130" s="142"/>
      <c r="CY130" s="142"/>
      <c r="CZ130" s="142"/>
      <c r="DA130" s="142"/>
      <c r="DB130" s="142"/>
      <c r="DC130" s="142"/>
      <c r="DD130" s="142"/>
      <c r="DE130" s="142"/>
      <c r="DF130" s="142"/>
      <c r="DG130" s="142"/>
      <c r="DH130" s="142"/>
      <c r="DI130" s="142"/>
      <c r="DJ130" s="142"/>
      <c r="DK130" s="142"/>
      <c r="DL130" s="142"/>
      <c r="DM130" s="142"/>
      <c r="DN130" s="142"/>
      <c r="DO130" s="142"/>
      <c r="DP130" s="142"/>
      <c r="DQ130" s="142"/>
      <c r="DR130" s="142"/>
      <c r="DS130" s="142"/>
      <c r="DT130" s="142"/>
      <c r="DU130" s="142"/>
      <c r="DV130" s="142"/>
      <c r="DW130" s="142"/>
      <c r="DX130" s="142"/>
      <c r="DY130" s="142"/>
      <c r="DZ130" s="142"/>
      <c r="EA130" s="142"/>
      <c r="EB130" s="142"/>
      <c r="EC130" s="142"/>
      <c r="ED130" s="142"/>
      <c r="EE130" s="142"/>
      <c r="EF130" s="142"/>
      <c r="EG130" s="142"/>
      <c r="EH130" s="142"/>
      <c r="EI130" s="142"/>
      <c r="EJ130" s="142"/>
      <c r="EK130" s="142"/>
      <c r="EL130" s="142"/>
      <c r="EM130" s="142"/>
      <c r="EN130" s="142"/>
      <c r="EO130" s="142"/>
      <c r="EP130" s="142"/>
      <c r="EQ130" s="142"/>
      <c r="ER130" s="142"/>
      <c r="ES130" s="142"/>
      <c r="ET130" s="142"/>
      <c r="EU130" s="142"/>
      <c r="EV130" s="142"/>
      <c r="EW130" s="142"/>
      <c r="EX130" s="142"/>
      <c r="EY130" s="142"/>
      <c r="EZ130" s="142"/>
      <c r="FA130" s="142"/>
      <c r="FB130" s="142"/>
      <c r="FC130" s="142"/>
      <c r="FD130" s="142"/>
      <c r="FE130" s="142"/>
      <c r="FF130" s="142"/>
      <c r="FG130" s="142"/>
      <c r="FH130" s="142"/>
      <c r="FI130" s="142"/>
      <c r="FJ130" s="142"/>
      <c r="FK130" s="142"/>
      <c r="FL130" s="142"/>
      <c r="FM130" s="142"/>
      <c r="FN130" s="142"/>
      <c r="FO130" s="142"/>
      <c r="FP130" s="142"/>
      <c r="FQ130" s="142"/>
      <c r="FR130" s="142"/>
      <c r="FS130" s="142"/>
      <c r="FT130" s="142"/>
      <c r="FU130" s="142"/>
      <c r="FV130" s="142"/>
      <c r="FW130" s="142"/>
      <c r="FX130" s="142"/>
      <c r="FY130" s="142"/>
      <c r="FZ130" s="142"/>
      <c r="GA130" s="142"/>
      <c r="GB130" s="142"/>
      <c r="GC130" s="142"/>
      <c r="GD130" s="142"/>
      <c r="GE130" s="142"/>
      <c r="GF130" s="142"/>
      <c r="GG130" s="142"/>
      <c r="GH130" s="142"/>
      <c r="GI130" s="142"/>
      <c r="GJ130" s="142"/>
      <c r="GK130" s="142"/>
      <c r="GL130" s="142"/>
      <c r="GM130" s="142"/>
      <c r="GN130" s="142"/>
      <c r="GO130" s="142"/>
      <c r="GP130" s="142"/>
      <c r="GQ130" s="142"/>
      <c r="GR130" s="142"/>
      <c r="GS130" s="142"/>
      <c r="GT130" s="142"/>
      <c r="GU130" s="142"/>
      <c r="GV130" s="142"/>
      <c r="GW130" s="142"/>
      <c r="GX130" s="142"/>
      <c r="GY130" s="142"/>
      <c r="GZ130" s="142"/>
      <c r="HA130" s="142"/>
      <c r="HB130" s="142"/>
      <c r="HC130" s="142"/>
      <c r="HD130" s="142"/>
      <c r="HE130" s="142"/>
      <c r="HF130" s="142"/>
      <c r="HG130" s="142"/>
      <c r="HH130" s="142"/>
      <c r="HI130" s="142"/>
      <c r="HJ130" s="142"/>
      <c r="HK130" s="142"/>
      <c r="HL130" s="142"/>
      <c r="HM130" s="142"/>
      <c r="HN130" s="142"/>
      <c r="HO130" s="142"/>
      <c r="HP130" s="142"/>
      <c r="HQ130" s="142"/>
      <c r="HR130" s="142"/>
      <c r="HS130" s="142"/>
      <c r="HT130" s="142"/>
      <c r="HU130" s="142"/>
      <c r="HV130" s="142"/>
      <c r="HW130" s="142"/>
      <c r="HX130" s="142"/>
      <c r="HY130" s="142"/>
      <c r="HZ130" s="142"/>
      <c r="IA130" s="142"/>
      <c r="IB130" s="142"/>
      <c r="IC130" s="142"/>
      <c r="ID130" s="142"/>
      <c r="IE130" s="142"/>
      <c r="IF130" s="142"/>
      <c r="IG130" s="142"/>
      <c r="IH130" s="142"/>
      <c r="II130" s="142"/>
      <c r="IJ130" s="142"/>
      <c r="IK130" s="142"/>
      <c r="IL130" s="142"/>
      <c r="IM130" s="142"/>
      <c r="IN130" s="142"/>
      <c r="IO130" s="142"/>
      <c r="IP130" s="142"/>
      <c r="IQ130" s="142"/>
      <c r="IR130" s="142"/>
      <c r="IS130" s="142"/>
      <c r="IT130" s="142"/>
      <c r="IU130" s="142"/>
      <c r="IV130" s="142"/>
    </row>
    <row r="131" spans="1:256" s="194" customFormat="1" x14ac:dyDescent="0.25">
      <c r="A131" s="148" t="s">
        <v>4768</v>
      </c>
      <c r="B131" s="150">
        <v>882.29600000000005</v>
      </c>
      <c r="C131" s="432">
        <v>551.76199999999994</v>
      </c>
      <c r="D131" s="146">
        <f t="shared" si="7"/>
        <v>1.0040579984423108</v>
      </c>
      <c r="E131" s="146">
        <f t="shared" si="8"/>
        <v>1.0018765644037479</v>
      </c>
      <c r="F131" s="432">
        <v>695.65700000000004</v>
      </c>
      <c r="G131" s="146">
        <f t="shared" si="9"/>
        <v>1.008839040529363</v>
      </c>
      <c r="H131" s="432">
        <v>762.30399999999997</v>
      </c>
      <c r="I131" s="142"/>
      <c r="J131" s="142"/>
      <c r="K131" s="142"/>
      <c r="L131" s="142"/>
      <c r="M131" s="142"/>
      <c r="N131" s="142"/>
      <c r="O131" s="142"/>
      <c r="P131" s="142"/>
      <c r="Q131" s="142"/>
      <c r="R131" s="142"/>
      <c r="S131" s="142"/>
      <c r="T131" s="142"/>
      <c r="U131" s="142"/>
      <c r="V131" s="142"/>
      <c r="W131" s="142"/>
      <c r="X131" s="142"/>
      <c r="Y131" s="142"/>
      <c r="Z131" s="142"/>
      <c r="AA131" s="142"/>
      <c r="AB131" s="142"/>
      <c r="AC131" s="142"/>
      <c r="AD131" s="142"/>
      <c r="AE131" s="142"/>
      <c r="AF131" s="142"/>
      <c r="AG131" s="142"/>
      <c r="AH131" s="142"/>
      <c r="AI131" s="142"/>
      <c r="AJ131" s="142"/>
      <c r="AK131" s="142"/>
      <c r="AL131" s="142"/>
      <c r="AM131" s="142"/>
      <c r="AN131" s="142"/>
      <c r="AO131" s="142"/>
      <c r="AP131" s="142"/>
      <c r="AQ131" s="142"/>
      <c r="AR131" s="142"/>
      <c r="AS131" s="142"/>
      <c r="AT131" s="142"/>
      <c r="AU131" s="142"/>
      <c r="AV131" s="142"/>
      <c r="AW131" s="142"/>
      <c r="AX131" s="142"/>
      <c r="AY131" s="142"/>
      <c r="AZ131" s="142"/>
      <c r="BA131" s="142"/>
      <c r="BB131" s="142"/>
      <c r="BC131" s="142"/>
      <c r="BD131" s="142"/>
      <c r="BE131" s="142"/>
      <c r="BF131" s="142"/>
      <c r="BG131" s="142"/>
      <c r="BH131" s="142"/>
      <c r="BI131" s="142"/>
      <c r="BJ131" s="142"/>
      <c r="BK131" s="142"/>
      <c r="BL131" s="142"/>
      <c r="BM131" s="142"/>
      <c r="BN131" s="142"/>
      <c r="BO131" s="142"/>
      <c r="BP131" s="142"/>
      <c r="BQ131" s="142"/>
      <c r="BR131" s="142"/>
      <c r="BS131" s="142"/>
      <c r="BT131" s="142"/>
      <c r="BU131" s="142"/>
      <c r="BV131" s="142"/>
      <c r="BW131" s="142"/>
      <c r="BX131" s="142"/>
      <c r="BY131" s="142"/>
      <c r="BZ131" s="142"/>
      <c r="CA131" s="142"/>
      <c r="CB131" s="142"/>
      <c r="CC131" s="142"/>
      <c r="CD131" s="142"/>
      <c r="CE131" s="142"/>
      <c r="CF131" s="142"/>
      <c r="CG131" s="142"/>
      <c r="CH131" s="142"/>
      <c r="CI131" s="142"/>
      <c r="CJ131" s="142"/>
      <c r="CK131" s="142"/>
      <c r="CL131" s="142"/>
      <c r="CM131" s="142"/>
      <c r="CN131" s="142"/>
      <c r="CO131" s="142"/>
      <c r="CP131" s="142"/>
      <c r="CQ131" s="142"/>
      <c r="CR131" s="142"/>
      <c r="CS131" s="142"/>
      <c r="CT131" s="142"/>
      <c r="CU131" s="142"/>
      <c r="CV131" s="142"/>
      <c r="CW131" s="142"/>
      <c r="CX131" s="142"/>
      <c r="CY131" s="142"/>
      <c r="CZ131" s="142"/>
      <c r="DA131" s="142"/>
      <c r="DB131" s="142"/>
      <c r="DC131" s="142"/>
      <c r="DD131" s="142"/>
      <c r="DE131" s="142"/>
      <c r="DF131" s="142"/>
      <c r="DG131" s="142"/>
      <c r="DH131" s="142"/>
      <c r="DI131" s="142"/>
      <c r="DJ131" s="142"/>
      <c r="DK131" s="142"/>
      <c r="DL131" s="142"/>
      <c r="DM131" s="142"/>
      <c r="DN131" s="142"/>
      <c r="DO131" s="142"/>
      <c r="DP131" s="142"/>
      <c r="DQ131" s="142"/>
      <c r="DR131" s="142"/>
      <c r="DS131" s="142"/>
      <c r="DT131" s="142"/>
      <c r="DU131" s="142"/>
      <c r="DV131" s="142"/>
      <c r="DW131" s="142"/>
      <c r="DX131" s="142"/>
      <c r="DY131" s="142"/>
      <c r="DZ131" s="142"/>
      <c r="EA131" s="142"/>
      <c r="EB131" s="142"/>
      <c r="EC131" s="142"/>
      <c r="ED131" s="142"/>
      <c r="EE131" s="142"/>
      <c r="EF131" s="142"/>
      <c r="EG131" s="142"/>
      <c r="EH131" s="142"/>
      <c r="EI131" s="142"/>
      <c r="EJ131" s="142"/>
      <c r="EK131" s="142"/>
      <c r="EL131" s="142"/>
      <c r="EM131" s="142"/>
      <c r="EN131" s="142"/>
      <c r="EO131" s="142"/>
      <c r="EP131" s="142"/>
      <c r="EQ131" s="142"/>
      <c r="ER131" s="142"/>
      <c r="ES131" s="142"/>
      <c r="ET131" s="142"/>
      <c r="EU131" s="142"/>
      <c r="EV131" s="142"/>
      <c r="EW131" s="142"/>
      <c r="EX131" s="142"/>
      <c r="EY131" s="142"/>
      <c r="EZ131" s="142"/>
      <c r="FA131" s="142"/>
      <c r="FB131" s="142"/>
      <c r="FC131" s="142"/>
      <c r="FD131" s="142"/>
      <c r="FE131" s="142"/>
      <c r="FF131" s="142"/>
      <c r="FG131" s="142"/>
      <c r="FH131" s="142"/>
      <c r="FI131" s="142"/>
      <c r="FJ131" s="142"/>
      <c r="FK131" s="142"/>
      <c r="FL131" s="142"/>
      <c r="FM131" s="142"/>
      <c r="FN131" s="142"/>
      <c r="FO131" s="142"/>
      <c r="FP131" s="142"/>
      <c r="FQ131" s="142"/>
      <c r="FR131" s="142"/>
      <c r="FS131" s="142"/>
      <c r="FT131" s="142"/>
      <c r="FU131" s="142"/>
      <c r="FV131" s="142"/>
      <c r="FW131" s="142"/>
      <c r="FX131" s="142"/>
      <c r="FY131" s="142"/>
      <c r="FZ131" s="142"/>
      <c r="GA131" s="142"/>
      <c r="GB131" s="142"/>
      <c r="GC131" s="142"/>
      <c r="GD131" s="142"/>
      <c r="GE131" s="142"/>
      <c r="GF131" s="142"/>
      <c r="GG131" s="142"/>
      <c r="GH131" s="142"/>
      <c r="GI131" s="142"/>
      <c r="GJ131" s="142"/>
      <c r="GK131" s="142"/>
      <c r="GL131" s="142"/>
      <c r="GM131" s="142"/>
      <c r="GN131" s="142"/>
      <c r="GO131" s="142"/>
      <c r="GP131" s="142"/>
      <c r="GQ131" s="142"/>
      <c r="GR131" s="142"/>
      <c r="GS131" s="142"/>
      <c r="GT131" s="142"/>
      <c r="GU131" s="142"/>
      <c r="GV131" s="142"/>
      <c r="GW131" s="142"/>
      <c r="GX131" s="142"/>
      <c r="GY131" s="142"/>
      <c r="GZ131" s="142"/>
      <c r="HA131" s="142"/>
      <c r="HB131" s="142"/>
      <c r="HC131" s="142"/>
      <c r="HD131" s="142"/>
      <c r="HE131" s="142"/>
      <c r="HF131" s="142"/>
      <c r="HG131" s="142"/>
      <c r="HH131" s="142"/>
      <c r="HI131" s="142"/>
      <c r="HJ131" s="142"/>
      <c r="HK131" s="142"/>
      <c r="HL131" s="142"/>
      <c r="HM131" s="142"/>
      <c r="HN131" s="142"/>
      <c r="HO131" s="142"/>
      <c r="HP131" s="142"/>
      <c r="HQ131" s="142"/>
      <c r="HR131" s="142"/>
      <c r="HS131" s="142"/>
      <c r="HT131" s="142"/>
      <c r="HU131" s="142"/>
      <c r="HV131" s="142"/>
      <c r="HW131" s="142"/>
      <c r="HX131" s="142"/>
      <c r="HY131" s="142"/>
      <c r="HZ131" s="142"/>
      <c r="IA131" s="142"/>
      <c r="IB131" s="142"/>
      <c r="IC131" s="142"/>
      <c r="ID131" s="142"/>
      <c r="IE131" s="142"/>
      <c r="IF131" s="142"/>
      <c r="IG131" s="142"/>
      <c r="IH131" s="142"/>
      <c r="II131" s="142"/>
      <c r="IJ131" s="142"/>
      <c r="IK131" s="142"/>
      <c r="IL131" s="142"/>
      <c r="IM131" s="142"/>
      <c r="IN131" s="142"/>
      <c r="IO131" s="142"/>
      <c r="IP131" s="142"/>
      <c r="IQ131" s="142"/>
      <c r="IR131" s="142"/>
      <c r="IS131" s="142"/>
      <c r="IT131" s="142"/>
      <c r="IU131" s="142"/>
      <c r="IV131" s="142"/>
    </row>
    <row r="132" spans="1:256" s="194" customFormat="1" x14ac:dyDescent="0.25">
      <c r="A132" s="148" t="s">
        <v>4769</v>
      </c>
      <c r="B132" s="150">
        <v>882.29600000000005</v>
      </c>
      <c r="C132" s="432">
        <v>553.24199999999996</v>
      </c>
      <c r="D132" s="146">
        <f t="shared" si="7"/>
        <v>1.0026823159260696</v>
      </c>
      <c r="E132" s="146">
        <f t="shared" si="8"/>
        <v>1.0012434288737122</v>
      </c>
      <c r="F132" s="432">
        <v>696.52200000000005</v>
      </c>
      <c r="G132" s="146">
        <f t="shared" si="9"/>
        <v>1.0057654164217951</v>
      </c>
      <c r="H132" s="432">
        <v>766.69899999999996</v>
      </c>
      <c r="I132" s="142"/>
      <c r="J132" s="142"/>
      <c r="K132" s="142"/>
      <c r="L132" s="142"/>
      <c r="M132" s="142"/>
      <c r="N132" s="142"/>
      <c r="O132" s="142"/>
      <c r="P132" s="142"/>
      <c r="Q132" s="142"/>
      <c r="R132" s="142"/>
      <c r="S132" s="142"/>
      <c r="T132" s="142"/>
      <c r="U132" s="142"/>
      <c r="V132" s="142"/>
      <c r="W132" s="142"/>
      <c r="X132" s="142"/>
      <c r="Y132" s="142"/>
      <c r="Z132" s="142"/>
      <c r="AA132" s="142"/>
      <c r="AB132" s="142"/>
      <c r="AC132" s="142"/>
      <c r="AD132" s="142"/>
      <c r="AE132" s="142"/>
      <c r="AF132" s="142"/>
      <c r="AG132" s="142"/>
      <c r="AH132" s="142"/>
      <c r="AI132" s="142"/>
      <c r="AJ132" s="142"/>
      <c r="AK132" s="142"/>
      <c r="AL132" s="142"/>
      <c r="AM132" s="142"/>
      <c r="AN132" s="142"/>
      <c r="AO132" s="142"/>
      <c r="AP132" s="142"/>
      <c r="AQ132" s="142"/>
      <c r="AR132" s="142"/>
      <c r="AS132" s="142"/>
      <c r="AT132" s="142"/>
      <c r="AU132" s="142"/>
      <c r="AV132" s="142"/>
      <c r="AW132" s="142"/>
      <c r="AX132" s="142"/>
      <c r="AY132" s="142"/>
      <c r="AZ132" s="142"/>
      <c r="BA132" s="142"/>
      <c r="BB132" s="142"/>
      <c r="BC132" s="142"/>
      <c r="BD132" s="142"/>
      <c r="BE132" s="142"/>
      <c r="BF132" s="142"/>
      <c r="BG132" s="142"/>
      <c r="BH132" s="142"/>
      <c r="BI132" s="142"/>
      <c r="BJ132" s="142"/>
      <c r="BK132" s="142"/>
      <c r="BL132" s="142"/>
      <c r="BM132" s="142"/>
      <c r="BN132" s="142"/>
      <c r="BO132" s="142"/>
      <c r="BP132" s="142"/>
      <c r="BQ132" s="142"/>
      <c r="BR132" s="142"/>
      <c r="BS132" s="142"/>
      <c r="BT132" s="142"/>
      <c r="BU132" s="142"/>
      <c r="BV132" s="142"/>
      <c r="BW132" s="142"/>
      <c r="BX132" s="142"/>
      <c r="BY132" s="142"/>
      <c r="BZ132" s="142"/>
      <c r="CA132" s="142"/>
      <c r="CB132" s="142"/>
      <c r="CC132" s="142"/>
      <c r="CD132" s="142"/>
      <c r="CE132" s="142"/>
      <c r="CF132" s="142"/>
      <c r="CG132" s="142"/>
      <c r="CH132" s="142"/>
      <c r="CI132" s="142"/>
      <c r="CJ132" s="142"/>
      <c r="CK132" s="142"/>
      <c r="CL132" s="142"/>
      <c r="CM132" s="142"/>
      <c r="CN132" s="142"/>
      <c r="CO132" s="142"/>
      <c r="CP132" s="142"/>
      <c r="CQ132" s="142"/>
      <c r="CR132" s="142"/>
      <c r="CS132" s="142"/>
      <c r="CT132" s="142"/>
      <c r="CU132" s="142"/>
      <c r="CV132" s="142"/>
      <c r="CW132" s="142"/>
      <c r="CX132" s="142"/>
      <c r="CY132" s="142"/>
      <c r="CZ132" s="142"/>
      <c r="DA132" s="142"/>
      <c r="DB132" s="142"/>
      <c r="DC132" s="142"/>
      <c r="DD132" s="142"/>
      <c r="DE132" s="142"/>
      <c r="DF132" s="142"/>
      <c r="DG132" s="142"/>
      <c r="DH132" s="142"/>
      <c r="DI132" s="142"/>
      <c r="DJ132" s="142"/>
      <c r="DK132" s="142"/>
      <c r="DL132" s="142"/>
      <c r="DM132" s="142"/>
      <c r="DN132" s="142"/>
      <c r="DO132" s="142"/>
      <c r="DP132" s="142"/>
      <c r="DQ132" s="142"/>
      <c r="DR132" s="142"/>
      <c r="DS132" s="142"/>
      <c r="DT132" s="142"/>
      <c r="DU132" s="142"/>
      <c r="DV132" s="142"/>
      <c r="DW132" s="142"/>
      <c r="DX132" s="142"/>
      <c r="DY132" s="142"/>
      <c r="DZ132" s="142"/>
      <c r="EA132" s="142"/>
      <c r="EB132" s="142"/>
      <c r="EC132" s="142"/>
      <c r="ED132" s="142"/>
      <c r="EE132" s="142"/>
      <c r="EF132" s="142"/>
      <c r="EG132" s="142"/>
      <c r="EH132" s="142"/>
      <c r="EI132" s="142"/>
      <c r="EJ132" s="142"/>
      <c r="EK132" s="142"/>
      <c r="EL132" s="142"/>
      <c r="EM132" s="142"/>
      <c r="EN132" s="142"/>
      <c r="EO132" s="142"/>
      <c r="EP132" s="142"/>
      <c r="EQ132" s="142"/>
      <c r="ER132" s="142"/>
      <c r="ES132" s="142"/>
      <c r="ET132" s="142"/>
      <c r="EU132" s="142"/>
      <c r="EV132" s="142"/>
      <c r="EW132" s="142"/>
      <c r="EX132" s="142"/>
      <c r="EY132" s="142"/>
      <c r="EZ132" s="142"/>
      <c r="FA132" s="142"/>
      <c r="FB132" s="142"/>
      <c r="FC132" s="142"/>
      <c r="FD132" s="142"/>
      <c r="FE132" s="142"/>
      <c r="FF132" s="142"/>
      <c r="FG132" s="142"/>
      <c r="FH132" s="142"/>
      <c r="FI132" s="142"/>
      <c r="FJ132" s="142"/>
      <c r="FK132" s="142"/>
      <c r="FL132" s="142"/>
      <c r="FM132" s="142"/>
      <c r="FN132" s="142"/>
      <c r="FO132" s="142"/>
      <c r="FP132" s="142"/>
      <c r="FQ132" s="142"/>
      <c r="FR132" s="142"/>
      <c r="FS132" s="142"/>
      <c r="FT132" s="142"/>
      <c r="FU132" s="142"/>
      <c r="FV132" s="142"/>
      <c r="FW132" s="142"/>
      <c r="FX132" s="142"/>
      <c r="FY132" s="142"/>
      <c r="FZ132" s="142"/>
      <c r="GA132" s="142"/>
      <c r="GB132" s="142"/>
      <c r="GC132" s="142"/>
      <c r="GD132" s="142"/>
      <c r="GE132" s="142"/>
      <c r="GF132" s="142"/>
      <c r="GG132" s="142"/>
      <c r="GH132" s="142"/>
      <c r="GI132" s="142"/>
      <c r="GJ132" s="142"/>
      <c r="GK132" s="142"/>
      <c r="GL132" s="142"/>
      <c r="GM132" s="142"/>
      <c r="GN132" s="142"/>
      <c r="GO132" s="142"/>
      <c r="GP132" s="142"/>
      <c r="GQ132" s="142"/>
      <c r="GR132" s="142"/>
      <c r="GS132" s="142"/>
      <c r="GT132" s="142"/>
      <c r="GU132" s="142"/>
      <c r="GV132" s="142"/>
      <c r="GW132" s="142"/>
      <c r="GX132" s="142"/>
      <c r="GY132" s="142"/>
      <c r="GZ132" s="142"/>
      <c r="HA132" s="142"/>
      <c r="HB132" s="142"/>
      <c r="HC132" s="142"/>
      <c r="HD132" s="142"/>
      <c r="HE132" s="142"/>
      <c r="HF132" s="142"/>
      <c r="HG132" s="142"/>
      <c r="HH132" s="142"/>
      <c r="HI132" s="142"/>
      <c r="HJ132" s="142"/>
      <c r="HK132" s="142"/>
      <c r="HL132" s="142"/>
      <c r="HM132" s="142"/>
      <c r="HN132" s="142"/>
      <c r="HO132" s="142"/>
      <c r="HP132" s="142"/>
      <c r="HQ132" s="142"/>
      <c r="HR132" s="142"/>
      <c r="HS132" s="142"/>
      <c r="HT132" s="142"/>
      <c r="HU132" s="142"/>
      <c r="HV132" s="142"/>
      <c r="HW132" s="142"/>
      <c r="HX132" s="142"/>
      <c r="HY132" s="142"/>
      <c r="HZ132" s="142"/>
      <c r="IA132" s="142"/>
      <c r="IB132" s="142"/>
      <c r="IC132" s="142"/>
      <c r="ID132" s="142"/>
      <c r="IE132" s="142"/>
      <c r="IF132" s="142"/>
      <c r="IG132" s="142"/>
      <c r="IH132" s="142"/>
      <c r="II132" s="142"/>
      <c r="IJ132" s="142"/>
      <c r="IK132" s="142"/>
      <c r="IL132" s="142"/>
      <c r="IM132" s="142"/>
      <c r="IN132" s="142"/>
      <c r="IO132" s="142"/>
      <c r="IP132" s="142"/>
      <c r="IQ132" s="142"/>
      <c r="IR132" s="142"/>
      <c r="IS132" s="142"/>
      <c r="IT132" s="142"/>
      <c r="IU132" s="142"/>
      <c r="IV132" s="142"/>
    </row>
    <row r="133" spans="1:256" s="194" customFormat="1" x14ac:dyDescent="0.25">
      <c r="A133" s="148" t="s">
        <v>4770</v>
      </c>
      <c r="B133" s="150">
        <v>907.97500000000002</v>
      </c>
      <c r="C133" s="432">
        <v>554.21299999999997</v>
      </c>
      <c r="D133" s="146">
        <f t="shared" si="7"/>
        <v>1.001755108975819</v>
      </c>
      <c r="E133" s="146">
        <f t="shared" si="8"/>
        <v>1.0164144133279351</v>
      </c>
      <c r="F133" s="432">
        <v>707.95500000000004</v>
      </c>
      <c r="G133" s="146">
        <f t="shared" si="9"/>
        <v>1.0042415602472419</v>
      </c>
      <c r="H133" s="432">
        <v>769.95100000000002</v>
      </c>
      <c r="I133" s="142"/>
      <c r="J133" s="142"/>
      <c r="K133" s="142"/>
      <c r="L133" s="142"/>
      <c r="M133" s="142"/>
      <c r="N133" s="142"/>
      <c r="O133" s="142"/>
      <c r="P133" s="142"/>
      <c r="Q133" s="142"/>
      <c r="R133" s="142"/>
      <c r="S133" s="142"/>
      <c r="T133" s="142"/>
      <c r="U133" s="142"/>
      <c r="V133" s="142"/>
      <c r="W133" s="142"/>
      <c r="X133" s="142"/>
      <c r="Y133" s="142"/>
      <c r="Z133" s="142"/>
      <c r="AA133" s="142"/>
      <c r="AB133" s="142"/>
      <c r="AC133" s="142"/>
      <c r="AD133" s="142"/>
      <c r="AE133" s="142"/>
      <c r="AF133" s="142"/>
      <c r="AG133" s="142"/>
      <c r="AH133" s="142"/>
      <c r="AI133" s="142"/>
      <c r="AJ133" s="142"/>
      <c r="AK133" s="142"/>
      <c r="AL133" s="142"/>
      <c r="AM133" s="142"/>
      <c r="AN133" s="142"/>
      <c r="AO133" s="142"/>
      <c r="AP133" s="142"/>
      <c r="AQ133" s="142"/>
      <c r="AR133" s="142"/>
      <c r="AS133" s="142"/>
      <c r="AT133" s="142"/>
      <c r="AU133" s="142"/>
      <c r="AV133" s="142"/>
      <c r="AW133" s="142"/>
      <c r="AX133" s="142"/>
      <c r="AY133" s="142"/>
      <c r="AZ133" s="142"/>
      <c r="BA133" s="142"/>
      <c r="BB133" s="142"/>
      <c r="BC133" s="142"/>
      <c r="BD133" s="142"/>
      <c r="BE133" s="142"/>
      <c r="BF133" s="142"/>
      <c r="BG133" s="142"/>
      <c r="BH133" s="142"/>
      <c r="BI133" s="142"/>
      <c r="BJ133" s="142"/>
      <c r="BK133" s="142"/>
      <c r="BL133" s="142"/>
      <c r="BM133" s="142"/>
      <c r="BN133" s="142"/>
      <c r="BO133" s="142"/>
      <c r="BP133" s="142"/>
      <c r="BQ133" s="142"/>
      <c r="BR133" s="142"/>
      <c r="BS133" s="142"/>
      <c r="BT133" s="142"/>
      <c r="BU133" s="142"/>
      <c r="BV133" s="142"/>
      <c r="BW133" s="142"/>
      <c r="BX133" s="142"/>
      <c r="BY133" s="142"/>
      <c r="BZ133" s="142"/>
      <c r="CA133" s="142"/>
      <c r="CB133" s="142"/>
      <c r="CC133" s="142"/>
      <c r="CD133" s="142"/>
      <c r="CE133" s="142"/>
      <c r="CF133" s="142"/>
      <c r="CG133" s="142"/>
      <c r="CH133" s="142"/>
      <c r="CI133" s="142"/>
      <c r="CJ133" s="142"/>
      <c r="CK133" s="142"/>
      <c r="CL133" s="142"/>
      <c r="CM133" s="142"/>
      <c r="CN133" s="142"/>
      <c r="CO133" s="142"/>
      <c r="CP133" s="142"/>
      <c r="CQ133" s="142"/>
      <c r="CR133" s="142"/>
      <c r="CS133" s="142"/>
      <c r="CT133" s="142"/>
      <c r="CU133" s="142"/>
      <c r="CV133" s="142"/>
      <c r="CW133" s="142"/>
      <c r="CX133" s="142"/>
      <c r="CY133" s="142"/>
      <c r="CZ133" s="142"/>
      <c r="DA133" s="142"/>
      <c r="DB133" s="142"/>
      <c r="DC133" s="142"/>
      <c r="DD133" s="142"/>
      <c r="DE133" s="142"/>
      <c r="DF133" s="142"/>
      <c r="DG133" s="142"/>
      <c r="DH133" s="142"/>
      <c r="DI133" s="142"/>
      <c r="DJ133" s="142"/>
      <c r="DK133" s="142"/>
      <c r="DL133" s="142"/>
      <c r="DM133" s="142"/>
      <c r="DN133" s="142"/>
      <c r="DO133" s="142"/>
      <c r="DP133" s="142"/>
      <c r="DQ133" s="142"/>
      <c r="DR133" s="142"/>
      <c r="DS133" s="142"/>
      <c r="DT133" s="142"/>
      <c r="DU133" s="142"/>
      <c r="DV133" s="142"/>
      <c r="DW133" s="142"/>
      <c r="DX133" s="142"/>
      <c r="DY133" s="142"/>
      <c r="DZ133" s="142"/>
      <c r="EA133" s="142"/>
      <c r="EB133" s="142"/>
      <c r="EC133" s="142"/>
      <c r="ED133" s="142"/>
      <c r="EE133" s="142"/>
      <c r="EF133" s="142"/>
      <c r="EG133" s="142"/>
      <c r="EH133" s="142"/>
      <c r="EI133" s="142"/>
      <c r="EJ133" s="142"/>
      <c r="EK133" s="142"/>
      <c r="EL133" s="142"/>
      <c r="EM133" s="142"/>
      <c r="EN133" s="142"/>
      <c r="EO133" s="142"/>
      <c r="EP133" s="142"/>
      <c r="EQ133" s="142"/>
      <c r="ER133" s="142"/>
      <c r="ES133" s="142"/>
      <c r="ET133" s="142"/>
      <c r="EU133" s="142"/>
      <c r="EV133" s="142"/>
      <c r="EW133" s="142"/>
      <c r="EX133" s="142"/>
      <c r="EY133" s="142"/>
      <c r="EZ133" s="142"/>
      <c r="FA133" s="142"/>
      <c r="FB133" s="142"/>
      <c r="FC133" s="142"/>
      <c r="FD133" s="142"/>
      <c r="FE133" s="142"/>
      <c r="FF133" s="142"/>
      <c r="FG133" s="142"/>
      <c r="FH133" s="142"/>
      <c r="FI133" s="142"/>
      <c r="FJ133" s="142"/>
      <c r="FK133" s="142"/>
      <c r="FL133" s="142"/>
      <c r="FM133" s="142"/>
      <c r="FN133" s="142"/>
      <c r="FO133" s="142"/>
      <c r="FP133" s="142"/>
      <c r="FQ133" s="142"/>
      <c r="FR133" s="142"/>
      <c r="FS133" s="142"/>
      <c r="FT133" s="142"/>
      <c r="FU133" s="142"/>
      <c r="FV133" s="142"/>
      <c r="FW133" s="142"/>
      <c r="FX133" s="142"/>
      <c r="FY133" s="142"/>
      <c r="FZ133" s="142"/>
      <c r="GA133" s="142"/>
      <c r="GB133" s="142"/>
      <c r="GC133" s="142"/>
      <c r="GD133" s="142"/>
      <c r="GE133" s="142"/>
      <c r="GF133" s="142"/>
      <c r="GG133" s="142"/>
      <c r="GH133" s="142"/>
      <c r="GI133" s="142"/>
      <c r="GJ133" s="142"/>
      <c r="GK133" s="142"/>
      <c r="GL133" s="142"/>
      <c r="GM133" s="142"/>
      <c r="GN133" s="142"/>
      <c r="GO133" s="142"/>
      <c r="GP133" s="142"/>
      <c r="GQ133" s="142"/>
      <c r="GR133" s="142"/>
      <c r="GS133" s="142"/>
      <c r="GT133" s="142"/>
      <c r="GU133" s="142"/>
      <c r="GV133" s="142"/>
      <c r="GW133" s="142"/>
      <c r="GX133" s="142"/>
      <c r="GY133" s="142"/>
      <c r="GZ133" s="142"/>
      <c r="HA133" s="142"/>
      <c r="HB133" s="142"/>
      <c r="HC133" s="142"/>
      <c r="HD133" s="142"/>
      <c r="HE133" s="142"/>
      <c r="HF133" s="142"/>
      <c r="HG133" s="142"/>
      <c r="HH133" s="142"/>
      <c r="HI133" s="142"/>
      <c r="HJ133" s="142"/>
      <c r="HK133" s="142"/>
      <c r="HL133" s="142"/>
      <c r="HM133" s="142"/>
      <c r="HN133" s="142"/>
      <c r="HO133" s="142"/>
      <c r="HP133" s="142"/>
      <c r="HQ133" s="142"/>
      <c r="HR133" s="142"/>
      <c r="HS133" s="142"/>
      <c r="HT133" s="142"/>
      <c r="HU133" s="142"/>
      <c r="HV133" s="142"/>
      <c r="HW133" s="142"/>
      <c r="HX133" s="142"/>
      <c r="HY133" s="142"/>
      <c r="HZ133" s="142"/>
      <c r="IA133" s="142"/>
      <c r="IB133" s="142"/>
      <c r="IC133" s="142"/>
      <c r="ID133" s="142"/>
      <c r="IE133" s="142"/>
      <c r="IF133" s="142"/>
      <c r="IG133" s="142"/>
      <c r="IH133" s="142"/>
      <c r="II133" s="142"/>
      <c r="IJ133" s="142"/>
      <c r="IK133" s="142"/>
      <c r="IL133" s="142"/>
      <c r="IM133" s="142"/>
      <c r="IN133" s="142"/>
      <c r="IO133" s="142"/>
      <c r="IP133" s="142"/>
      <c r="IQ133" s="142"/>
      <c r="IR133" s="142"/>
      <c r="IS133" s="142"/>
      <c r="IT133" s="142"/>
      <c r="IU133" s="142"/>
      <c r="IV133" s="142"/>
    </row>
    <row r="134" spans="1:256" s="194" customFormat="1" x14ac:dyDescent="0.25">
      <c r="A134" s="148" t="s">
        <v>4771</v>
      </c>
      <c r="B134" s="150">
        <v>926.03800000000001</v>
      </c>
      <c r="C134" s="432">
        <v>555.73</v>
      </c>
      <c r="D134" s="146">
        <f t="shared" si="7"/>
        <v>1.0027372147531726</v>
      </c>
      <c r="E134" s="146">
        <f t="shared" si="8"/>
        <v>1.0120473758925355</v>
      </c>
      <c r="F134" s="432">
        <v>716.48400000000004</v>
      </c>
      <c r="G134" s="146">
        <f t="shared" si="9"/>
        <v>1.004635359912514</v>
      </c>
      <c r="H134" s="432">
        <v>773.52</v>
      </c>
      <c r="I134" s="142"/>
      <c r="J134" s="142"/>
      <c r="K134" s="142"/>
      <c r="L134" s="142"/>
      <c r="M134" s="142"/>
      <c r="N134" s="142"/>
      <c r="O134" s="142"/>
      <c r="P134" s="142"/>
      <c r="Q134" s="142"/>
      <c r="R134" s="142"/>
      <c r="S134" s="142"/>
      <c r="T134" s="142"/>
      <c r="U134" s="142"/>
      <c r="V134" s="142"/>
      <c r="W134" s="142"/>
      <c r="X134" s="142"/>
      <c r="Y134" s="142"/>
      <c r="Z134" s="142"/>
      <c r="AA134" s="142"/>
      <c r="AB134" s="142"/>
      <c r="AC134" s="142"/>
      <c r="AD134" s="142"/>
      <c r="AE134" s="142"/>
      <c r="AF134" s="142"/>
      <c r="AG134" s="142"/>
      <c r="AH134" s="142"/>
      <c r="AI134" s="142"/>
      <c r="AJ134" s="142"/>
      <c r="AK134" s="142"/>
      <c r="AL134" s="142"/>
      <c r="AM134" s="142"/>
      <c r="AN134" s="142"/>
      <c r="AO134" s="142"/>
      <c r="AP134" s="142"/>
      <c r="AQ134" s="142"/>
      <c r="AR134" s="142"/>
      <c r="AS134" s="142"/>
      <c r="AT134" s="142"/>
      <c r="AU134" s="142"/>
      <c r="AV134" s="142"/>
      <c r="AW134" s="142"/>
      <c r="AX134" s="142"/>
      <c r="AY134" s="142"/>
      <c r="AZ134" s="142"/>
      <c r="BA134" s="142"/>
      <c r="BB134" s="142"/>
      <c r="BC134" s="142"/>
      <c r="BD134" s="142"/>
      <c r="BE134" s="142"/>
      <c r="BF134" s="142"/>
      <c r="BG134" s="142"/>
      <c r="BH134" s="142"/>
      <c r="BI134" s="142"/>
      <c r="BJ134" s="142"/>
      <c r="BK134" s="142"/>
      <c r="BL134" s="142"/>
      <c r="BM134" s="142"/>
      <c r="BN134" s="142"/>
      <c r="BO134" s="142"/>
      <c r="BP134" s="142"/>
      <c r="BQ134" s="142"/>
      <c r="BR134" s="142"/>
      <c r="BS134" s="142"/>
      <c r="BT134" s="142"/>
      <c r="BU134" s="142"/>
      <c r="BV134" s="142"/>
      <c r="BW134" s="142"/>
      <c r="BX134" s="142"/>
      <c r="BY134" s="142"/>
      <c r="BZ134" s="142"/>
      <c r="CA134" s="142"/>
      <c r="CB134" s="142"/>
      <c r="CC134" s="142"/>
      <c r="CD134" s="142"/>
      <c r="CE134" s="142"/>
      <c r="CF134" s="142"/>
      <c r="CG134" s="142"/>
      <c r="CH134" s="142"/>
      <c r="CI134" s="142"/>
      <c r="CJ134" s="142"/>
      <c r="CK134" s="142"/>
      <c r="CL134" s="142"/>
      <c r="CM134" s="142"/>
      <c r="CN134" s="142"/>
      <c r="CO134" s="142"/>
      <c r="CP134" s="142"/>
      <c r="CQ134" s="142"/>
      <c r="CR134" s="142"/>
      <c r="CS134" s="142"/>
      <c r="CT134" s="142"/>
      <c r="CU134" s="142"/>
      <c r="CV134" s="142"/>
      <c r="CW134" s="142"/>
      <c r="CX134" s="142"/>
      <c r="CY134" s="142"/>
      <c r="CZ134" s="142"/>
      <c r="DA134" s="142"/>
      <c r="DB134" s="142"/>
      <c r="DC134" s="142"/>
      <c r="DD134" s="142"/>
      <c r="DE134" s="142"/>
      <c r="DF134" s="142"/>
      <c r="DG134" s="142"/>
      <c r="DH134" s="142"/>
      <c r="DI134" s="142"/>
      <c r="DJ134" s="142"/>
      <c r="DK134" s="142"/>
      <c r="DL134" s="142"/>
      <c r="DM134" s="142"/>
      <c r="DN134" s="142"/>
      <c r="DO134" s="142"/>
      <c r="DP134" s="142"/>
      <c r="DQ134" s="142"/>
      <c r="DR134" s="142"/>
      <c r="DS134" s="142"/>
      <c r="DT134" s="142"/>
      <c r="DU134" s="142"/>
      <c r="DV134" s="142"/>
      <c r="DW134" s="142"/>
      <c r="DX134" s="142"/>
      <c r="DY134" s="142"/>
      <c r="DZ134" s="142"/>
      <c r="EA134" s="142"/>
      <c r="EB134" s="142"/>
      <c r="EC134" s="142"/>
      <c r="ED134" s="142"/>
      <c r="EE134" s="142"/>
      <c r="EF134" s="142"/>
      <c r="EG134" s="142"/>
      <c r="EH134" s="142"/>
      <c r="EI134" s="142"/>
      <c r="EJ134" s="142"/>
      <c r="EK134" s="142"/>
      <c r="EL134" s="142"/>
      <c r="EM134" s="142"/>
      <c r="EN134" s="142"/>
      <c r="EO134" s="142"/>
      <c r="EP134" s="142"/>
      <c r="EQ134" s="142"/>
      <c r="ER134" s="142"/>
      <c r="ES134" s="142"/>
      <c r="ET134" s="142"/>
      <c r="EU134" s="142"/>
      <c r="EV134" s="142"/>
      <c r="EW134" s="142"/>
      <c r="EX134" s="142"/>
      <c r="EY134" s="142"/>
      <c r="EZ134" s="142"/>
      <c r="FA134" s="142"/>
      <c r="FB134" s="142"/>
      <c r="FC134" s="142"/>
      <c r="FD134" s="142"/>
      <c r="FE134" s="142"/>
      <c r="FF134" s="142"/>
      <c r="FG134" s="142"/>
      <c r="FH134" s="142"/>
      <c r="FI134" s="142"/>
      <c r="FJ134" s="142"/>
      <c r="FK134" s="142"/>
      <c r="FL134" s="142"/>
      <c r="FM134" s="142"/>
      <c r="FN134" s="142"/>
      <c r="FO134" s="142"/>
      <c r="FP134" s="142"/>
      <c r="FQ134" s="142"/>
      <c r="FR134" s="142"/>
      <c r="FS134" s="142"/>
      <c r="FT134" s="142"/>
      <c r="FU134" s="142"/>
      <c r="FV134" s="142"/>
      <c r="FW134" s="142"/>
      <c r="FX134" s="142"/>
      <c r="FY134" s="142"/>
      <c r="FZ134" s="142"/>
      <c r="GA134" s="142"/>
      <c r="GB134" s="142"/>
      <c r="GC134" s="142"/>
      <c r="GD134" s="142"/>
      <c r="GE134" s="142"/>
      <c r="GF134" s="142"/>
      <c r="GG134" s="142"/>
      <c r="GH134" s="142"/>
      <c r="GI134" s="142"/>
      <c r="GJ134" s="142"/>
      <c r="GK134" s="142"/>
      <c r="GL134" s="142"/>
      <c r="GM134" s="142"/>
      <c r="GN134" s="142"/>
      <c r="GO134" s="142"/>
      <c r="GP134" s="142"/>
      <c r="GQ134" s="142"/>
      <c r="GR134" s="142"/>
      <c r="GS134" s="142"/>
      <c r="GT134" s="142"/>
      <c r="GU134" s="142"/>
      <c r="GV134" s="142"/>
      <c r="GW134" s="142"/>
      <c r="GX134" s="142"/>
      <c r="GY134" s="142"/>
      <c r="GZ134" s="142"/>
      <c r="HA134" s="142"/>
      <c r="HB134" s="142"/>
      <c r="HC134" s="142"/>
      <c r="HD134" s="142"/>
      <c r="HE134" s="142"/>
      <c r="HF134" s="142"/>
      <c r="HG134" s="142"/>
      <c r="HH134" s="142"/>
      <c r="HI134" s="142"/>
      <c r="HJ134" s="142"/>
      <c r="HK134" s="142"/>
      <c r="HL134" s="142"/>
      <c r="HM134" s="142"/>
      <c r="HN134" s="142"/>
      <c r="HO134" s="142"/>
      <c r="HP134" s="142"/>
      <c r="HQ134" s="142"/>
      <c r="HR134" s="142"/>
      <c r="HS134" s="142"/>
      <c r="HT134" s="142"/>
      <c r="HU134" s="142"/>
      <c r="HV134" s="142"/>
      <c r="HW134" s="142"/>
      <c r="HX134" s="142"/>
      <c r="HY134" s="142"/>
      <c r="HZ134" s="142"/>
      <c r="IA134" s="142"/>
      <c r="IB134" s="142"/>
      <c r="IC134" s="142"/>
      <c r="ID134" s="142"/>
      <c r="IE134" s="142"/>
      <c r="IF134" s="142"/>
      <c r="IG134" s="142"/>
      <c r="IH134" s="142"/>
      <c r="II134" s="142"/>
      <c r="IJ134" s="142"/>
      <c r="IK134" s="142"/>
      <c r="IL134" s="142"/>
      <c r="IM134" s="142"/>
      <c r="IN134" s="142"/>
      <c r="IO134" s="142"/>
      <c r="IP134" s="142"/>
      <c r="IQ134" s="142"/>
      <c r="IR134" s="142"/>
      <c r="IS134" s="142"/>
      <c r="IT134" s="142"/>
      <c r="IU134" s="142"/>
      <c r="IV134" s="142"/>
    </row>
    <row r="135" spans="1:256" s="194" customFormat="1" x14ac:dyDescent="0.25">
      <c r="A135" s="148" t="s">
        <v>4772</v>
      </c>
      <c r="B135" s="150">
        <v>926.03800000000001</v>
      </c>
      <c r="C135" s="432">
        <v>557.17899999999997</v>
      </c>
      <c r="D135" s="146">
        <f t="shared" si="7"/>
        <v>1.0026073812822773</v>
      </c>
      <c r="E135" s="146">
        <f t="shared" si="8"/>
        <v>1.0011807660743297</v>
      </c>
      <c r="F135" s="432">
        <v>717.33</v>
      </c>
      <c r="G135" s="146">
        <f t="shared" si="9"/>
        <v>1.0018344709897611</v>
      </c>
      <c r="H135" s="432">
        <v>774.93899999999996</v>
      </c>
      <c r="I135" s="142"/>
      <c r="J135" s="142"/>
      <c r="K135" s="142"/>
      <c r="L135" s="142"/>
      <c r="M135" s="142"/>
      <c r="N135" s="142"/>
      <c r="O135" s="142"/>
      <c r="P135" s="142"/>
      <c r="Q135" s="142"/>
      <c r="R135" s="142"/>
      <c r="S135" s="142"/>
      <c r="T135" s="142"/>
      <c r="U135" s="142"/>
      <c r="V135" s="142"/>
      <c r="W135" s="142"/>
      <c r="X135" s="142"/>
      <c r="Y135" s="142"/>
      <c r="Z135" s="142"/>
      <c r="AA135" s="142"/>
      <c r="AB135" s="142"/>
      <c r="AC135" s="142"/>
      <c r="AD135" s="142"/>
      <c r="AE135" s="142"/>
      <c r="AF135" s="142"/>
      <c r="AG135" s="142"/>
      <c r="AH135" s="142"/>
      <c r="AI135" s="142"/>
      <c r="AJ135" s="142"/>
      <c r="AK135" s="142"/>
      <c r="AL135" s="142"/>
      <c r="AM135" s="142"/>
      <c r="AN135" s="142"/>
      <c r="AO135" s="142"/>
      <c r="AP135" s="142"/>
      <c r="AQ135" s="142"/>
      <c r="AR135" s="142"/>
      <c r="AS135" s="142"/>
      <c r="AT135" s="142"/>
      <c r="AU135" s="142"/>
      <c r="AV135" s="142"/>
      <c r="AW135" s="142"/>
      <c r="AX135" s="142"/>
      <c r="AY135" s="142"/>
      <c r="AZ135" s="142"/>
      <c r="BA135" s="142"/>
      <c r="BB135" s="142"/>
      <c r="BC135" s="142"/>
      <c r="BD135" s="142"/>
      <c r="BE135" s="142"/>
      <c r="BF135" s="142"/>
      <c r="BG135" s="142"/>
      <c r="BH135" s="142"/>
      <c r="BI135" s="142"/>
      <c r="BJ135" s="142"/>
      <c r="BK135" s="142"/>
      <c r="BL135" s="142"/>
      <c r="BM135" s="142"/>
      <c r="BN135" s="142"/>
      <c r="BO135" s="142"/>
      <c r="BP135" s="142"/>
      <c r="BQ135" s="142"/>
      <c r="BR135" s="142"/>
      <c r="BS135" s="142"/>
      <c r="BT135" s="142"/>
      <c r="BU135" s="142"/>
      <c r="BV135" s="142"/>
      <c r="BW135" s="142"/>
      <c r="BX135" s="142"/>
      <c r="BY135" s="142"/>
      <c r="BZ135" s="142"/>
      <c r="CA135" s="142"/>
      <c r="CB135" s="142"/>
      <c r="CC135" s="142"/>
      <c r="CD135" s="142"/>
      <c r="CE135" s="142"/>
      <c r="CF135" s="142"/>
      <c r="CG135" s="142"/>
      <c r="CH135" s="142"/>
      <c r="CI135" s="142"/>
      <c r="CJ135" s="142"/>
      <c r="CK135" s="142"/>
      <c r="CL135" s="142"/>
      <c r="CM135" s="142"/>
      <c r="CN135" s="142"/>
      <c r="CO135" s="142"/>
      <c r="CP135" s="142"/>
      <c r="CQ135" s="142"/>
      <c r="CR135" s="142"/>
      <c r="CS135" s="142"/>
      <c r="CT135" s="142"/>
      <c r="CU135" s="142"/>
      <c r="CV135" s="142"/>
      <c r="CW135" s="142"/>
      <c r="CX135" s="142"/>
      <c r="CY135" s="142"/>
      <c r="CZ135" s="142"/>
      <c r="DA135" s="142"/>
      <c r="DB135" s="142"/>
      <c r="DC135" s="142"/>
      <c r="DD135" s="142"/>
      <c r="DE135" s="142"/>
      <c r="DF135" s="142"/>
      <c r="DG135" s="142"/>
      <c r="DH135" s="142"/>
      <c r="DI135" s="142"/>
      <c r="DJ135" s="142"/>
      <c r="DK135" s="142"/>
      <c r="DL135" s="142"/>
      <c r="DM135" s="142"/>
      <c r="DN135" s="142"/>
      <c r="DO135" s="142"/>
      <c r="DP135" s="142"/>
      <c r="DQ135" s="142"/>
      <c r="DR135" s="142"/>
      <c r="DS135" s="142"/>
      <c r="DT135" s="142"/>
      <c r="DU135" s="142"/>
      <c r="DV135" s="142"/>
      <c r="DW135" s="142"/>
      <c r="DX135" s="142"/>
      <c r="DY135" s="142"/>
      <c r="DZ135" s="142"/>
      <c r="EA135" s="142"/>
      <c r="EB135" s="142"/>
      <c r="EC135" s="142"/>
      <c r="ED135" s="142"/>
      <c r="EE135" s="142"/>
      <c r="EF135" s="142"/>
      <c r="EG135" s="142"/>
      <c r="EH135" s="142"/>
      <c r="EI135" s="142"/>
      <c r="EJ135" s="142"/>
      <c r="EK135" s="142"/>
      <c r="EL135" s="142"/>
      <c r="EM135" s="142"/>
      <c r="EN135" s="142"/>
      <c r="EO135" s="142"/>
      <c r="EP135" s="142"/>
      <c r="EQ135" s="142"/>
      <c r="ER135" s="142"/>
      <c r="ES135" s="142"/>
      <c r="ET135" s="142"/>
      <c r="EU135" s="142"/>
      <c r="EV135" s="142"/>
      <c r="EW135" s="142"/>
      <c r="EX135" s="142"/>
      <c r="EY135" s="142"/>
      <c r="EZ135" s="142"/>
      <c r="FA135" s="142"/>
      <c r="FB135" s="142"/>
      <c r="FC135" s="142"/>
      <c r="FD135" s="142"/>
      <c r="FE135" s="142"/>
      <c r="FF135" s="142"/>
      <c r="FG135" s="142"/>
      <c r="FH135" s="142"/>
      <c r="FI135" s="142"/>
      <c r="FJ135" s="142"/>
      <c r="FK135" s="142"/>
      <c r="FL135" s="142"/>
      <c r="FM135" s="142"/>
      <c r="FN135" s="142"/>
      <c r="FO135" s="142"/>
      <c r="FP135" s="142"/>
      <c r="FQ135" s="142"/>
      <c r="FR135" s="142"/>
      <c r="FS135" s="142"/>
      <c r="FT135" s="142"/>
      <c r="FU135" s="142"/>
      <c r="FV135" s="142"/>
      <c r="FW135" s="142"/>
      <c r="FX135" s="142"/>
      <c r="FY135" s="142"/>
      <c r="FZ135" s="142"/>
      <c r="GA135" s="142"/>
      <c r="GB135" s="142"/>
      <c r="GC135" s="142"/>
      <c r="GD135" s="142"/>
      <c r="GE135" s="142"/>
      <c r="GF135" s="142"/>
      <c r="GG135" s="142"/>
      <c r="GH135" s="142"/>
      <c r="GI135" s="142"/>
      <c r="GJ135" s="142"/>
      <c r="GK135" s="142"/>
      <c r="GL135" s="142"/>
      <c r="GM135" s="142"/>
      <c r="GN135" s="142"/>
      <c r="GO135" s="142"/>
      <c r="GP135" s="142"/>
      <c r="GQ135" s="142"/>
      <c r="GR135" s="142"/>
      <c r="GS135" s="142"/>
      <c r="GT135" s="142"/>
      <c r="GU135" s="142"/>
      <c r="GV135" s="142"/>
      <c r="GW135" s="142"/>
      <c r="GX135" s="142"/>
      <c r="GY135" s="142"/>
      <c r="GZ135" s="142"/>
      <c r="HA135" s="142"/>
      <c r="HB135" s="142"/>
      <c r="HC135" s="142"/>
      <c r="HD135" s="142"/>
      <c r="HE135" s="142"/>
      <c r="HF135" s="142"/>
      <c r="HG135" s="142"/>
      <c r="HH135" s="142"/>
      <c r="HI135" s="142"/>
      <c r="HJ135" s="142"/>
      <c r="HK135" s="142"/>
      <c r="HL135" s="142"/>
      <c r="HM135" s="142"/>
      <c r="HN135" s="142"/>
      <c r="HO135" s="142"/>
      <c r="HP135" s="142"/>
      <c r="HQ135" s="142"/>
      <c r="HR135" s="142"/>
      <c r="HS135" s="142"/>
      <c r="HT135" s="142"/>
      <c r="HU135" s="142"/>
      <c r="HV135" s="142"/>
      <c r="HW135" s="142"/>
      <c r="HX135" s="142"/>
      <c r="HY135" s="142"/>
      <c r="HZ135" s="142"/>
      <c r="IA135" s="142"/>
      <c r="IB135" s="142"/>
      <c r="IC135" s="142"/>
      <c r="ID135" s="142"/>
      <c r="IE135" s="142"/>
      <c r="IF135" s="142"/>
      <c r="IG135" s="142"/>
      <c r="IH135" s="142"/>
      <c r="II135" s="142"/>
      <c r="IJ135" s="142"/>
      <c r="IK135" s="142"/>
      <c r="IL135" s="142"/>
      <c r="IM135" s="142"/>
      <c r="IN135" s="142"/>
      <c r="IO135" s="142"/>
      <c r="IP135" s="142"/>
      <c r="IQ135" s="142"/>
      <c r="IR135" s="142"/>
      <c r="IS135" s="142"/>
      <c r="IT135" s="142"/>
      <c r="IU135" s="142"/>
      <c r="IV135" s="142"/>
    </row>
    <row r="136" spans="1:256" s="194" customFormat="1" x14ac:dyDescent="0.25">
      <c r="A136" s="148" t="s">
        <v>4773</v>
      </c>
      <c r="B136" s="150">
        <v>926.03800000000001</v>
      </c>
      <c r="C136" s="432">
        <v>557.50900000000001</v>
      </c>
      <c r="D136" s="146">
        <f t="shared" si="7"/>
        <v>1.0005922692707372</v>
      </c>
      <c r="E136" s="146">
        <f t="shared" si="8"/>
        <v>1.0002690532948573</v>
      </c>
      <c r="F136" s="432">
        <v>717.52300000000002</v>
      </c>
      <c r="G136" s="146">
        <f t="shared" si="9"/>
        <v>1.0003690613067611</v>
      </c>
      <c r="H136" s="432">
        <v>775.22500000000002</v>
      </c>
      <c r="I136" s="142"/>
      <c r="J136" s="142"/>
      <c r="K136" s="142"/>
      <c r="L136" s="142"/>
      <c r="M136" s="142"/>
      <c r="N136" s="142"/>
      <c r="O136" s="142"/>
      <c r="P136" s="142"/>
      <c r="Q136" s="142"/>
      <c r="R136" s="142"/>
      <c r="S136" s="142"/>
      <c r="T136" s="142"/>
      <c r="U136" s="142"/>
      <c r="V136" s="142"/>
      <c r="W136" s="142"/>
      <c r="X136" s="142"/>
      <c r="Y136" s="142"/>
      <c r="Z136" s="142"/>
      <c r="AA136" s="142"/>
      <c r="AB136" s="142"/>
      <c r="AC136" s="142"/>
      <c r="AD136" s="142"/>
      <c r="AE136" s="142"/>
      <c r="AF136" s="142"/>
      <c r="AG136" s="142"/>
      <c r="AH136" s="142"/>
      <c r="AI136" s="142"/>
      <c r="AJ136" s="142"/>
      <c r="AK136" s="142"/>
      <c r="AL136" s="142"/>
      <c r="AM136" s="142"/>
      <c r="AN136" s="142"/>
      <c r="AO136" s="142"/>
      <c r="AP136" s="142"/>
      <c r="AQ136" s="142"/>
      <c r="AR136" s="142"/>
      <c r="AS136" s="142"/>
      <c r="AT136" s="142"/>
      <c r="AU136" s="142"/>
      <c r="AV136" s="142"/>
      <c r="AW136" s="142"/>
      <c r="AX136" s="142"/>
      <c r="AY136" s="142"/>
      <c r="AZ136" s="142"/>
      <c r="BA136" s="142"/>
      <c r="BB136" s="142"/>
      <c r="BC136" s="142"/>
      <c r="BD136" s="142"/>
      <c r="BE136" s="142"/>
      <c r="BF136" s="142"/>
      <c r="BG136" s="142"/>
      <c r="BH136" s="142"/>
      <c r="BI136" s="142"/>
      <c r="BJ136" s="142"/>
      <c r="BK136" s="142"/>
      <c r="BL136" s="142"/>
      <c r="BM136" s="142"/>
      <c r="BN136" s="142"/>
      <c r="BO136" s="142"/>
      <c r="BP136" s="142"/>
      <c r="BQ136" s="142"/>
      <c r="BR136" s="142"/>
      <c r="BS136" s="142"/>
      <c r="BT136" s="142"/>
      <c r="BU136" s="142"/>
      <c r="BV136" s="142"/>
      <c r="BW136" s="142"/>
      <c r="BX136" s="142"/>
      <c r="BY136" s="142"/>
      <c r="BZ136" s="142"/>
      <c r="CA136" s="142"/>
      <c r="CB136" s="142"/>
      <c r="CC136" s="142"/>
      <c r="CD136" s="142"/>
      <c r="CE136" s="142"/>
      <c r="CF136" s="142"/>
      <c r="CG136" s="142"/>
      <c r="CH136" s="142"/>
      <c r="CI136" s="142"/>
      <c r="CJ136" s="142"/>
      <c r="CK136" s="142"/>
      <c r="CL136" s="142"/>
      <c r="CM136" s="142"/>
      <c r="CN136" s="142"/>
      <c r="CO136" s="142"/>
      <c r="CP136" s="142"/>
      <c r="CQ136" s="142"/>
      <c r="CR136" s="142"/>
      <c r="CS136" s="142"/>
      <c r="CT136" s="142"/>
      <c r="CU136" s="142"/>
      <c r="CV136" s="142"/>
      <c r="CW136" s="142"/>
      <c r="CX136" s="142"/>
      <c r="CY136" s="142"/>
      <c r="CZ136" s="142"/>
      <c r="DA136" s="142"/>
      <c r="DB136" s="142"/>
      <c r="DC136" s="142"/>
      <c r="DD136" s="142"/>
      <c r="DE136" s="142"/>
      <c r="DF136" s="142"/>
      <c r="DG136" s="142"/>
      <c r="DH136" s="142"/>
      <c r="DI136" s="142"/>
      <c r="DJ136" s="142"/>
      <c r="DK136" s="142"/>
      <c r="DL136" s="142"/>
      <c r="DM136" s="142"/>
      <c r="DN136" s="142"/>
      <c r="DO136" s="142"/>
      <c r="DP136" s="142"/>
      <c r="DQ136" s="142"/>
      <c r="DR136" s="142"/>
      <c r="DS136" s="142"/>
      <c r="DT136" s="142"/>
      <c r="DU136" s="142"/>
      <c r="DV136" s="142"/>
      <c r="DW136" s="142"/>
      <c r="DX136" s="142"/>
      <c r="DY136" s="142"/>
      <c r="DZ136" s="142"/>
      <c r="EA136" s="142"/>
      <c r="EB136" s="142"/>
      <c r="EC136" s="142"/>
      <c r="ED136" s="142"/>
      <c r="EE136" s="142"/>
      <c r="EF136" s="142"/>
      <c r="EG136" s="142"/>
      <c r="EH136" s="142"/>
      <c r="EI136" s="142"/>
      <c r="EJ136" s="142"/>
      <c r="EK136" s="142"/>
      <c r="EL136" s="142"/>
      <c r="EM136" s="142"/>
      <c r="EN136" s="142"/>
      <c r="EO136" s="142"/>
      <c r="EP136" s="142"/>
      <c r="EQ136" s="142"/>
      <c r="ER136" s="142"/>
      <c r="ES136" s="142"/>
      <c r="ET136" s="142"/>
      <c r="EU136" s="142"/>
      <c r="EV136" s="142"/>
      <c r="EW136" s="142"/>
      <c r="EX136" s="142"/>
      <c r="EY136" s="142"/>
      <c r="EZ136" s="142"/>
      <c r="FA136" s="142"/>
      <c r="FB136" s="142"/>
      <c r="FC136" s="142"/>
      <c r="FD136" s="142"/>
      <c r="FE136" s="142"/>
      <c r="FF136" s="142"/>
      <c r="FG136" s="142"/>
      <c r="FH136" s="142"/>
      <c r="FI136" s="142"/>
      <c r="FJ136" s="142"/>
      <c r="FK136" s="142"/>
      <c r="FL136" s="142"/>
      <c r="FM136" s="142"/>
      <c r="FN136" s="142"/>
      <c r="FO136" s="142"/>
      <c r="FP136" s="142"/>
      <c r="FQ136" s="142"/>
      <c r="FR136" s="142"/>
      <c r="FS136" s="142"/>
      <c r="FT136" s="142"/>
      <c r="FU136" s="142"/>
      <c r="FV136" s="142"/>
      <c r="FW136" s="142"/>
      <c r="FX136" s="142"/>
      <c r="FY136" s="142"/>
      <c r="FZ136" s="142"/>
      <c r="GA136" s="142"/>
      <c r="GB136" s="142"/>
      <c r="GC136" s="142"/>
      <c r="GD136" s="142"/>
      <c r="GE136" s="142"/>
      <c r="GF136" s="142"/>
      <c r="GG136" s="142"/>
      <c r="GH136" s="142"/>
      <c r="GI136" s="142"/>
      <c r="GJ136" s="142"/>
      <c r="GK136" s="142"/>
      <c r="GL136" s="142"/>
      <c r="GM136" s="142"/>
      <c r="GN136" s="142"/>
      <c r="GO136" s="142"/>
      <c r="GP136" s="142"/>
      <c r="GQ136" s="142"/>
      <c r="GR136" s="142"/>
      <c r="GS136" s="142"/>
      <c r="GT136" s="142"/>
      <c r="GU136" s="142"/>
      <c r="GV136" s="142"/>
      <c r="GW136" s="142"/>
      <c r="GX136" s="142"/>
      <c r="GY136" s="142"/>
      <c r="GZ136" s="142"/>
      <c r="HA136" s="142"/>
      <c r="HB136" s="142"/>
      <c r="HC136" s="142"/>
      <c r="HD136" s="142"/>
      <c r="HE136" s="142"/>
      <c r="HF136" s="142"/>
      <c r="HG136" s="142"/>
      <c r="HH136" s="142"/>
      <c r="HI136" s="142"/>
      <c r="HJ136" s="142"/>
      <c r="HK136" s="142"/>
      <c r="HL136" s="142"/>
      <c r="HM136" s="142"/>
      <c r="HN136" s="142"/>
      <c r="HO136" s="142"/>
      <c r="HP136" s="142"/>
      <c r="HQ136" s="142"/>
      <c r="HR136" s="142"/>
      <c r="HS136" s="142"/>
      <c r="HT136" s="142"/>
      <c r="HU136" s="142"/>
      <c r="HV136" s="142"/>
      <c r="HW136" s="142"/>
      <c r="HX136" s="142"/>
      <c r="HY136" s="142"/>
      <c r="HZ136" s="142"/>
      <c r="IA136" s="142"/>
      <c r="IB136" s="142"/>
      <c r="IC136" s="142"/>
      <c r="ID136" s="142"/>
      <c r="IE136" s="142"/>
      <c r="IF136" s="142"/>
      <c r="IG136" s="142"/>
      <c r="IH136" s="142"/>
      <c r="II136" s="142"/>
      <c r="IJ136" s="142"/>
      <c r="IK136" s="142"/>
      <c r="IL136" s="142"/>
      <c r="IM136" s="142"/>
      <c r="IN136" s="142"/>
      <c r="IO136" s="142"/>
      <c r="IP136" s="142"/>
      <c r="IQ136" s="142"/>
      <c r="IR136" s="142"/>
      <c r="IS136" s="142"/>
      <c r="IT136" s="142"/>
      <c r="IU136" s="142"/>
      <c r="IV136" s="142"/>
    </row>
    <row r="137" spans="1:256" s="194" customFormat="1" x14ac:dyDescent="0.25">
      <c r="A137" s="148" t="s">
        <v>4774</v>
      </c>
      <c r="B137" s="150">
        <v>926.03800000000001</v>
      </c>
      <c r="C137" s="432">
        <v>558.904</v>
      </c>
      <c r="D137" s="146">
        <f t="shared" si="7"/>
        <v>1.0025022017581779</v>
      </c>
      <c r="E137" s="146">
        <f t="shared" si="8"/>
        <v>1.0011358520911524</v>
      </c>
      <c r="F137" s="432">
        <v>718.33799999999997</v>
      </c>
      <c r="G137" s="146">
        <f t="shared" si="9"/>
        <v>1.002081976200458</v>
      </c>
      <c r="H137" s="432">
        <v>776.83900000000006</v>
      </c>
      <c r="I137" s="142"/>
      <c r="J137" s="142"/>
      <c r="K137" s="142"/>
      <c r="L137" s="142"/>
      <c r="M137" s="142"/>
      <c r="N137" s="142"/>
      <c r="O137" s="142"/>
      <c r="P137" s="142"/>
      <c r="Q137" s="142"/>
      <c r="R137" s="142"/>
      <c r="S137" s="142"/>
      <c r="T137" s="142"/>
      <c r="U137" s="142"/>
      <c r="V137" s="142"/>
      <c r="W137" s="142"/>
      <c r="X137" s="142"/>
      <c r="Y137" s="142"/>
      <c r="Z137" s="142"/>
      <c r="AA137" s="142"/>
      <c r="AB137" s="142"/>
      <c r="AC137" s="142"/>
      <c r="AD137" s="142"/>
      <c r="AE137" s="142"/>
      <c r="AF137" s="142"/>
      <c r="AG137" s="142"/>
      <c r="AH137" s="142"/>
      <c r="AI137" s="142"/>
      <c r="AJ137" s="142"/>
      <c r="AK137" s="142"/>
      <c r="AL137" s="142"/>
      <c r="AM137" s="142"/>
      <c r="AN137" s="142"/>
      <c r="AO137" s="142"/>
      <c r="AP137" s="142"/>
      <c r="AQ137" s="142"/>
      <c r="AR137" s="142"/>
      <c r="AS137" s="142"/>
      <c r="AT137" s="142"/>
      <c r="AU137" s="142"/>
      <c r="AV137" s="142"/>
      <c r="AW137" s="142"/>
      <c r="AX137" s="142"/>
      <c r="AY137" s="142"/>
      <c r="AZ137" s="142"/>
      <c r="BA137" s="142"/>
      <c r="BB137" s="142"/>
      <c r="BC137" s="142"/>
      <c r="BD137" s="142"/>
      <c r="BE137" s="142"/>
      <c r="BF137" s="142"/>
      <c r="BG137" s="142"/>
      <c r="BH137" s="142"/>
      <c r="BI137" s="142"/>
      <c r="BJ137" s="142"/>
      <c r="BK137" s="142"/>
      <c r="BL137" s="142"/>
      <c r="BM137" s="142"/>
      <c r="BN137" s="142"/>
      <c r="BO137" s="142"/>
      <c r="BP137" s="142"/>
      <c r="BQ137" s="142"/>
      <c r="BR137" s="142"/>
      <c r="BS137" s="142"/>
      <c r="BT137" s="142"/>
      <c r="BU137" s="142"/>
      <c r="BV137" s="142"/>
      <c r="BW137" s="142"/>
      <c r="BX137" s="142"/>
      <c r="BY137" s="142"/>
      <c r="BZ137" s="142"/>
      <c r="CA137" s="142"/>
      <c r="CB137" s="142"/>
      <c r="CC137" s="142"/>
      <c r="CD137" s="142"/>
      <c r="CE137" s="142"/>
      <c r="CF137" s="142"/>
      <c r="CG137" s="142"/>
      <c r="CH137" s="142"/>
      <c r="CI137" s="142"/>
      <c r="CJ137" s="142"/>
      <c r="CK137" s="142"/>
      <c r="CL137" s="142"/>
      <c r="CM137" s="142"/>
      <c r="CN137" s="142"/>
      <c r="CO137" s="142"/>
      <c r="CP137" s="142"/>
      <c r="CQ137" s="142"/>
      <c r="CR137" s="142"/>
      <c r="CS137" s="142"/>
      <c r="CT137" s="142"/>
      <c r="CU137" s="142"/>
      <c r="CV137" s="142"/>
      <c r="CW137" s="142"/>
      <c r="CX137" s="142"/>
      <c r="CY137" s="142"/>
      <c r="CZ137" s="142"/>
      <c r="DA137" s="142"/>
      <c r="DB137" s="142"/>
      <c r="DC137" s="142"/>
      <c r="DD137" s="142"/>
      <c r="DE137" s="142"/>
      <c r="DF137" s="142"/>
      <c r="DG137" s="142"/>
      <c r="DH137" s="142"/>
      <c r="DI137" s="142"/>
      <c r="DJ137" s="142"/>
      <c r="DK137" s="142"/>
      <c r="DL137" s="142"/>
      <c r="DM137" s="142"/>
      <c r="DN137" s="142"/>
      <c r="DO137" s="142"/>
      <c r="DP137" s="142"/>
      <c r="DQ137" s="142"/>
      <c r="DR137" s="142"/>
      <c r="DS137" s="142"/>
      <c r="DT137" s="142"/>
      <c r="DU137" s="142"/>
      <c r="DV137" s="142"/>
      <c r="DW137" s="142"/>
      <c r="DX137" s="142"/>
      <c r="DY137" s="142"/>
      <c r="DZ137" s="142"/>
      <c r="EA137" s="142"/>
      <c r="EB137" s="142"/>
      <c r="EC137" s="142"/>
      <c r="ED137" s="142"/>
      <c r="EE137" s="142"/>
      <c r="EF137" s="142"/>
      <c r="EG137" s="142"/>
      <c r="EH137" s="142"/>
      <c r="EI137" s="142"/>
      <c r="EJ137" s="142"/>
      <c r="EK137" s="142"/>
      <c r="EL137" s="142"/>
      <c r="EM137" s="142"/>
      <c r="EN137" s="142"/>
      <c r="EO137" s="142"/>
      <c r="EP137" s="142"/>
      <c r="EQ137" s="142"/>
      <c r="ER137" s="142"/>
      <c r="ES137" s="142"/>
      <c r="ET137" s="142"/>
      <c r="EU137" s="142"/>
      <c r="EV137" s="142"/>
      <c r="EW137" s="142"/>
      <c r="EX137" s="142"/>
      <c r="EY137" s="142"/>
      <c r="EZ137" s="142"/>
      <c r="FA137" s="142"/>
      <c r="FB137" s="142"/>
      <c r="FC137" s="142"/>
      <c r="FD137" s="142"/>
      <c r="FE137" s="142"/>
      <c r="FF137" s="142"/>
      <c r="FG137" s="142"/>
      <c r="FH137" s="142"/>
      <c r="FI137" s="142"/>
      <c r="FJ137" s="142"/>
      <c r="FK137" s="142"/>
      <c r="FL137" s="142"/>
      <c r="FM137" s="142"/>
      <c r="FN137" s="142"/>
      <c r="FO137" s="142"/>
      <c r="FP137" s="142"/>
      <c r="FQ137" s="142"/>
      <c r="FR137" s="142"/>
      <c r="FS137" s="142"/>
      <c r="FT137" s="142"/>
      <c r="FU137" s="142"/>
      <c r="FV137" s="142"/>
      <c r="FW137" s="142"/>
      <c r="FX137" s="142"/>
      <c r="FY137" s="142"/>
      <c r="FZ137" s="142"/>
      <c r="GA137" s="142"/>
      <c r="GB137" s="142"/>
      <c r="GC137" s="142"/>
      <c r="GD137" s="142"/>
      <c r="GE137" s="142"/>
      <c r="GF137" s="142"/>
      <c r="GG137" s="142"/>
      <c r="GH137" s="142"/>
      <c r="GI137" s="142"/>
      <c r="GJ137" s="142"/>
      <c r="GK137" s="142"/>
      <c r="GL137" s="142"/>
      <c r="GM137" s="142"/>
      <c r="GN137" s="142"/>
      <c r="GO137" s="142"/>
      <c r="GP137" s="142"/>
      <c r="GQ137" s="142"/>
      <c r="GR137" s="142"/>
      <c r="GS137" s="142"/>
      <c r="GT137" s="142"/>
      <c r="GU137" s="142"/>
      <c r="GV137" s="142"/>
      <c r="GW137" s="142"/>
      <c r="GX137" s="142"/>
      <c r="GY137" s="142"/>
      <c r="GZ137" s="142"/>
      <c r="HA137" s="142"/>
      <c r="HB137" s="142"/>
      <c r="HC137" s="142"/>
      <c r="HD137" s="142"/>
      <c r="HE137" s="142"/>
      <c r="HF137" s="142"/>
      <c r="HG137" s="142"/>
      <c r="HH137" s="142"/>
      <c r="HI137" s="142"/>
      <c r="HJ137" s="142"/>
      <c r="HK137" s="142"/>
      <c r="HL137" s="142"/>
      <c r="HM137" s="142"/>
      <c r="HN137" s="142"/>
      <c r="HO137" s="142"/>
      <c r="HP137" s="142"/>
      <c r="HQ137" s="142"/>
      <c r="HR137" s="142"/>
      <c r="HS137" s="142"/>
      <c r="HT137" s="142"/>
      <c r="HU137" s="142"/>
      <c r="HV137" s="142"/>
      <c r="HW137" s="142"/>
      <c r="HX137" s="142"/>
      <c r="HY137" s="142"/>
      <c r="HZ137" s="142"/>
      <c r="IA137" s="142"/>
      <c r="IB137" s="142"/>
      <c r="IC137" s="142"/>
      <c r="ID137" s="142"/>
      <c r="IE137" s="142"/>
      <c r="IF137" s="142"/>
      <c r="IG137" s="142"/>
      <c r="IH137" s="142"/>
      <c r="II137" s="142"/>
      <c r="IJ137" s="142"/>
      <c r="IK137" s="142"/>
      <c r="IL137" s="142"/>
      <c r="IM137" s="142"/>
      <c r="IN137" s="142"/>
      <c r="IO137" s="142"/>
      <c r="IP137" s="142"/>
      <c r="IQ137" s="142"/>
      <c r="IR137" s="142"/>
      <c r="IS137" s="142"/>
      <c r="IT137" s="142"/>
      <c r="IU137" s="142"/>
      <c r="IV137" s="142"/>
    </row>
    <row r="138" spans="1:256" s="194" customFormat="1" x14ac:dyDescent="0.25">
      <c r="A138" s="148" t="s">
        <v>1962</v>
      </c>
      <c r="B138" s="150">
        <v>926.03800000000001</v>
      </c>
      <c r="C138" s="432">
        <v>563.11199999999997</v>
      </c>
      <c r="D138" s="146">
        <f t="shared" si="7"/>
        <v>1.0075290210841217</v>
      </c>
      <c r="E138" s="146">
        <f t="shared" si="8"/>
        <v>1.0034217875150697</v>
      </c>
      <c r="F138" s="432">
        <v>720.79600000000005</v>
      </c>
      <c r="G138" s="146">
        <f t="shared" si="9"/>
        <v>1.0037678334893072</v>
      </c>
      <c r="H138" s="432">
        <v>779.76599999999996</v>
      </c>
      <c r="I138" s="142"/>
      <c r="J138" s="142"/>
      <c r="K138" s="142"/>
      <c r="L138" s="142"/>
      <c r="M138" s="142"/>
      <c r="N138" s="142"/>
      <c r="O138" s="142"/>
      <c r="P138" s="142"/>
      <c r="Q138" s="142"/>
      <c r="R138" s="142"/>
      <c r="S138" s="142"/>
      <c r="T138" s="142"/>
      <c r="U138" s="142"/>
      <c r="V138" s="142"/>
      <c r="W138" s="142"/>
      <c r="X138" s="142"/>
      <c r="Y138" s="142"/>
      <c r="Z138" s="142"/>
      <c r="AA138" s="142"/>
      <c r="AB138" s="142"/>
      <c r="AC138" s="142"/>
      <c r="AD138" s="142"/>
      <c r="AE138" s="142"/>
      <c r="AF138" s="142"/>
      <c r="AG138" s="142"/>
      <c r="AH138" s="142"/>
      <c r="AI138" s="142"/>
      <c r="AJ138" s="142"/>
      <c r="AK138" s="142"/>
      <c r="AL138" s="142"/>
      <c r="AM138" s="142"/>
      <c r="AN138" s="142"/>
      <c r="AO138" s="142"/>
      <c r="AP138" s="142"/>
      <c r="AQ138" s="142"/>
      <c r="AR138" s="142"/>
      <c r="AS138" s="142"/>
      <c r="AT138" s="142"/>
      <c r="AU138" s="142"/>
      <c r="AV138" s="142"/>
      <c r="AW138" s="142"/>
      <c r="AX138" s="142"/>
      <c r="AY138" s="142"/>
      <c r="AZ138" s="142"/>
      <c r="BA138" s="142"/>
      <c r="BB138" s="142"/>
      <c r="BC138" s="142"/>
      <c r="BD138" s="142"/>
      <c r="BE138" s="142"/>
      <c r="BF138" s="142"/>
      <c r="BG138" s="142"/>
      <c r="BH138" s="142"/>
      <c r="BI138" s="142"/>
      <c r="BJ138" s="142"/>
      <c r="BK138" s="142"/>
      <c r="BL138" s="142"/>
      <c r="BM138" s="142"/>
      <c r="BN138" s="142"/>
      <c r="BO138" s="142"/>
      <c r="BP138" s="142"/>
      <c r="BQ138" s="142"/>
      <c r="BR138" s="142"/>
      <c r="BS138" s="142"/>
      <c r="BT138" s="142"/>
      <c r="BU138" s="142"/>
      <c r="BV138" s="142"/>
      <c r="BW138" s="142"/>
      <c r="BX138" s="142"/>
      <c r="BY138" s="142"/>
      <c r="BZ138" s="142"/>
      <c r="CA138" s="142"/>
      <c r="CB138" s="142"/>
      <c r="CC138" s="142"/>
      <c r="CD138" s="142"/>
      <c r="CE138" s="142"/>
      <c r="CF138" s="142"/>
      <c r="CG138" s="142"/>
      <c r="CH138" s="142"/>
      <c r="CI138" s="142"/>
      <c r="CJ138" s="142"/>
      <c r="CK138" s="142"/>
      <c r="CL138" s="142"/>
      <c r="CM138" s="142"/>
      <c r="CN138" s="142"/>
      <c r="CO138" s="142"/>
      <c r="CP138" s="142"/>
      <c r="CQ138" s="142"/>
      <c r="CR138" s="142"/>
      <c r="CS138" s="142"/>
      <c r="CT138" s="142"/>
      <c r="CU138" s="142"/>
      <c r="CV138" s="142"/>
      <c r="CW138" s="142"/>
      <c r="CX138" s="142"/>
      <c r="CY138" s="142"/>
      <c r="CZ138" s="142"/>
      <c r="DA138" s="142"/>
      <c r="DB138" s="142"/>
      <c r="DC138" s="142"/>
      <c r="DD138" s="142"/>
      <c r="DE138" s="142"/>
      <c r="DF138" s="142"/>
      <c r="DG138" s="142"/>
      <c r="DH138" s="142"/>
      <c r="DI138" s="142"/>
      <c r="DJ138" s="142"/>
      <c r="DK138" s="142"/>
      <c r="DL138" s="142"/>
      <c r="DM138" s="142"/>
      <c r="DN138" s="142"/>
      <c r="DO138" s="142"/>
      <c r="DP138" s="142"/>
      <c r="DQ138" s="142"/>
      <c r="DR138" s="142"/>
      <c r="DS138" s="142"/>
      <c r="DT138" s="142"/>
      <c r="DU138" s="142"/>
      <c r="DV138" s="142"/>
      <c r="DW138" s="142"/>
      <c r="DX138" s="142"/>
      <c r="DY138" s="142"/>
      <c r="DZ138" s="142"/>
      <c r="EA138" s="142"/>
      <c r="EB138" s="142"/>
      <c r="EC138" s="142"/>
      <c r="ED138" s="142"/>
      <c r="EE138" s="142"/>
      <c r="EF138" s="142"/>
      <c r="EG138" s="142"/>
      <c r="EH138" s="142"/>
      <c r="EI138" s="142"/>
      <c r="EJ138" s="142"/>
      <c r="EK138" s="142"/>
      <c r="EL138" s="142"/>
      <c r="EM138" s="142"/>
      <c r="EN138" s="142"/>
      <c r="EO138" s="142"/>
      <c r="EP138" s="142"/>
      <c r="EQ138" s="142"/>
      <c r="ER138" s="142"/>
      <c r="ES138" s="142"/>
      <c r="ET138" s="142"/>
      <c r="EU138" s="142"/>
      <c r="EV138" s="142"/>
      <c r="EW138" s="142"/>
      <c r="EX138" s="142"/>
      <c r="EY138" s="142"/>
      <c r="EZ138" s="142"/>
      <c r="FA138" s="142"/>
      <c r="FB138" s="142"/>
      <c r="FC138" s="142"/>
      <c r="FD138" s="142"/>
      <c r="FE138" s="142"/>
      <c r="FF138" s="142"/>
      <c r="FG138" s="142"/>
      <c r="FH138" s="142"/>
      <c r="FI138" s="142"/>
      <c r="FJ138" s="142"/>
      <c r="FK138" s="142"/>
      <c r="FL138" s="142"/>
      <c r="FM138" s="142"/>
      <c r="FN138" s="142"/>
      <c r="FO138" s="142"/>
      <c r="FP138" s="142"/>
      <c r="FQ138" s="142"/>
      <c r="FR138" s="142"/>
      <c r="FS138" s="142"/>
      <c r="FT138" s="142"/>
      <c r="FU138" s="142"/>
      <c r="FV138" s="142"/>
      <c r="FW138" s="142"/>
      <c r="FX138" s="142"/>
      <c r="FY138" s="142"/>
      <c r="FZ138" s="142"/>
      <c r="GA138" s="142"/>
      <c r="GB138" s="142"/>
      <c r="GC138" s="142"/>
      <c r="GD138" s="142"/>
      <c r="GE138" s="142"/>
      <c r="GF138" s="142"/>
      <c r="GG138" s="142"/>
      <c r="GH138" s="142"/>
      <c r="GI138" s="142"/>
      <c r="GJ138" s="142"/>
      <c r="GK138" s="142"/>
      <c r="GL138" s="142"/>
      <c r="GM138" s="142"/>
      <c r="GN138" s="142"/>
      <c r="GO138" s="142"/>
      <c r="GP138" s="142"/>
      <c r="GQ138" s="142"/>
      <c r="GR138" s="142"/>
      <c r="GS138" s="142"/>
      <c r="GT138" s="142"/>
      <c r="GU138" s="142"/>
      <c r="GV138" s="142"/>
      <c r="GW138" s="142"/>
      <c r="GX138" s="142"/>
      <c r="GY138" s="142"/>
      <c r="GZ138" s="142"/>
      <c r="HA138" s="142"/>
      <c r="HB138" s="142"/>
      <c r="HC138" s="142"/>
      <c r="HD138" s="142"/>
      <c r="HE138" s="142"/>
      <c r="HF138" s="142"/>
      <c r="HG138" s="142"/>
      <c r="HH138" s="142"/>
      <c r="HI138" s="142"/>
      <c r="HJ138" s="142"/>
      <c r="HK138" s="142"/>
      <c r="HL138" s="142"/>
      <c r="HM138" s="142"/>
      <c r="HN138" s="142"/>
      <c r="HO138" s="142"/>
      <c r="HP138" s="142"/>
      <c r="HQ138" s="142"/>
      <c r="HR138" s="142"/>
      <c r="HS138" s="142"/>
      <c r="HT138" s="142"/>
      <c r="HU138" s="142"/>
      <c r="HV138" s="142"/>
      <c r="HW138" s="142"/>
      <c r="HX138" s="142"/>
      <c r="HY138" s="142"/>
      <c r="HZ138" s="142"/>
      <c r="IA138" s="142"/>
      <c r="IB138" s="142"/>
      <c r="IC138" s="142"/>
      <c r="ID138" s="142"/>
      <c r="IE138" s="142"/>
      <c r="IF138" s="142"/>
      <c r="IG138" s="142"/>
      <c r="IH138" s="142"/>
      <c r="II138" s="142"/>
      <c r="IJ138" s="142"/>
      <c r="IK138" s="142"/>
      <c r="IL138" s="142"/>
      <c r="IM138" s="142"/>
      <c r="IN138" s="142"/>
      <c r="IO138" s="142"/>
      <c r="IP138" s="142"/>
      <c r="IQ138" s="142"/>
      <c r="IR138" s="142"/>
      <c r="IS138" s="142"/>
      <c r="IT138" s="142"/>
      <c r="IU138" s="142"/>
      <c r="IV138" s="142"/>
    </row>
    <row r="139" spans="1:256" s="194" customFormat="1" x14ac:dyDescent="0.25">
      <c r="A139" s="148" t="s">
        <v>1963</v>
      </c>
      <c r="B139" s="150">
        <v>926.03800000000001</v>
      </c>
      <c r="C139" s="432">
        <v>566.81299999999999</v>
      </c>
      <c r="D139" s="146">
        <f t="shared" si="7"/>
        <v>1.0065724047791558</v>
      </c>
      <c r="E139" s="146">
        <f t="shared" si="8"/>
        <v>1.0029994617062248</v>
      </c>
      <c r="F139" s="432">
        <v>722.95799999999997</v>
      </c>
      <c r="G139" s="146">
        <f t="shared" si="9"/>
        <v>1.0032958605530378</v>
      </c>
      <c r="H139" s="432">
        <v>782.33600000000001</v>
      </c>
      <c r="I139" s="142"/>
      <c r="J139" s="142"/>
      <c r="K139" s="142"/>
      <c r="L139" s="142"/>
      <c r="M139" s="142"/>
      <c r="N139" s="142"/>
      <c r="O139" s="142"/>
      <c r="P139" s="142"/>
      <c r="Q139" s="142"/>
      <c r="R139" s="142"/>
      <c r="S139" s="142"/>
      <c r="T139" s="142"/>
      <c r="U139" s="142"/>
      <c r="V139" s="142"/>
      <c r="W139" s="142"/>
      <c r="X139" s="142"/>
      <c r="Y139" s="142"/>
      <c r="Z139" s="142"/>
      <c r="AA139" s="142"/>
      <c r="AB139" s="142"/>
      <c r="AC139" s="142"/>
      <c r="AD139" s="142"/>
      <c r="AE139" s="142"/>
      <c r="AF139" s="142"/>
      <c r="AG139" s="142"/>
      <c r="AH139" s="142"/>
      <c r="AI139" s="142"/>
      <c r="AJ139" s="142"/>
      <c r="AK139" s="142"/>
      <c r="AL139" s="142"/>
      <c r="AM139" s="142"/>
      <c r="AN139" s="142"/>
      <c r="AO139" s="142"/>
      <c r="AP139" s="142"/>
      <c r="AQ139" s="142"/>
      <c r="AR139" s="142"/>
      <c r="AS139" s="142"/>
      <c r="AT139" s="142"/>
      <c r="AU139" s="142"/>
      <c r="AV139" s="142"/>
      <c r="AW139" s="142"/>
      <c r="AX139" s="142"/>
      <c r="AY139" s="142"/>
      <c r="AZ139" s="142"/>
      <c r="BA139" s="142"/>
      <c r="BB139" s="142"/>
      <c r="BC139" s="142"/>
      <c r="BD139" s="142"/>
      <c r="BE139" s="142"/>
      <c r="BF139" s="142"/>
      <c r="BG139" s="142"/>
      <c r="BH139" s="142"/>
      <c r="BI139" s="142"/>
      <c r="BJ139" s="142"/>
      <c r="BK139" s="142"/>
      <c r="BL139" s="142"/>
      <c r="BM139" s="142"/>
      <c r="BN139" s="142"/>
      <c r="BO139" s="142"/>
      <c r="BP139" s="142"/>
      <c r="BQ139" s="142"/>
      <c r="BR139" s="142"/>
      <c r="BS139" s="142"/>
      <c r="BT139" s="142"/>
      <c r="BU139" s="142"/>
      <c r="BV139" s="142"/>
      <c r="BW139" s="142"/>
      <c r="BX139" s="142"/>
      <c r="BY139" s="142"/>
      <c r="BZ139" s="142"/>
      <c r="CA139" s="142"/>
      <c r="CB139" s="142"/>
      <c r="CC139" s="142"/>
      <c r="CD139" s="142"/>
      <c r="CE139" s="142"/>
      <c r="CF139" s="142"/>
      <c r="CG139" s="142"/>
      <c r="CH139" s="142"/>
      <c r="CI139" s="142"/>
      <c r="CJ139" s="142"/>
      <c r="CK139" s="142"/>
      <c r="CL139" s="142"/>
      <c r="CM139" s="142"/>
      <c r="CN139" s="142"/>
      <c r="CO139" s="142"/>
      <c r="CP139" s="142"/>
      <c r="CQ139" s="142"/>
      <c r="CR139" s="142"/>
      <c r="CS139" s="142"/>
      <c r="CT139" s="142"/>
      <c r="CU139" s="142"/>
      <c r="CV139" s="142"/>
      <c r="CW139" s="142"/>
      <c r="CX139" s="142"/>
      <c r="CY139" s="142"/>
      <c r="CZ139" s="142"/>
      <c r="DA139" s="142"/>
      <c r="DB139" s="142"/>
      <c r="DC139" s="142"/>
      <c r="DD139" s="142"/>
      <c r="DE139" s="142"/>
      <c r="DF139" s="142"/>
      <c r="DG139" s="142"/>
      <c r="DH139" s="142"/>
      <c r="DI139" s="142"/>
      <c r="DJ139" s="142"/>
      <c r="DK139" s="142"/>
      <c r="DL139" s="142"/>
      <c r="DM139" s="142"/>
      <c r="DN139" s="142"/>
      <c r="DO139" s="142"/>
      <c r="DP139" s="142"/>
      <c r="DQ139" s="142"/>
      <c r="DR139" s="142"/>
      <c r="DS139" s="142"/>
      <c r="DT139" s="142"/>
      <c r="DU139" s="142"/>
      <c r="DV139" s="142"/>
      <c r="DW139" s="142"/>
      <c r="DX139" s="142"/>
      <c r="DY139" s="142"/>
      <c r="DZ139" s="142"/>
      <c r="EA139" s="142"/>
      <c r="EB139" s="142"/>
      <c r="EC139" s="142"/>
      <c r="ED139" s="142"/>
      <c r="EE139" s="142"/>
      <c r="EF139" s="142"/>
      <c r="EG139" s="142"/>
      <c r="EH139" s="142"/>
      <c r="EI139" s="142"/>
      <c r="EJ139" s="142"/>
      <c r="EK139" s="142"/>
      <c r="EL139" s="142"/>
      <c r="EM139" s="142"/>
      <c r="EN139" s="142"/>
      <c r="EO139" s="142"/>
      <c r="EP139" s="142"/>
      <c r="EQ139" s="142"/>
      <c r="ER139" s="142"/>
      <c r="ES139" s="142"/>
      <c r="ET139" s="142"/>
      <c r="EU139" s="142"/>
      <c r="EV139" s="142"/>
      <c r="EW139" s="142"/>
      <c r="EX139" s="142"/>
      <c r="EY139" s="142"/>
      <c r="EZ139" s="142"/>
      <c r="FA139" s="142"/>
      <c r="FB139" s="142"/>
      <c r="FC139" s="142"/>
      <c r="FD139" s="142"/>
      <c r="FE139" s="142"/>
      <c r="FF139" s="142"/>
      <c r="FG139" s="142"/>
      <c r="FH139" s="142"/>
      <c r="FI139" s="142"/>
      <c r="FJ139" s="142"/>
      <c r="FK139" s="142"/>
      <c r="FL139" s="142"/>
      <c r="FM139" s="142"/>
      <c r="FN139" s="142"/>
      <c r="FO139" s="142"/>
      <c r="FP139" s="142"/>
      <c r="FQ139" s="142"/>
      <c r="FR139" s="142"/>
      <c r="FS139" s="142"/>
      <c r="FT139" s="142"/>
      <c r="FU139" s="142"/>
      <c r="FV139" s="142"/>
      <c r="FW139" s="142"/>
      <c r="FX139" s="142"/>
      <c r="FY139" s="142"/>
      <c r="FZ139" s="142"/>
      <c r="GA139" s="142"/>
      <c r="GB139" s="142"/>
      <c r="GC139" s="142"/>
      <c r="GD139" s="142"/>
      <c r="GE139" s="142"/>
      <c r="GF139" s="142"/>
      <c r="GG139" s="142"/>
      <c r="GH139" s="142"/>
      <c r="GI139" s="142"/>
      <c r="GJ139" s="142"/>
      <c r="GK139" s="142"/>
      <c r="GL139" s="142"/>
      <c r="GM139" s="142"/>
      <c r="GN139" s="142"/>
      <c r="GO139" s="142"/>
      <c r="GP139" s="142"/>
      <c r="GQ139" s="142"/>
      <c r="GR139" s="142"/>
      <c r="GS139" s="142"/>
      <c r="GT139" s="142"/>
      <c r="GU139" s="142"/>
      <c r="GV139" s="142"/>
      <c r="GW139" s="142"/>
      <c r="GX139" s="142"/>
      <c r="GY139" s="142"/>
      <c r="GZ139" s="142"/>
      <c r="HA139" s="142"/>
      <c r="HB139" s="142"/>
      <c r="HC139" s="142"/>
      <c r="HD139" s="142"/>
      <c r="HE139" s="142"/>
      <c r="HF139" s="142"/>
      <c r="HG139" s="142"/>
      <c r="HH139" s="142"/>
      <c r="HI139" s="142"/>
      <c r="HJ139" s="142"/>
      <c r="HK139" s="142"/>
      <c r="HL139" s="142"/>
      <c r="HM139" s="142"/>
      <c r="HN139" s="142"/>
      <c r="HO139" s="142"/>
      <c r="HP139" s="142"/>
      <c r="HQ139" s="142"/>
      <c r="HR139" s="142"/>
      <c r="HS139" s="142"/>
      <c r="HT139" s="142"/>
      <c r="HU139" s="142"/>
      <c r="HV139" s="142"/>
      <c r="HW139" s="142"/>
      <c r="HX139" s="142"/>
      <c r="HY139" s="142"/>
      <c r="HZ139" s="142"/>
      <c r="IA139" s="142"/>
      <c r="IB139" s="142"/>
      <c r="IC139" s="142"/>
      <c r="ID139" s="142"/>
      <c r="IE139" s="142"/>
      <c r="IF139" s="142"/>
      <c r="IG139" s="142"/>
      <c r="IH139" s="142"/>
      <c r="II139" s="142"/>
      <c r="IJ139" s="142"/>
      <c r="IK139" s="142"/>
      <c r="IL139" s="142"/>
      <c r="IM139" s="142"/>
      <c r="IN139" s="142"/>
      <c r="IO139" s="142"/>
      <c r="IP139" s="142"/>
      <c r="IQ139" s="142"/>
      <c r="IR139" s="142"/>
      <c r="IS139" s="142"/>
      <c r="IT139" s="142"/>
      <c r="IU139" s="142"/>
      <c r="IV139" s="142"/>
    </row>
    <row r="140" spans="1:256" s="194" customFormat="1" x14ac:dyDescent="0.25">
      <c r="A140" s="148" t="s">
        <v>1964</v>
      </c>
      <c r="B140" s="150">
        <v>926.03800000000001</v>
      </c>
      <c r="C140" s="432">
        <v>568.76700000000005</v>
      </c>
      <c r="D140" s="146">
        <f t="shared" si="7"/>
        <v>1.0034473450679502</v>
      </c>
      <c r="E140" s="146">
        <f t="shared" si="8"/>
        <v>1.0015782382932343</v>
      </c>
      <c r="F140" s="432">
        <v>724.09900000000005</v>
      </c>
      <c r="G140" s="146">
        <f t="shared" si="9"/>
        <v>1.0025590027814135</v>
      </c>
      <c r="H140" s="432">
        <v>784.33799999999997</v>
      </c>
      <c r="I140" s="142"/>
      <c r="J140" s="142"/>
      <c r="K140" s="142"/>
      <c r="L140" s="142"/>
      <c r="M140" s="142"/>
      <c r="N140" s="142"/>
      <c r="O140" s="142"/>
      <c r="P140" s="142"/>
      <c r="Q140" s="142"/>
      <c r="R140" s="142"/>
      <c r="S140" s="142"/>
      <c r="T140" s="142"/>
      <c r="U140" s="142"/>
      <c r="V140" s="142"/>
      <c r="W140" s="142"/>
      <c r="X140" s="142"/>
      <c r="Y140" s="142"/>
      <c r="Z140" s="142"/>
      <c r="AA140" s="142"/>
      <c r="AB140" s="142"/>
      <c r="AC140" s="142"/>
      <c r="AD140" s="142"/>
      <c r="AE140" s="142"/>
      <c r="AF140" s="142"/>
      <c r="AG140" s="142"/>
      <c r="AH140" s="142"/>
      <c r="AI140" s="142"/>
      <c r="AJ140" s="142"/>
      <c r="AK140" s="142"/>
      <c r="AL140" s="142"/>
      <c r="AM140" s="142"/>
      <c r="AN140" s="142"/>
      <c r="AO140" s="142"/>
      <c r="AP140" s="142"/>
      <c r="AQ140" s="142"/>
      <c r="AR140" s="142"/>
      <c r="AS140" s="142"/>
      <c r="AT140" s="142"/>
      <c r="AU140" s="142"/>
      <c r="AV140" s="142"/>
      <c r="AW140" s="142"/>
      <c r="AX140" s="142"/>
      <c r="AY140" s="142"/>
      <c r="AZ140" s="142"/>
      <c r="BA140" s="142"/>
      <c r="BB140" s="142"/>
      <c r="BC140" s="142"/>
      <c r="BD140" s="142"/>
      <c r="BE140" s="142"/>
      <c r="BF140" s="142"/>
      <c r="BG140" s="142"/>
      <c r="BH140" s="142"/>
      <c r="BI140" s="142"/>
      <c r="BJ140" s="142"/>
      <c r="BK140" s="142"/>
      <c r="BL140" s="142"/>
      <c r="BM140" s="142"/>
      <c r="BN140" s="142"/>
      <c r="BO140" s="142"/>
      <c r="BP140" s="142"/>
      <c r="BQ140" s="142"/>
      <c r="BR140" s="142"/>
      <c r="BS140" s="142"/>
      <c r="BT140" s="142"/>
      <c r="BU140" s="142"/>
      <c r="BV140" s="142"/>
      <c r="BW140" s="142"/>
      <c r="BX140" s="142"/>
      <c r="BY140" s="142"/>
      <c r="BZ140" s="142"/>
      <c r="CA140" s="142"/>
      <c r="CB140" s="142"/>
      <c r="CC140" s="142"/>
      <c r="CD140" s="142"/>
      <c r="CE140" s="142"/>
      <c r="CF140" s="142"/>
      <c r="CG140" s="142"/>
      <c r="CH140" s="142"/>
      <c r="CI140" s="142"/>
      <c r="CJ140" s="142"/>
      <c r="CK140" s="142"/>
      <c r="CL140" s="142"/>
      <c r="CM140" s="142"/>
      <c r="CN140" s="142"/>
      <c r="CO140" s="142"/>
      <c r="CP140" s="142"/>
      <c r="CQ140" s="142"/>
      <c r="CR140" s="142"/>
      <c r="CS140" s="142"/>
      <c r="CT140" s="142"/>
      <c r="CU140" s="142"/>
      <c r="CV140" s="142"/>
      <c r="CW140" s="142"/>
      <c r="CX140" s="142"/>
      <c r="CY140" s="142"/>
      <c r="CZ140" s="142"/>
      <c r="DA140" s="142"/>
      <c r="DB140" s="142"/>
      <c r="DC140" s="142"/>
      <c r="DD140" s="142"/>
      <c r="DE140" s="142"/>
      <c r="DF140" s="142"/>
      <c r="DG140" s="142"/>
      <c r="DH140" s="142"/>
      <c r="DI140" s="142"/>
      <c r="DJ140" s="142"/>
      <c r="DK140" s="142"/>
      <c r="DL140" s="142"/>
      <c r="DM140" s="142"/>
      <c r="DN140" s="142"/>
      <c r="DO140" s="142"/>
      <c r="DP140" s="142"/>
      <c r="DQ140" s="142"/>
      <c r="DR140" s="142"/>
      <c r="DS140" s="142"/>
      <c r="DT140" s="142"/>
      <c r="DU140" s="142"/>
      <c r="DV140" s="142"/>
      <c r="DW140" s="142"/>
      <c r="DX140" s="142"/>
      <c r="DY140" s="142"/>
      <c r="DZ140" s="142"/>
      <c r="EA140" s="142"/>
      <c r="EB140" s="142"/>
      <c r="EC140" s="142"/>
      <c r="ED140" s="142"/>
      <c r="EE140" s="142"/>
      <c r="EF140" s="142"/>
      <c r="EG140" s="142"/>
      <c r="EH140" s="142"/>
      <c r="EI140" s="142"/>
      <c r="EJ140" s="142"/>
      <c r="EK140" s="142"/>
      <c r="EL140" s="142"/>
      <c r="EM140" s="142"/>
      <c r="EN140" s="142"/>
      <c r="EO140" s="142"/>
      <c r="EP140" s="142"/>
      <c r="EQ140" s="142"/>
      <c r="ER140" s="142"/>
      <c r="ES140" s="142"/>
      <c r="ET140" s="142"/>
      <c r="EU140" s="142"/>
      <c r="EV140" s="142"/>
      <c r="EW140" s="142"/>
      <c r="EX140" s="142"/>
      <c r="EY140" s="142"/>
      <c r="EZ140" s="142"/>
      <c r="FA140" s="142"/>
      <c r="FB140" s="142"/>
      <c r="FC140" s="142"/>
      <c r="FD140" s="142"/>
      <c r="FE140" s="142"/>
      <c r="FF140" s="142"/>
      <c r="FG140" s="142"/>
      <c r="FH140" s="142"/>
      <c r="FI140" s="142"/>
      <c r="FJ140" s="142"/>
      <c r="FK140" s="142"/>
      <c r="FL140" s="142"/>
      <c r="FM140" s="142"/>
      <c r="FN140" s="142"/>
      <c r="FO140" s="142"/>
      <c r="FP140" s="142"/>
      <c r="FQ140" s="142"/>
      <c r="FR140" s="142"/>
      <c r="FS140" s="142"/>
      <c r="FT140" s="142"/>
      <c r="FU140" s="142"/>
      <c r="FV140" s="142"/>
      <c r="FW140" s="142"/>
      <c r="FX140" s="142"/>
      <c r="FY140" s="142"/>
      <c r="FZ140" s="142"/>
      <c r="GA140" s="142"/>
      <c r="GB140" s="142"/>
      <c r="GC140" s="142"/>
      <c r="GD140" s="142"/>
      <c r="GE140" s="142"/>
      <c r="GF140" s="142"/>
      <c r="GG140" s="142"/>
      <c r="GH140" s="142"/>
      <c r="GI140" s="142"/>
      <c r="GJ140" s="142"/>
      <c r="GK140" s="142"/>
      <c r="GL140" s="142"/>
      <c r="GM140" s="142"/>
      <c r="GN140" s="142"/>
      <c r="GO140" s="142"/>
      <c r="GP140" s="142"/>
      <c r="GQ140" s="142"/>
      <c r="GR140" s="142"/>
      <c r="GS140" s="142"/>
      <c r="GT140" s="142"/>
      <c r="GU140" s="142"/>
      <c r="GV140" s="142"/>
      <c r="GW140" s="142"/>
      <c r="GX140" s="142"/>
      <c r="GY140" s="142"/>
      <c r="GZ140" s="142"/>
      <c r="HA140" s="142"/>
      <c r="HB140" s="142"/>
      <c r="HC140" s="142"/>
      <c r="HD140" s="142"/>
      <c r="HE140" s="142"/>
      <c r="HF140" s="142"/>
      <c r="HG140" s="142"/>
      <c r="HH140" s="142"/>
      <c r="HI140" s="142"/>
      <c r="HJ140" s="142"/>
      <c r="HK140" s="142"/>
      <c r="HL140" s="142"/>
      <c r="HM140" s="142"/>
      <c r="HN140" s="142"/>
      <c r="HO140" s="142"/>
      <c r="HP140" s="142"/>
      <c r="HQ140" s="142"/>
      <c r="HR140" s="142"/>
      <c r="HS140" s="142"/>
      <c r="HT140" s="142"/>
      <c r="HU140" s="142"/>
      <c r="HV140" s="142"/>
      <c r="HW140" s="142"/>
      <c r="HX140" s="142"/>
      <c r="HY140" s="142"/>
      <c r="HZ140" s="142"/>
      <c r="IA140" s="142"/>
      <c r="IB140" s="142"/>
      <c r="IC140" s="142"/>
      <c r="ID140" s="142"/>
      <c r="IE140" s="142"/>
      <c r="IF140" s="142"/>
      <c r="IG140" s="142"/>
      <c r="IH140" s="142"/>
      <c r="II140" s="142"/>
      <c r="IJ140" s="142"/>
      <c r="IK140" s="142"/>
      <c r="IL140" s="142"/>
      <c r="IM140" s="142"/>
      <c r="IN140" s="142"/>
      <c r="IO140" s="142"/>
      <c r="IP140" s="142"/>
      <c r="IQ140" s="142"/>
      <c r="IR140" s="142"/>
      <c r="IS140" s="142"/>
      <c r="IT140" s="142"/>
      <c r="IU140" s="142"/>
      <c r="IV140" s="142"/>
    </row>
    <row r="141" spans="1:256" s="194" customFormat="1" x14ac:dyDescent="0.25">
      <c r="A141" s="148" t="s">
        <v>1965</v>
      </c>
      <c r="B141" s="150">
        <v>926.03800000000001</v>
      </c>
      <c r="C141" s="432">
        <v>570.08600000000001</v>
      </c>
      <c r="D141" s="146">
        <f t="shared" si="7"/>
        <v>1.0023190515624147</v>
      </c>
      <c r="E141" s="146">
        <f t="shared" si="8"/>
        <v>1.0010647715298597</v>
      </c>
      <c r="F141" s="432">
        <v>724.87</v>
      </c>
      <c r="G141" s="146">
        <f t="shared" si="9"/>
        <v>1.0022082316552303</v>
      </c>
      <c r="H141" s="432">
        <v>786.07</v>
      </c>
      <c r="I141" s="142"/>
      <c r="J141" s="142"/>
      <c r="K141" s="142"/>
      <c r="L141" s="142"/>
      <c r="M141" s="142"/>
      <c r="N141" s="142"/>
      <c r="O141" s="142"/>
      <c r="P141" s="142"/>
      <c r="Q141" s="142"/>
      <c r="R141" s="142"/>
      <c r="S141" s="142"/>
      <c r="T141" s="142"/>
      <c r="U141" s="142"/>
      <c r="V141" s="142"/>
      <c r="W141" s="142"/>
      <c r="X141" s="142"/>
      <c r="Y141" s="142"/>
      <c r="Z141" s="142"/>
      <c r="AA141" s="142"/>
      <c r="AB141" s="142"/>
      <c r="AC141" s="142"/>
      <c r="AD141" s="142"/>
      <c r="AE141" s="142"/>
      <c r="AF141" s="142"/>
      <c r="AG141" s="142"/>
      <c r="AH141" s="142"/>
      <c r="AI141" s="142"/>
      <c r="AJ141" s="142"/>
      <c r="AK141" s="142"/>
      <c r="AL141" s="142"/>
      <c r="AM141" s="142"/>
      <c r="AN141" s="142"/>
      <c r="AO141" s="142"/>
      <c r="AP141" s="142"/>
      <c r="AQ141" s="142"/>
      <c r="AR141" s="142"/>
      <c r="AS141" s="142"/>
      <c r="AT141" s="142"/>
      <c r="AU141" s="142"/>
      <c r="AV141" s="142"/>
      <c r="AW141" s="142"/>
      <c r="AX141" s="142"/>
      <c r="AY141" s="142"/>
      <c r="AZ141" s="142"/>
      <c r="BA141" s="142"/>
      <c r="BB141" s="142"/>
      <c r="BC141" s="142"/>
      <c r="BD141" s="142"/>
      <c r="BE141" s="142"/>
      <c r="BF141" s="142"/>
      <c r="BG141" s="142"/>
      <c r="BH141" s="142"/>
      <c r="BI141" s="142"/>
      <c r="BJ141" s="142"/>
      <c r="BK141" s="142"/>
      <c r="BL141" s="142"/>
      <c r="BM141" s="142"/>
      <c r="BN141" s="142"/>
      <c r="BO141" s="142"/>
      <c r="BP141" s="142"/>
      <c r="BQ141" s="142"/>
      <c r="BR141" s="142"/>
      <c r="BS141" s="142"/>
      <c r="BT141" s="142"/>
      <c r="BU141" s="142"/>
      <c r="BV141" s="142"/>
      <c r="BW141" s="142"/>
      <c r="BX141" s="142"/>
      <c r="BY141" s="142"/>
      <c r="BZ141" s="142"/>
      <c r="CA141" s="142"/>
      <c r="CB141" s="142"/>
      <c r="CC141" s="142"/>
      <c r="CD141" s="142"/>
      <c r="CE141" s="142"/>
      <c r="CF141" s="142"/>
      <c r="CG141" s="142"/>
      <c r="CH141" s="142"/>
      <c r="CI141" s="142"/>
      <c r="CJ141" s="142"/>
      <c r="CK141" s="142"/>
      <c r="CL141" s="142"/>
      <c r="CM141" s="142"/>
      <c r="CN141" s="142"/>
      <c r="CO141" s="142"/>
      <c r="CP141" s="142"/>
      <c r="CQ141" s="142"/>
      <c r="CR141" s="142"/>
      <c r="CS141" s="142"/>
      <c r="CT141" s="142"/>
      <c r="CU141" s="142"/>
      <c r="CV141" s="142"/>
      <c r="CW141" s="142"/>
      <c r="CX141" s="142"/>
      <c r="CY141" s="142"/>
      <c r="CZ141" s="142"/>
      <c r="DA141" s="142"/>
      <c r="DB141" s="142"/>
      <c r="DC141" s="142"/>
      <c r="DD141" s="142"/>
      <c r="DE141" s="142"/>
      <c r="DF141" s="142"/>
      <c r="DG141" s="142"/>
      <c r="DH141" s="142"/>
      <c r="DI141" s="142"/>
      <c r="DJ141" s="142"/>
      <c r="DK141" s="142"/>
      <c r="DL141" s="142"/>
      <c r="DM141" s="142"/>
      <c r="DN141" s="142"/>
      <c r="DO141" s="142"/>
      <c r="DP141" s="142"/>
      <c r="DQ141" s="142"/>
      <c r="DR141" s="142"/>
      <c r="DS141" s="142"/>
      <c r="DT141" s="142"/>
      <c r="DU141" s="142"/>
      <c r="DV141" s="142"/>
      <c r="DW141" s="142"/>
      <c r="DX141" s="142"/>
      <c r="DY141" s="142"/>
      <c r="DZ141" s="142"/>
      <c r="EA141" s="142"/>
      <c r="EB141" s="142"/>
      <c r="EC141" s="142"/>
      <c r="ED141" s="142"/>
      <c r="EE141" s="142"/>
      <c r="EF141" s="142"/>
      <c r="EG141" s="142"/>
      <c r="EH141" s="142"/>
      <c r="EI141" s="142"/>
      <c r="EJ141" s="142"/>
      <c r="EK141" s="142"/>
      <c r="EL141" s="142"/>
      <c r="EM141" s="142"/>
      <c r="EN141" s="142"/>
      <c r="EO141" s="142"/>
      <c r="EP141" s="142"/>
      <c r="EQ141" s="142"/>
      <c r="ER141" s="142"/>
      <c r="ES141" s="142"/>
      <c r="ET141" s="142"/>
      <c r="EU141" s="142"/>
      <c r="EV141" s="142"/>
      <c r="EW141" s="142"/>
      <c r="EX141" s="142"/>
      <c r="EY141" s="142"/>
      <c r="EZ141" s="142"/>
      <c r="FA141" s="142"/>
      <c r="FB141" s="142"/>
      <c r="FC141" s="142"/>
      <c r="FD141" s="142"/>
      <c r="FE141" s="142"/>
      <c r="FF141" s="142"/>
      <c r="FG141" s="142"/>
      <c r="FH141" s="142"/>
      <c r="FI141" s="142"/>
      <c r="FJ141" s="142"/>
      <c r="FK141" s="142"/>
      <c r="FL141" s="142"/>
      <c r="FM141" s="142"/>
      <c r="FN141" s="142"/>
      <c r="FO141" s="142"/>
      <c r="FP141" s="142"/>
      <c r="FQ141" s="142"/>
      <c r="FR141" s="142"/>
      <c r="FS141" s="142"/>
      <c r="FT141" s="142"/>
      <c r="FU141" s="142"/>
      <c r="FV141" s="142"/>
      <c r="FW141" s="142"/>
      <c r="FX141" s="142"/>
      <c r="FY141" s="142"/>
      <c r="FZ141" s="142"/>
      <c r="GA141" s="142"/>
      <c r="GB141" s="142"/>
      <c r="GC141" s="142"/>
      <c r="GD141" s="142"/>
      <c r="GE141" s="142"/>
      <c r="GF141" s="142"/>
      <c r="GG141" s="142"/>
      <c r="GH141" s="142"/>
      <c r="GI141" s="142"/>
      <c r="GJ141" s="142"/>
      <c r="GK141" s="142"/>
      <c r="GL141" s="142"/>
      <c r="GM141" s="142"/>
      <c r="GN141" s="142"/>
      <c r="GO141" s="142"/>
      <c r="GP141" s="142"/>
      <c r="GQ141" s="142"/>
      <c r="GR141" s="142"/>
      <c r="GS141" s="142"/>
      <c r="GT141" s="142"/>
      <c r="GU141" s="142"/>
      <c r="GV141" s="142"/>
      <c r="GW141" s="142"/>
      <c r="GX141" s="142"/>
      <c r="GY141" s="142"/>
      <c r="GZ141" s="142"/>
      <c r="HA141" s="142"/>
      <c r="HB141" s="142"/>
      <c r="HC141" s="142"/>
      <c r="HD141" s="142"/>
      <c r="HE141" s="142"/>
      <c r="HF141" s="142"/>
      <c r="HG141" s="142"/>
      <c r="HH141" s="142"/>
      <c r="HI141" s="142"/>
      <c r="HJ141" s="142"/>
      <c r="HK141" s="142"/>
      <c r="HL141" s="142"/>
      <c r="HM141" s="142"/>
      <c r="HN141" s="142"/>
      <c r="HO141" s="142"/>
      <c r="HP141" s="142"/>
      <c r="HQ141" s="142"/>
      <c r="HR141" s="142"/>
      <c r="HS141" s="142"/>
      <c r="HT141" s="142"/>
      <c r="HU141" s="142"/>
      <c r="HV141" s="142"/>
      <c r="HW141" s="142"/>
      <c r="HX141" s="142"/>
      <c r="HY141" s="142"/>
      <c r="HZ141" s="142"/>
      <c r="IA141" s="142"/>
      <c r="IB141" s="142"/>
      <c r="IC141" s="142"/>
      <c r="ID141" s="142"/>
      <c r="IE141" s="142"/>
      <c r="IF141" s="142"/>
      <c r="IG141" s="142"/>
      <c r="IH141" s="142"/>
      <c r="II141" s="142"/>
      <c r="IJ141" s="142"/>
      <c r="IK141" s="142"/>
      <c r="IL141" s="142"/>
      <c r="IM141" s="142"/>
      <c r="IN141" s="142"/>
      <c r="IO141" s="142"/>
      <c r="IP141" s="142"/>
      <c r="IQ141" s="142"/>
      <c r="IR141" s="142"/>
      <c r="IS141" s="142"/>
      <c r="IT141" s="142"/>
      <c r="IU141" s="142"/>
      <c r="IV141" s="142"/>
    </row>
    <row r="142" spans="1:256" s="194" customFormat="1" x14ac:dyDescent="0.25">
      <c r="A142" s="148" t="s">
        <v>1966</v>
      </c>
      <c r="B142" s="150">
        <v>926.03800000000001</v>
      </c>
      <c r="C142" s="432">
        <v>571.46900000000005</v>
      </c>
      <c r="D142" s="146">
        <f t="shared" si="7"/>
        <v>1.0024259497689822</v>
      </c>
      <c r="E142" s="146">
        <f t="shared" si="8"/>
        <v>1.0011146826327479</v>
      </c>
      <c r="F142" s="432">
        <v>725.678</v>
      </c>
      <c r="G142" s="146">
        <f t="shared" si="9"/>
        <v>1.0020303535308561</v>
      </c>
      <c r="H142" s="432">
        <v>787.66600000000005</v>
      </c>
      <c r="I142" s="142"/>
      <c r="J142" s="142"/>
      <c r="K142" s="142"/>
      <c r="L142" s="142"/>
      <c r="M142" s="142"/>
      <c r="N142" s="142"/>
      <c r="O142" s="142"/>
      <c r="P142" s="142"/>
      <c r="Q142" s="142"/>
      <c r="R142" s="142"/>
      <c r="S142" s="142"/>
      <c r="T142" s="142"/>
      <c r="U142" s="142"/>
      <c r="V142" s="142"/>
      <c r="W142" s="142"/>
      <c r="X142" s="142"/>
      <c r="Y142" s="142"/>
      <c r="Z142" s="142"/>
      <c r="AA142" s="142"/>
      <c r="AB142" s="142"/>
      <c r="AC142" s="142"/>
      <c r="AD142" s="142"/>
      <c r="AE142" s="142"/>
      <c r="AF142" s="142"/>
      <c r="AG142" s="142"/>
      <c r="AH142" s="142"/>
      <c r="AI142" s="142"/>
      <c r="AJ142" s="142"/>
      <c r="AK142" s="142"/>
      <c r="AL142" s="142"/>
      <c r="AM142" s="142"/>
      <c r="AN142" s="142"/>
      <c r="AO142" s="142"/>
      <c r="AP142" s="142"/>
      <c r="AQ142" s="142"/>
      <c r="AR142" s="142"/>
      <c r="AS142" s="142"/>
      <c r="AT142" s="142"/>
      <c r="AU142" s="142"/>
      <c r="AV142" s="142"/>
      <c r="AW142" s="142"/>
      <c r="AX142" s="142"/>
      <c r="AY142" s="142"/>
      <c r="AZ142" s="142"/>
      <c r="BA142" s="142"/>
      <c r="BB142" s="142"/>
      <c r="BC142" s="142"/>
      <c r="BD142" s="142"/>
      <c r="BE142" s="142"/>
      <c r="BF142" s="142"/>
      <c r="BG142" s="142"/>
      <c r="BH142" s="142"/>
      <c r="BI142" s="142"/>
      <c r="BJ142" s="142"/>
      <c r="BK142" s="142"/>
      <c r="BL142" s="142"/>
      <c r="BM142" s="142"/>
      <c r="BN142" s="142"/>
      <c r="BO142" s="142"/>
      <c r="BP142" s="142"/>
      <c r="BQ142" s="142"/>
      <c r="BR142" s="142"/>
      <c r="BS142" s="142"/>
      <c r="BT142" s="142"/>
      <c r="BU142" s="142"/>
      <c r="BV142" s="142"/>
      <c r="BW142" s="142"/>
      <c r="BX142" s="142"/>
      <c r="BY142" s="142"/>
      <c r="BZ142" s="142"/>
      <c r="CA142" s="142"/>
      <c r="CB142" s="142"/>
      <c r="CC142" s="142"/>
      <c r="CD142" s="142"/>
      <c r="CE142" s="142"/>
      <c r="CF142" s="142"/>
      <c r="CG142" s="142"/>
      <c r="CH142" s="142"/>
      <c r="CI142" s="142"/>
      <c r="CJ142" s="142"/>
      <c r="CK142" s="142"/>
      <c r="CL142" s="142"/>
      <c r="CM142" s="142"/>
      <c r="CN142" s="142"/>
      <c r="CO142" s="142"/>
      <c r="CP142" s="142"/>
      <c r="CQ142" s="142"/>
      <c r="CR142" s="142"/>
      <c r="CS142" s="142"/>
      <c r="CT142" s="142"/>
      <c r="CU142" s="142"/>
      <c r="CV142" s="142"/>
      <c r="CW142" s="142"/>
      <c r="CX142" s="142"/>
      <c r="CY142" s="142"/>
      <c r="CZ142" s="142"/>
      <c r="DA142" s="142"/>
      <c r="DB142" s="142"/>
      <c r="DC142" s="142"/>
      <c r="DD142" s="142"/>
      <c r="DE142" s="142"/>
      <c r="DF142" s="142"/>
      <c r="DG142" s="142"/>
      <c r="DH142" s="142"/>
      <c r="DI142" s="142"/>
      <c r="DJ142" s="142"/>
      <c r="DK142" s="142"/>
      <c r="DL142" s="142"/>
      <c r="DM142" s="142"/>
      <c r="DN142" s="142"/>
      <c r="DO142" s="142"/>
      <c r="DP142" s="142"/>
      <c r="DQ142" s="142"/>
      <c r="DR142" s="142"/>
      <c r="DS142" s="142"/>
      <c r="DT142" s="142"/>
      <c r="DU142" s="142"/>
      <c r="DV142" s="142"/>
      <c r="DW142" s="142"/>
      <c r="DX142" s="142"/>
      <c r="DY142" s="142"/>
      <c r="DZ142" s="142"/>
      <c r="EA142" s="142"/>
      <c r="EB142" s="142"/>
      <c r="EC142" s="142"/>
      <c r="ED142" s="142"/>
      <c r="EE142" s="142"/>
      <c r="EF142" s="142"/>
      <c r="EG142" s="142"/>
      <c r="EH142" s="142"/>
      <c r="EI142" s="142"/>
      <c r="EJ142" s="142"/>
      <c r="EK142" s="142"/>
      <c r="EL142" s="142"/>
      <c r="EM142" s="142"/>
      <c r="EN142" s="142"/>
      <c r="EO142" s="142"/>
      <c r="EP142" s="142"/>
      <c r="EQ142" s="142"/>
      <c r="ER142" s="142"/>
      <c r="ES142" s="142"/>
      <c r="ET142" s="142"/>
      <c r="EU142" s="142"/>
      <c r="EV142" s="142"/>
      <c r="EW142" s="142"/>
      <c r="EX142" s="142"/>
      <c r="EY142" s="142"/>
      <c r="EZ142" s="142"/>
      <c r="FA142" s="142"/>
      <c r="FB142" s="142"/>
      <c r="FC142" s="142"/>
      <c r="FD142" s="142"/>
      <c r="FE142" s="142"/>
      <c r="FF142" s="142"/>
      <c r="FG142" s="142"/>
      <c r="FH142" s="142"/>
      <c r="FI142" s="142"/>
      <c r="FJ142" s="142"/>
      <c r="FK142" s="142"/>
      <c r="FL142" s="142"/>
      <c r="FM142" s="142"/>
      <c r="FN142" s="142"/>
      <c r="FO142" s="142"/>
      <c r="FP142" s="142"/>
      <c r="FQ142" s="142"/>
      <c r="FR142" s="142"/>
      <c r="FS142" s="142"/>
      <c r="FT142" s="142"/>
      <c r="FU142" s="142"/>
      <c r="FV142" s="142"/>
      <c r="FW142" s="142"/>
      <c r="FX142" s="142"/>
      <c r="FY142" s="142"/>
      <c r="FZ142" s="142"/>
      <c r="GA142" s="142"/>
      <c r="GB142" s="142"/>
      <c r="GC142" s="142"/>
      <c r="GD142" s="142"/>
      <c r="GE142" s="142"/>
      <c r="GF142" s="142"/>
      <c r="GG142" s="142"/>
      <c r="GH142" s="142"/>
      <c r="GI142" s="142"/>
      <c r="GJ142" s="142"/>
      <c r="GK142" s="142"/>
      <c r="GL142" s="142"/>
      <c r="GM142" s="142"/>
      <c r="GN142" s="142"/>
      <c r="GO142" s="142"/>
      <c r="GP142" s="142"/>
      <c r="GQ142" s="142"/>
      <c r="GR142" s="142"/>
      <c r="GS142" s="142"/>
      <c r="GT142" s="142"/>
      <c r="GU142" s="142"/>
      <c r="GV142" s="142"/>
      <c r="GW142" s="142"/>
      <c r="GX142" s="142"/>
      <c r="GY142" s="142"/>
      <c r="GZ142" s="142"/>
      <c r="HA142" s="142"/>
      <c r="HB142" s="142"/>
      <c r="HC142" s="142"/>
      <c r="HD142" s="142"/>
      <c r="HE142" s="142"/>
      <c r="HF142" s="142"/>
      <c r="HG142" s="142"/>
      <c r="HH142" s="142"/>
      <c r="HI142" s="142"/>
      <c r="HJ142" s="142"/>
      <c r="HK142" s="142"/>
      <c r="HL142" s="142"/>
      <c r="HM142" s="142"/>
      <c r="HN142" s="142"/>
      <c r="HO142" s="142"/>
      <c r="HP142" s="142"/>
      <c r="HQ142" s="142"/>
      <c r="HR142" s="142"/>
      <c r="HS142" s="142"/>
      <c r="HT142" s="142"/>
      <c r="HU142" s="142"/>
      <c r="HV142" s="142"/>
      <c r="HW142" s="142"/>
      <c r="HX142" s="142"/>
      <c r="HY142" s="142"/>
      <c r="HZ142" s="142"/>
      <c r="IA142" s="142"/>
      <c r="IB142" s="142"/>
      <c r="IC142" s="142"/>
      <c r="ID142" s="142"/>
      <c r="IE142" s="142"/>
      <c r="IF142" s="142"/>
      <c r="IG142" s="142"/>
      <c r="IH142" s="142"/>
      <c r="II142" s="142"/>
      <c r="IJ142" s="142"/>
      <c r="IK142" s="142"/>
      <c r="IL142" s="142"/>
      <c r="IM142" s="142"/>
      <c r="IN142" s="142"/>
      <c r="IO142" s="142"/>
      <c r="IP142" s="142"/>
      <c r="IQ142" s="142"/>
      <c r="IR142" s="142"/>
      <c r="IS142" s="142"/>
      <c r="IT142" s="142"/>
      <c r="IU142" s="142"/>
      <c r="IV142" s="142"/>
    </row>
    <row r="143" spans="1:256" s="194" customFormat="1" x14ac:dyDescent="0.25">
      <c r="A143" s="148" t="s">
        <v>1967</v>
      </c>
      <c r="B143" s="150">
        <v>926.03800000000001</v>
      </c>
      <c r="C143" s="432">
        <v>575.28899999999999</v>
      </c>
      <c r="D143" s="146">
        <f t="shared" si="7"/>
        <v>1.0066845270697098</v>
      </c>
      <c r="E143" s="146">
        <f t="shared" si="8"/>
        <v>1.003075744338398</v>
      </c>
      <c r="F143" s="432">
        <v>727.91</v>
      </c>
      <c r="G143" s="146">
        <f t="shared" si="9"/>
        <v>1.0033834137819837</v>
      </c>
      <c r="H143" s="432">
        <v>790.33100000000002</v>
      </c>
      <c r="I143" s="142"/>
      <c r="J143" s="142"/>
      <c r="K143" s="142"/>
      <c r="L143" s="142"/>
      <c r="M143" s="142"/>
      <c r="N143" s="142"/>
      <c r="O143" s="142"/>
      <c r="P143" s="142"/>
      <c r="Q143" s="142"/>
      <c r="R143" s="142"/>
      <c r="S143" s="142"/>
      <c r="T143" s="142"/>
      <c r="U143" s="142"/>
      <c r="V143" s="142"/>
      <c r="W143" s="142"/>
      <c r="X143" s="142"/>
      <c r="Y143" s="142"/>
      <c r="Z143" s="142"/>
      <c r="AA143" s="142"/>
      <c r="AB143" s="142"/>
      <c r="AC143" s="142"/>
      <c r="AD143" s="142"/>
      <c r="AE143" s="142"/>
      <c r="AF143" s="142"/>
      <c r="AG143" s="142"/>
      <c r="AH143" s="142"/>
      <c r="AI143" s="142"/>
      <c r="AJ143" s="142"/>
      <c r="AK143" s="142"/>
      <c r="AL143" s="142"/>
      <c r="AM143" s="142"/>
      <c r="AN143" s="142"/>
      <c r="AO143" s="142"/>
      <c r="AP143" s="142"/>
      <c r="AQ143" s="142"/>
      <c r="AR143" s="142"/>
      <c r="AS143" s="142"/>
      <c r="AT143" s="142"/>
      <c r="AU143" s="142"/>
      <c r="AV143" s="142"/>
      <c r="AW143" s="142"/>
      <c r="AX143" s="142"/>
      <c r="AY143" s="142"/>
      <c r="AZ143" s="142"/>
      <c r="BA143" s="142"/>
      <c r="BB143" s="142"/>
      <c r="BC143" s="142"/>
      <c r="BD143" s="142"/>
      <c r="BE143" s="142"/>
      <c r="BF143" s="142"/>
      <c r="BG143" s="142"/>
      <c r="BH143" s="142"/>
      <c r="BI143" s="142"/>
      <c r="BJ143" s="142"/>
      <c r="BK143" s="142"/>
      <c r="BL143" s="142"/>
      <c r="BM143" s="142"/>
      <c r="BN143" s="142"/>
      <c r="BO143" s="142"/>
      <c r="BP143" s="142"/>
      <c r="BQ143" s="142"/>
      <c r="BR143" s="142"/>
      <c r="BS143" s="142"/>
      <c r="BT143" s="142"/>
      <c r="BU143" s="142"/>
      <c r="BV143" s="142"/>
      <c r="BW143" s="142"/>
      <c r="BX143" s="142"/>
      <c r="BY143" s="142"/>
      <c r="BZ143" s="142"/>
      <c r="CA143" s="142"/>
      <c r="CB143" s="142"/>
      <c r="CC143" s="142"/>
      <c r="CD143" s="142"/>
      <c r="CE143" s="142"/>
      <c r="CF143" s="142"/>
      <c r="CG143" s="142"/>
      <c r="CH143" s="142"/>
      <c r="CI143" s="142"/>
      <c r="CJ143" s="142"/>
      <c r="CK143" s="142"/>
      <c r="CL143" s="142"/>
      <c r="CM143" s="142"/>
      <c r="CN143" s="142"/>
      <c r="CO143" s="142"/>
      <c r="CP143" s="142"/>
      <c r="CQ143" s="142"/>
      <c r="CR143" s="142"/>
      <c r="CS143" s="142"/>
      <c r="CT143" s="142"/>
      <c r="CU143" s="142"/>
      <c r="CV143" s="142"/>
      <c r="CW143" s="142"/>
      <c r="CX143" s="142"/>
      <c r="CY143" s="142"/>
      <c r="CZ143" s="142"/>
      <c r="DA143" s="142"/>
      <c r="DB143" s="142"/>
      <c r="DC143" s="142"/>
      <c r="DD143" s="142"/>
      <c r="DE143" s="142"/>
      <c r="DF143" s="142"/>
      <c r="DG143" s="142"/>
      <c r="DH143" s="142"/>
      <c r="DI143" s="142"/>
      <c r="DJ143" s="142"/>
      <c r="DK143" s="142"/>
      <c r="DL143" s="142"/>
      <c r="DM143" s="142"/>
      <c r="DN143" s="142"/>
      <c r="DO143" s="142"/>
      <c r="DP143" s="142"/>
      <c r="DQ143" s="142"/>
      <c r="DR143" s="142"/>
      <c r="DS143" s="142"/>
      <c r="DT143" s="142"/>
      <c r="DU143" s="142"/>
      <c r="DV143" s="142"/>
      <c r="DW143" s="142"/>
      <c r="DX143" s="142"/>
      <c r="DY143" s="142"/>
      <c r="DZ143" s="142"/>
      <c r="EA143" s="142"/>
      <c r="EB143" s="142"/>
      <c r="EC143" s="142"/>
      <c r="ED143" s="142"/>
      <c r="EE143" s="142"/>
      <c r="EF143" s="142"/>
      <c r="EG143" s="142"/>
      <c r="EH143" s="142"/>
      <c r="EI143" s="142"/>
      <c r="EJ143" s="142"/>
      <c r="EK143" s="142"/>
      <c r="EL143" s="142"/>
      <c r="EM143" s="142"/>
      <c r="EN143" s="142"/>
      <c r="EO143" s="142"/>
      <c r="EP143" s="142"/>
      <c r="EQ143" s="142"/>
      <c r="ER143" s="142"/>
      <c r="ES143" s="142"/>
      <c r="ET143" s="142"/>
      <c r="EU143" s="142"/>
      <c r="EV143" s="142"/>
      <c r="EW143" s="142"/>
      <c r="EX143" s="142"/>
      <c r="EY143" s="142"/>
      <c r="EZ143" s="142"/>
      <c r="FA143" s="142"/>
      <c r="FB143" s="142"/>
      <c r="FC143" s="142"/>
      <c r="FD143" s="142"/>
      <c r="FE143" s="142"/>
      <c r="FF143" s="142"/>
      <c r="FG143" s="142"/>
      <c r="FH143" s="142"/>
      <c r="FI143" s="142"/>
      <c r="FJ143" s="142"/>
      <c r="FK143" s="142"/>
      <c r="FL143" s="142"/>
      <c r="FM143" s="142"/>
      <c r="FN143" s="142"/>
      <c r="FO143" s="142"/>
      <c r="FP143" s="142"/>
      <c r="FQ143" s="142"/>
      <c r="FR143" s="142"/>
      <c r="FS143" s="142"/>
      <c r="FT143" s="142"/>
      <c r="FU143" s="142"/>
      <c r="FV143" s="142"/>
      <c r="FW143" s="142"/>
      <c r="FX143" s="142"/>
      <c r="FY143" s="142"/>
      <c r="FZ143" s="142"/>
      <c r="GA143" s="142"/>
      <c r="GB143" s="142"/>
      <c r="GC143" s="142"/>
      <c r="GD143" s="142"/>
      <c r="GE143" s="142"/>
      <c r="GF143" s="142"/>
      <c r="GG143" s="142"/>
      <c r="GH143" s="142"/>
      <c r="GI143" s="142"/>
      <c r="GJ143" s="142"/>
      <c r="GK143" s="142"/>
      <c r="GL143" s="142"/>
      <c r="GM143" s="142"/>
      <c r="GN143" s="142"/>
      <c r="GO143" s="142"/>
      <c r="GP143" s="142"/>
      <c r="GQ143" s="142"/>
      <c r="GR143" s="142"/>
      <c r="GS143" s="142"/>
      <c r="GT143" s="142"/>
      <c r="GU143" s="142"/>
      <c r="GV143" s="142"/>
      <c r="GW143" s="142"/>
      <c r="GX143" s="142"/>
      <c r="GY143" s="142"/>
      <c r="GZ143" s="142"/>
      <c r="HA143" s="142"/>
      <c r="HB143" s="142"/>
      <c r="HC143" s="142"/>
      <c r="HD143" s="142"/>
      <c r="HE143" s="142"/>
      <c r="HF143" s="142"/>
      <c r="HG143" s="142"/>
      <c r="HH143" s="142"/>
      <c r="HI143" s="142"/>
      <c r="HJ143" s="142"/>
      <c r="HK143" s="142"/>
      <c r="HL143" s="142"/>
      <c r="HM143" s="142"/>
      <c r="HN143" s="142"/>
      <c r="HO143" s="142"/>
      <c r="HP143" s="142"/>
      <c r="HQ143" s="142"/>
      <c r="HR143" s="142"/>
      <c r="HS143" s="142"/>
      <c r="HT143" s="142"/>
      <c r="HU143" s="142"/>
      <c r="HV143" s="142"/>
      <c r="HW143" s="142"/>
      <c r="HX143" s="142"/>
      <c r="HY143" s="142"/>
      <c r="HZ143" s="142"/>
      <c r="IA143" s="142"/>
      <c r="IB143" s="142"/>
      <c r="IC143" s="142"/>
      <c r="ID143" s="142"/>
      <c r="IE143" s="142"/>
      <c r="IF143" s="142"/>
      <c r="IG143" s="142"/>
      <c r="IH143" s="142"/>
      <c r="II143" s="142"/>
      <c r="IJ143" s="142"/>
      <c r="IK143" s="142"/>
      <c r="IL143" s="142"/>
      <c r="IM143" s="142"/>
      <c r="IN143" s="142"/>
      <c r="IO143" s="142"/>
      <c r="IP143" s="142"/>
      <c r="IQ143" s="142"/>
      <c r="IR143" s="142"/>
      <c r="IS143" s="142"/>
      <c r="IT143" s="142"/>
      <c r="IU143" s="142"/>
      <c r="IV143" s="142"/>
    </row>
    <row r="144" spans="1:256" s="194" customFormat="1" x14ac:dyDescent="0.25">
      <c r="A144" s="148" t="s">
        <v>1979</v>
      </c>
      <c r="B144" s="150">
        <v>926.03800000000001</v>
      </c>
      <c r="C144" s="432">
        <v>579.78399999999999</v>
      </c>
      <c r="D144" s="146">
        <f t="shared" si="7"/>
        <v>1.0078134641893031</v>
      </c>
      <c r="E144" s="146">
        <f t="shared" si="8"/>
        <v>1.00360758885027</v>
      </c>
      <c r="F144" s="432">
        <v>730.53599999999994</v>
      </c>
      <c r="G144" s="146">
        <f t="shared" si="9"/>
        <v>1.0117140792908288</v>
      </c>
      <c r="H144" s="432">
        <v>799.58900000000006</v>
      </c>
      <c r="I144" s="142"/>
      <c r="J144" s="142"/>
      <c r="K144" s="142"/>
      <c r="L144" s="142"/>
      <c r="M144" s="142"/>
      <c r="N144" s="142"/>
      <c r="O144" s="142"/>
      <c r="P144" s="142"/>
      <c r="Q144" s="142"/>
      <c r="R144" s="142"/>
      <c r="S144" s="142"/>
      <c r="T144" s="142"/>
      <c r="U144" s="142"/>
      <c r="V144" s="142"/>
      <c r="W144" s="142"/>
      <c r="X144" s="142"/>
      <c r="Y144" s="142"/>
      <c r="Z144" s="142"/>
      <c r="AA144" s="142"/>
      <c r="AB144" s="142"/>
      <c r="AC144" s="142"/>
      <c r="AD144" s="142"/>
      <c r="AE144" s="142"/>
      <c r="AF144" s="142"/>
      <c r="AG144" s="142"/>
      <c r="AH144" s="142"/>
      <c r="AI144" s="142"/>
      <c r="AJ144" s="142"/>
      <c r="AK144" s="142"/>
      <c r="AL144" s="142"/>
      <c r="AM144" s="142"/>
      <c r="AN144" s="142"/>
      <c r="AO144" s="142"/>
      <c r="AP144" s="142"/>
      <c r="AQ144" s="142"/>
      <c r="AR144" s="142"/>
      <c r="AS144" s="142"/>
      <c r="AT144" s="142"/>
      <c r="AU144" s="142"/>
      <c r="AV144" s="142"/>
      <c r="AW144" s="142"/>
      <c r="AX144" s="142"/>
      <c r="AY144" s="142"/>
      <c r="AZ144" s="142"/>
      <c r="BA144" s="142"/>
      <c r="BB144" s="142"/>
      <c r="BC144" s="142"/>
      <c r="BD144" s="142"/>
      <c r="BE144" s="142"/>
      <c r="BF144" s="142"/>
      <c r="BG144" s="142"/>
      <c r="BH144" s="142"/>
      <c r="BI144" s="142"/>
      <c r="BJ144" s="142"/>
      <c r="BK144" s="142"/>
      <c r="BL144" s="142"/>
      <c r="BM144" s="142"/>
      <c r="BN144" s="142"/>
      <c r="BO144" s="142"/>
      <c r="BP144" s="142"/>
      <c r="BQ144" s="142"/>
      <c r="BR144" s="142"/>
      <c r="BS144" s="142"/>
      <c r="BT144" s="142"/>
      <c r="BU144" s="142"/>
      <c r="BV144" s="142"/>
      <c r="BW144" s="142"/>
      <c r="BX144" s="142"/>
      <c r="BY144" s="142"/>
      <c r="BZ144" s="142"/>
      <c r="CA144" s="142"/>
      <c r="CB144" s="142"/>
      <c r="CC144" s="142"/>
      <c r="CD144" s="142"/>
      <c r="CE144" s="142"/>
      <c r="CF144" s="142"/>
      <c r="CG144" s="142"/>
      <c r="CH144" s="142"/>
      <c r="CI144" s="142"/>
      <c r="CJ144" s="142"/>
      <c r="CK144" s="142"/>
      <c r="CL144" s="142"/>
      <c r="CM144" s="142"/>
      <c r="CN144" s="142"/>
      <c r="CO144" s="142"/>
      <c r="CP144" s="142"/>
      <c r="CQ144" s="142"/>
      <c r="CR144" s="142"/>
      <c r="CS144" s="142"/>
      <c r="CT144" s="142"/>
      <c r="CU144" s="142"/>
      <c r="CV144" s="142"/>
      <c r="CW144" s="142"/>
      <c r="CX144" s="142"/>
      <c r="CY144" s="142"/>
      <c r="CZ144" s="142"/>
      <c r="DA144" s="142"/>
      <c r="DB144" s="142"/>
      <c r="DC144" s="142"/>
      <c r="DD144" s="142"/>
      <c r="DE144" s="142"/>
      <c r="DF144" s="142"/>
      <c r="DG144" s="142"/>
      <c r="DH144" s="142"/>
      <c r="DI144" s="142"/>
      <c r="DJ144" s="142"/>
      <c r="DK144" s="142"/>
      <c r="DL144" s="142"/>
      <c r="DM144" s="142"/>
      <c r="DN144" s="142"/>
      <c r="DO144" s="142"/>
      <c r="DP144" s="142"/>
      <c r="DQ144" s="142"/>
      <c r="DR144" s="142"/>
      <c r="DS144" s="142"/>
      <c r="DT144" s="142"/>
      <c r="DU144" s="142"/>
      <c r="DV144" s="142"/>
      <c r="DW144" s="142"/>
      <c r="DX144" s="142"/>
      <c r="DY144" s="142"/>
      <c r="DZ144" s="142"/>
      <c r="EA144" s="142"/>
      <c r="EB144" s="142"/>
      <c r="EC144" s="142"/>
      <c r="ED144" s="142"/>
      <c r="EE144" s="142"/>
      <c r="EF144" s="142"/>
      <c r="EG144" s="142"/>
      <c r="EH144" s="142"/>
      <c r="EI144" s="142"/>
      <c r="EJ144" s="142"/>
      <c r="EK144" s="142"/>
      <c r="EL144" s="142"/>
      <c r="EM144" s="142"/>
      <c r="EN144" s="142"/>
      <c r="EO144" s="142"/>
      <c r="EP144" s="142"/>
      <c r="EQ144" s="142"/>
      <c r="ER144" s="142"/>
      <c r="ES144" s="142"/>
      <c r="ET144" s="142"/>
      <c r="EU144" s="142"/>
      <c r="EV144" s="142"/>
      <c r="EW144" s="142"/>
      <c r="EX144" s="142"/>
      <c r="EY144" s="142"/>
      <c r="EZ144" s="142"/>
      <c r="FA144" s="142"/>
      <c r="FB144" s="142"/>
      <c r="FC144" s="142"/>
      <c r="FD144" s="142"/>
      <c r="FE144" s="142"/>
      <c r="FF144" s="142"/>
      <c r="FG144" s="142"/>
      <c r="FH144" s="142"/>
      <c r="FI144" s="142"/>
      <c r="FJ144" s="142"/>
      <c r="FK144" s="142"/>
      <c r="FL144" s="142"/>
      <c r="FM144" s="142"/>
      <c r="FN144" s="142"/>
      <c r="FO144" s="142"/>
      <c r="FP144" s="142"/>
      <c r="FQ144" s="142"/>
      <c r="FR144" s="142"/>
      <c r="FS144" s="142"/>
      <c r="FT144" s="142"/>
      <c r="FU144" s="142"/>
      <c r="FV144" s="142"/>
      <c r="FW144" s="142"/>
      <c r="FX144" s="142"/>
      <c r="FY144" s="142"/>
      <c r="FZ144" s="142"/>
      <c r="GA144" s="142"/>
      <c r="GB144" s="142"/>
      <c r="GC144" s="142"/>
      <c r="GD144" s="142"/>
      <c r="GE144" s="142"/>
      <c r="GF144" s="142"/>
      <c r="GG144" s="142"/>
      <c r="GH144" s="142"/>
      <c r="GI144" s="142"/>
      <c r="GJ144" s="142"/>
      <c r="GK144" s="142"/>
      <c r="GL144" s="142"/>
      <c r="GM144" s="142"/>
      <c r="GN144" s="142"/>
      <c r="GO144" s="142"/>
      <c r="GP144" s="142"/>
      <c r="GQ144" s="142"/>
      <c r="GR144" s="142"/>
      <c r="GS144" s="142"/>
      <c r="GT144" s="142"/>
      <c r="GU144" s="142"/>
      <c r="GV144" s="142"/>
      <c r="GW144" s="142"/>
      <c r="GX144" s="142"/>
      <c r="GY144" s="142"/>
      <c r="GZ144" s="142"/>
      <c r="HA144" s="142"/>
      <c r="HB144" s="142"/>
      <c r="HC144" s="142"/>
      <c r="HD144" s="142"/>
      <c r="HE144" s="142"/>
      <c r="HF144" s="142"/>
      <c r="HG144" s="142"/>
      <c r="HH144" s="142"/>
      <c r="HI144" s="142"/>
      <c r="HJ144" s="142"/>
      <c r="HK144" s="142"/>
      <c r="HL144" s="142"/>
      <c r="HM144" s="142"/>
      <c r="HN144" s="142"/>
      <c r="HO144" s="142"/>
      <c r="HP144" s="142"/>
      <c r="HQ144" s="142"/>
      <c r="HR144" s="142"/>
      <c r="HS144" s="142"/>
      <c r="HT144" s="142"/>
      <c r="HU144" s="142"/>
      <c r="HV144" s="142"/>
      <c r="HW144" s="142"/>
      <c r="HX144" s="142"/>
      <c r="HY144" s="142"/>
      <c r="HZ144" s="142"/>
      <c r="IA144" s="142"/>
      <c r="IB144" s="142"/>
      <c r="IC144" s="142"/>
      <c r="ID144" s="142"/>
      <c r="IE144" s="142"/>
      <c r="IF144" s="142"/>
      <c r="IG144" s="142"/>
      <c r="IH144" s="142"/>
      <c r="II144" s="142"/>
      <c r="IJ144" s="142"/>
      <c r="IK144" s="142"/>
      <c r="IL144" s="142"/>
      <c r="IM144" s="142"/>
      <c r="IN144" s="142"/>
      <c r="IO144" s="142"/>
      <c r="IP144" s="142"/>
      <c r="IQ144" s="142"/>
      <c r="IR144" s="142"/>
      <c r="IS144" s="142"/>
      <c r="IT144" s="142"/>
      <c r="IU144" s="142"/>
      <c r="IV144" s="142"/>
    </row>
    <row r="145" spans="1:256" s="194" customFormat="1" x14ac:dyDescent="0.25">
      <c r="A145" s="148" t="s">
        <v>2149</v>
      </c>
      <c r="B145" s="150">
        <v>926.03800000000001</v>
      </c>
      <c r="C145" s="432">
        <v>588.21100000000001</v>
      </c>
      <c r="D145" s="146">
        <f t="shared" si="7"/>
        <v>1.0145347232762547</v>
      </c>
      <c r="E145" s="146">
        <f t="shared" si="8"/>
        <v>1.0067402564692227</v>
      </c>
      <c r="F145" s="432">
        <v>735.46</v>
      </c>
      <c r="G145" s="146">
        <f t="shared" si="9"/>
        <v>1.0072124553989612</v>
      </c>
      <c r="H145" s="432">
        <v>805.35599999999999</v>
      </c>
      <c r="I145" s="142"/>
      <c r="J145" s="142"/>
      <c r="K145" s="142"/>
      <c r="L145" s="142"/>
      <c r="M145" s="142"/>
      <c r="N145" s="142"/>
      <c r="O145" s="142"/>
      <c r="P145" s="142"/>
      <c r="Q145" s="142"/>
      <c r="R145" s="142"/>
      <c r="S145" s="142"/>
      <c r="T145" s="142"/>
      <c r="U145" s="142"/>
      <c r="V145" s="142"/>
      <c r="W145" s="142"/>
      <c r="X145" s="142"/>
      <c r="Y145" s="142"/>
      <c r="Z145" s="142"/>
      <c r="AA145" s="142"/>
      <c r="AB145" s="142"/>
      <c r="AC145" s="142"/>
      <c r="AD145" s="142"/>
      <c r="AE145" s="142"/>
      <c r="AF145" s="142"/>
      <c r="AG145" s="142"/>
      <c r="AH145" s="142"/>
      <c r="AI145" s="142"/>
      <c r="AJ145" s="142"/>
      <c r="AK145" s="142"/>
      <c r="AL145" s="142"/>
      <c r="AM145" s="142"/>
      <c r="AN145" s="142"/>
      <c r="AO145" s="142"/>
      <c r="AP145" s="142"/>
      <c r="AQ145" s="142"/>
      <c r="AR145" s="142"/>
      <c r="AS145" s="142"/>
      <c r="AT145" s="142"/>
      <c r="AU145" s="142"/>
      <c r="AV145" s="142"/>
      <c r="AW145" s="142"/>
      <c r="AX145" s="142"/>
      <c r="AY145" s="142"/>
      <c r="AZ145" s="142"/>
      <c r="BA145" s="142"/>
      <c r="BB145" s="142"/>
      <c r="BC145" s="142"/>
      <c r="BD145" s="142"/>
      <c r="BE145" s="142"/>
      <c r="BF145" s="142"/>
      <c r="BG145" s="142"/>
      <c r="BH145" s="142"/>
      <c r="BI145" s="142"/>
      <c r="BJ145" s="142"/>
      <c r="BK145" s="142"/>
      <c r="BL145" s="142"/>
      <c r="BM145" s="142"/>
      <c r="BN145" s="142"/>
      <c r="BO145" s="142"/>
      <c r="BP145" s="142"/>
      <c r="BQ145" s="142"/>
      <c r="BR145" s="142"/>
      <c r="BS145" s="142"/>
      <c r="BT145" s="142"/>
      <c r="BU145" s="142"/>
      <c r="BV145" s="142"/>
      <c r="BW145" s="142"/>
      <c r="BX145" s="142"/>
      <c r="BY145" s="142"/>
      <c r="BZ145" s="142"/>
      <c r="CA145" s="142"/>
      <c r="CB145" s="142"/>
      <c r="CC145" s="142"/>
      <c r="CD145" s="142"/>
      <c r="CE145" s="142"/>
      <c r="CF145" s="142"/>
      <c r="CG145" s="142"/>
      <c r="CH145" s="142"/>
      <c r="CI145" s="142"/>
      <c r="CJ145" s="142"/>
      <c r="CK145" s="142"/>
      <c r="CL145" s="142"/>
      <c r="CM145" s="142"/>
      <c r="CN145" s="142"/>
      <c r="CO145" s="142"/>
      <c r="CP145" s="142"/>
      <c r="CQ145" s="142"/>
      <c r="CR145" s="142"/>
      <c r="CS145" s="142"/>
      <c r="CT145" s="142"/>
      <c r="CU145" s="142"/>
      <c r="CV145" s="142"/>
      <c r="CW145" s="142"/>
      <c r="CX145" s="142"/>
      <c r="CY145" s="142"/>
      <c r="CZ145" s="142"/>
      <c r="DA145" s="142"/>
      <c r="DB145" s="142"/>
      <c r="DC145" s="142"/>
      <c r="DD145" s="142"/>
      <c r="DE145" s="142"/>
      <c r="DF145" s="142"/>
      <c r="DG145" s="142"/>
      <c r="DH145" s="142"/>
      <c r="DI145" s="142"/>
      <c r="DJ145" s="142"/>
      <c r="DK145" s="142"/>
      <c r="DL145" s="142"/>
      <c r="DM145" s="142"/>
      <c r="DN145" s="142"/>
      <c r="DO145" s="142"/>
      <c r="DP145" s="142"/>
      <c r="DQ145" s="142"/>
      <c r="DR145" s="142"/>
      <c r="DS145" s="142"/>
      <c r="DT145" s="142"/>
      <c r="DU145" s="142"/>
      <c r="DV145" s="142"/>
      <c r="DW145" s="142"/>
      <c r="DX145" s="142"/>
      <c r="DY145" s="142"/>
      <c r="DZ145" s="142"/>
      <c r="EA145" s="142"/>
      <c r="EB145" s="142"/>
      <c r="EC145" s="142"/>
      <c r="ED145" s="142"/>
      <c r="EE145" s="142"/>
      <c r="EF145" s="142"/>
      <c r="EG145" s="142"/>
      <c r="EH145" s="142"/>
      <c r="EI145" s="142"/>
      <c r="EJ145" s="142"/>
      <c r="EK145" s="142"/>
      <c r="EL145" s="142"/>
      <c r="EM145" s="142"/>
      <c r="EN145" s="142"/>
      <c r="EO145" s="142"/>
      <c r="EP145" s="142"/>
      <c r="EQ145" s="142"/>
      <c r="ER145" s="142"/>
      <c r="ES145" s="142"/>
      <c r="ET145" s="142"/>
      <c r="EU145" s="142"/>
      <c r="EV145" s="142"/>
      <c r="EW145" s="142"/>
      <c r="EX145" s="142"/>
      <c r="EY145" s="142"/>
      <c r="EZ145" s="142"/>
      <c r="FA145" s="142"/>
      <c r="FB145" s="142"/>
      <c r="FC145" s="142"/>
      <c r="FD145" s="142"/>
      <c r="FE145" s="142"/>
      <c r="FF145" s="142"/>
      <c r="FG145" s="142"/>
      <c r="FH145" s="142"/>
      <c r="FI145" s="142"/>
      <c r="FJ145" s="142"/>
      <c r="FK145" s="142"/>
      <c r="FL145" s="142"/>
      <c r="FM145" s="142"/>
      <c r="FN145" s="142"/>
      <c r="FO145" s="142"/>
      <c r="FP145" s="142"/>
      <c r="FQ145" s="142"/>
      <c r="FR145" s="142"/>
      <c r="FS145" s="142"/>
      <c r="FT145" s="142"/>
      <c r="FU145" s="142"/>
      <c r="FV145" s="142"/>
      <c r="FW145" s="142"/>
      <c r="FX145" s="142"/>
      <c r="FY145" s="142"/>
      <c r="FZ145" s="142"/>
      <c r="GA145" s="142"/>
      <c r="GB145" s="142"/>
      <c r="GC145" s="142"/>
      <c r="GD145" s="142"/>
      <c r="GE145" s="142"/>
      <c r="GF145" s="142"/>
      <c r="GG145" s="142"/>
      <c r="GH145" s="142"/>
      <c r="GI145" s="142"/>
      <c r="GJ145" s="142"/>
      <c r="GK145" s="142"/>
      <c r="GL145" s="142"/>
      <c r="GM145" s="142"/>
      <c r="GN145" s="142"/>
      <c r="GO145" s="142"/>
      <c r="GP145" s="142"/>
      <c r="GQ145" s="142"/>
      <c r="GR145" s="142"/>
      <c r="GS145" s="142"/>
      <c r="GT145" s="142"/>
      <c r="GU145" s="142"/>
      <c r="GV145" s="142"/>
      <c r="GW145" s="142"/>
      <c r="GX145" s="142"/>
      <c r="GY145" s="142"/>
      <c r="GZ145" s="142"/>
      <c r="HA145" s="142"/>
      <c r="HB145" s="142"/>
      <c r="HC145" s="142"/>
      <c r="HD145" s="142"/>
      <c r="HE145" s="142"/>
      <c r="HF145" s="142"/>
      <c r="HG145" s="142"/>
      <c r="HH145" s="142"/>
      <c r="HI145" s="142"/>
      <c r="HJ145" s="142"/>
      <c r="HK145" s="142"/>
      <c r="HL145" s="142"/>
      <c r="HM145" s="142"/>
      <c r="HN145" s="142"/>
      <c r="HO145" s="142"/>
      <c r="HP145" s="142"/>
      <c r="HQ145" s="142"/>
      <c r="HR145" s="142"/>
      <c r="HS145" s="142"/>
      <c r="HT145" s="142"/>
      <c r="HU145" s="142"/>
      <c r="HV145" s="142"/>
      <c r="HW145" s="142"/>
      <c r="HX145" s="142"/>
      <c r="HY145" s="142"/>
      <c r="HZ145" s="142"/>
      <c r="IA145" s="142"/>
      <c r="IB145" s="142"/>
      <c r="IC145" s="142"/>
      <c r="ID145" s="142"/>
      <c r="IE145" s="142"/>
      <c r="IF145" s="142"/>
      <c r="IG145" s="142"/>
      <c r="IH145" s="142"/>
      <c r="II145" s="142"/>
      <c r="IJ145" s="142"/>
      <c r="IK145" s="142"/>
      <c r="IL145" s="142"/>
      <c r="IM145" s="142"/>
      <c r="IN145" s="142"/>
      <c r="IO145" s="142"/>
      <c r="IP145" s="142"/>
      <c r="IQ145" s="142"/>
      <c r="IR145" s="142"/>
      <c r="IS145" s="142"/>
      <c r="IT145" s="142"/>
      <c r="IU145" s="142"/>
      <c r="IV145" s="142"/>
    </row>
    <row r="146" spans="1:256" s="194" customFormat="1" x14ac:dyDescent="0.25">
      <c r="A146" s="148" t="s">
        <v>2150</v>
      </c>
      <c r="B146" s="150">
        <v>926.03800000000001</v>
      </c>
      <c r="C146" s="432">
        <v>599.20699999999999</v>
      </c>
      <c r="D146" s="146">
        <f t="shared" si="7"/>
        <v>1.0186939720610462</v>
      </c>
      <c r="E146" s="146">
        <f t="shared" si="8"/>
        <v>1.0087346694585702</v>
      </c>
      <c r="F146" s="432">
        <v>741.88400000000001</v>
      </c>
      <c r="G146" s="146">
        <f t="shared" si="9"/>
        <v>1.0116035641380954</v>
      </c>
      <c r="H146" s="432">
        <v>814.70100000000002</v>
      </c>
      <c r="I146" s="142"/>
      <c r="J146" s="142"/>
      <c r="K146" s="142"/>
      <c r="L146" s="142"/>
      <c r="M146" s="142"/>
      <c r="N146" s="142"/>
      <c r="O146" s="142"/>
      <c r="P146" s="142"/>
      <c r="Q146" s="142"/>
      <c r="R146" s="142"/>
      <c r="S146" s="142"/>
      <c r="T146" s="142"/>
      <c r="U146" s="142"/>
      <c r="V146" s="142"/>
      <c r="W146" s="142"/>
      <c r="X146" s="142"/>
      <c r="Y146" s="142"/>
      <c r="Z146" s="142"/>
      <c r="AA146" s="142"/>
      <c r="AB146" s="142"/>
      <c r="AC146" s="142"/>
      <c r="AD146" s="142"/>
      <c r="AE146" s="142"/>
      <c r="AF146" s="142"/>
      <c r="AG146" s="142"/>
      <c r="AH146" s="142"/>
      <c r="AI146" s="142"/>
      <c r="AJ146" s="142"/>
      <c r="AK146" s="142"/>
      <c r="AL146" s="142"/>
      <c r="AM146" s="142"/>
      <c r="AN146" s="142"/>
      <c r="AO146" s="142"/>
      <c r="AP146" s="142"/>
      <c r="AQ146" s="142"/>
      <c r="AR146" s="142"/>
      <c r="AS146" s="142"/>
      <c r="AT146" s="142"/>
      <c r="AU146" s="142"/>
      <c r="AV146" s="142"/>
      <c r="AW146" s="142"/>
      <c r="AX146" s="142"/>
      <c r="AY146" s="142"/>
      <c r="AZ146" s="142"/>
      <c r="BA146" s="142"/>
      <c r="BB146" s="142"/>
      <c r="BC146" s="142"/>
      <c r="BD146" s="142"/>
      <c r="BE146" s="142"/>
      <c r="BF146" s="142"/>
      <c r="BG146" s="142"/>
      <c r="BH146" s="142"/>
      <c r="BI146" s="142"/>
      <c r="BJ146" s="142"/>
      <c r="BK146" s="142"/>
      <c r="BL146" s="142"/>
      <c r="BM146" s="142"/>
      <c r="BN146" s="142"/>
      <c r="BO146" s="142"/>
      <c r="BP146" s="142"/>
      <c r="BQ146" s="142"/>
      <c r="BR146" s="142"/>
      <c r="BS146" s="142"/>
      <c r="BT146" s="142"/>
      <c r="BU146" s="142"/>
      <c r="BV146" s="142"/>
      <c r="BW146" s="142"/>
      <c r="BX146" s="142"/>
      <c r="BY146" s="142"/>
      <c r="BZ146" s="142"/>
      <c r="CA146" s="142"/>
      <c r="CB146" s="142"/>
      <c r="CC146" s="142"/>
      <c r="CD146" s="142"/>
      <c r="CE146" s="142"/>
      <c r="CF146" s="142"/>
      <c r="CG146" s="142"/>
      <c r="CH146" s="142"/>
      <c r="CI146" s="142"/>
      <c r="CJ146" s="142"/>
      <c r="CK146" s="142"/>
      <c r="CL146" s="142"/>
      <c r="CM146" s="142"/>
      <c r="CN146" s="142"/>
      <c r="CO146" s="142"/>
      <c r="CP146" s="142"/>
      <c r="CQ146" s="142"/>
      <c r="CR146" s="142"/>
      <c r="CS146" s="142"/>
      <c r="CT146" s="142"/>
      <c r="CU146" s="142"/>
      <c r="CV146" s="142"/>
      <c r="CW146" s="142"/>
      <c r="CX146" s="142"/>
      <c r="CY146" s="142"/>
      <c r="CZ146" s="142"/>
      <c r="DA146" s="142"/>
      <c r="DB146" s="142"/>
      <c r="DC146" s="142"/>
      <c r="DD146" s="142"/>
      <c r="DE146" s="142"/>
      <c r="DF146" s="142"/>
      <c r="DG146" s="142"/>
      <c r="DH146" s="142"/>
      <c r="DI146" s="142"/>
      <c r="DJ146" s="142"/>
      <c r="DK146" s="142"/>
      <c r="DL146" s="142"/>
      <c r="DM146" s="142"/>
      <c r="DN146" s="142"/>
      <c r="DO146" s="142"/>
      <c r="DP146" s="142"/>
      <c r="DQ146" s="142"/>
      <c r="DR146" s="142"/>
      <c r="DS146" s="142"/>
      <c r="DT146" s="142"/>
      <c r="DU146" s="142"/>
      <c r="DV146" s="142"/>
      <c r="DW146" s="142"/>
      <c r="DX146" s="142"/>
      <c r="DY146" s="142"/>
      <c r="DZ146" s="142"/>
      <c r="EA146" s="142"/>
      <c r="EB146" s="142"/>
      <c r="EC146" s="142"/>
      <c r="ED146" s="142"/>
      <c r="EE146" s="142"/>
      <c r="EF146" s="142"/>
      <c r="EG146" s="142"/>
      <c r="EH146" s="142"/>
      <c r="EI146" s="142"/>
      <c r="EJ146" s="142"/>
      <c r="EK146" s="142"/>
      <c r="EL146" s="142"/>
      <c r="EM146" s="142"/>
      <c r="EN146" s="142"/>
      <c r="EO146" s="142"/>
      <c r="EP146" s="142"/>
      <c r="EQ146" s="142"/>
      <c r="ER146" s="142"/>
      <c r="ES146" s="142"/>
      <c r="ET146" s="142"/>
      <c r="EU146" s="142"/>
      <c r="EV146" s="142"/>
      <c r="EW146" s="142"/>
      <c r="EX146" s="142"/>
      <c r="EY146" s="142"/>
      <c r="EZ146" s="142"/>
      <c r="FA146" s="142"/>
      <c r="FB146" s="142"/>
      <c r="FC146" s="142"/>
      <c r="FD146" s="142"/>
      <c r="FE146" s="142"/>
      <c r="FF146" s="142"/>
      <c r="FG146" s="142"/>
      <c r="FH146" s="142"/>
      <c r="FI146" s="142"/>
      <c r="FJ146" s="142"/>
      <c r="FK146" s="142"/>
      <c r="FL146" s="142"/>
      <c r="FM146" s="142"/>
      <c r="FN146" s="142"/>
      <c r="FO146" s="142"/>
      <c r="FP146" s="142"/>
      <c r="FQ146" s="142"/>
      <c r="FR146" s="142"/>
      <c r="FS146" s="142"/>
      <c r="FT146" s="142"/>
      <c r="FU146" s="142"/>
      <c r="FV146" s="142"/>
      <c r="FW146" s="142"/>
      <c r="FX146" s="142"/>
      <c r="FY146" s="142"/>
      <c r="FZ146" s="142"/>
      <c r="GA146" s="142"/>
      <c r="GB146" s="142"/>
      <c r="GC146" s="142"/>
      <c r="GD146" s="142"/>
      <c r="GE146" s="142"/>
      <c r="GF146" s="142"/>
      <c r="GG146" s="142"/>
      <c r="GH146" s="142"/>
      <c r="GI146" s="142"/>
      <c r="GJ146" s="142"/>
      <c r="GK146" s="142"/>
      <c r="GL146" s="142"/>
      <c r="GM146" s="142"/>
      <c r="GN146" s="142"/>
      <c r="GO146" s="142"/>
      <c r="GP146" s="142"/>
      <c r="GQ146" s="142"/>
      <c r="GR146" s="142"/>
      <c r="GS146" s="142"/>
      <c r="GT146" s="142"/>
      <c r="GU146" s="142"/>
      <c r="GV146" s="142"/>
      <c r="GW146" s="142"/>
      <c r="GX146" s="142"/>
      <c r="GY146" s="142"/>
      <c r="GZ146" s="142"/>
      <c r="HA146" s="142"/>
      <c r="HB146" s="142"/>
      <c r="HC146" s="142"/>
      <c r="HD146" s="142"/>
      <c r="HE146" s="142"/>
      <c r="HF146" s="142"/>
      <c r="HG146" s="142"/>
      <c r="HH146" s="142"/>
      <c r="HI146" s="142"/>
      <c r="HJ146" s="142"/>
      <c r="HK146" s="142"/>
      <c r="HL146" s="142"/>
      <c r="HM146" s="142"/>
      <c r="HN146" s="142"/>
      <c r="HO146" s="142"/>
      <c r="HP146" s="142"/>
      <c r="HQ146" s="142"/>
      <c r="HR146" s="142"/>
      <c r="HS146" s="142"/>
      <c r="HT146" s="142"/>
      <c r="HU146" s="142"/>
      <c r="HV146" s="142"/>
      <c r="HW146" s="142"/>
      <c r="HX146" s="142"/>
      <c r="HY146" s="142"/>
      <c r="HZ146" s="142"/>
      <c r="IA146" s="142"/>
      <c r="IB146" s="142"/>
      <c r="IC146" s="142"/>
      <c r="ID146" s="142"/>
      <c r="IE146" s="142"/>
      <c r="IF146" s="142"/>
      <c r="IG146" s="142"/>
      <c r="IH146" s="142"/>
      <c r="II146" s="142"/>
      <c r="IJ146" s="142"/>
      <c r="IK146" s="142"/>
      <c r="IL146" s="142"/>
      <c r="IM146" s="142"/>
      <c r="IN146" s="142"/>
      <c r="IO146" s="142"/>
      <c r="IP146" s="142"/>
      <c r="IQ146" s="142"/>
      <c r="IR146" s="142"/>
      <c r="IS146" s="142"/>
      <c r="IT146" s="142"/>
      <c r="IU146" s="142"/>
      <c r="IV146" s="142"/>
    </row>
    <row r="147" spans="1:256" s="194" customFormat="1" x14ac:dyDescent="0.25">
      <c r="A147" s="148" t="s">
        <v>4775</v>
      </c>
      <c r="B147" s="150">
        <v>949.00599999999997</v>
      </c>
      <c r="C147" s="432">
        <v>613.86300000000006</v>
      </c>
      <c r="D147" s="146">
        <f t="shared" si="7"/>
        <v>1.0244589933028154</v>
      </c>
      <c r="E147" s="146">
        <f t="shared" si="8"/>
        <v>1.024639970669269</v>
      </c>
      <c r="F147" s="432">
        <v>760.16399999999999</v>
      </c>
      <c r="G147" s="146">
        <f t="shared" si="9"/>
        <v>1.0172787317064789</v>
      </c>
      <c r="H147" s="432">
        <v>828.77800000000002</v>
      </c>
      <c r="I147" s="142"/>
      <c r="J147" s="142"/>
      <c r="K147" s="142"/>
      <c r="L147" s="142"/>
      <c r="M147" s="142"/>
      <c r="N147" s="142"/>
      <c r="O147" s="142"/>
      <c r="P147" s="142"/>
      <c r="Q147" s="142"/>
      <c r="R147" s="142"/>
      <c r="S147" s="142"/>
      <c r="T147" s="142"/>
      <c r="U147" s="142"/>
      <c r="V147" s="142"/>
      <c r="W147" s="142"/>
      <c r="X147" s="142"/>
      <c r="Y147" s="142"/>
      <c r="Z147" s="142"/>
      <c r="AA147" s="142"/>
      <c r="AB147" s="142"/>
      <c r="AC147" s="142"/>
      <c r="AD147" s="142"/>
      <c r="AE147" s="142"/>
      <c r="AF147" s="142"/>
      <c r="AG147" s="142"/>
      <c r="AH147" s="142"/>
      <c r="AI147" s="142"/>
      <c r="AJ147" s="142"/>
      <c r="AK147" s="142"/>
      <c r="AL147" s="142"/>
      <c r="AM147" s="142"/>
      <c r="AN147" s="142"/>
      <c r="AO147" s="142"/>
      <c r="AP147" s="142"/>
      <c r="AQ147" s="142"/>
      <c r="AR147" s="142"/>
      <c r="AS147" s="142"/>
      <c r="AT147" s="142"/>
      <c r="AU147" s="142"/>
      <c r="AV147" s="142"/>
      <c r="AW147" s="142"/>
      <c r="AX147" s="142"/>
      <c r="AY147" s="142"/>
      <c r="AZ147" s="142"/>
      <c r="BA147" s="142"/>
      <c r="BB147" s="142"/>
      <c r="BC147" s="142"/>
      <c r="BD147" s="142"/>
      <c r="BE147" s="142"/>
      <c r="BF147" s="142"/>
      <c r="BG147" s="142"/>
      <c r="BH147" s="142"/>
      <c r="BI147" s="142"/>
      <c r="BJ147" s="142"/>
      <c r="BK147" s="142"/>
      <c r="BL147" s="142"/>
      <c r="BM147" s="142"/>
      <c r="BN147" s="142"/>
      <c r="BO147" s="142"/>
      <c r="BP147" s="142"/>
      <c r="BQ147" s="142"/>
      <c r="BR147" s="142"/>
      <c r="BS147" s="142"/>
      <c r="BT147" s="142"/>
      <c r="BU147" s="142"/>
      <c r="BV147" s="142"/>
      <c r="BW147" s="142"/>
      <c r="BX147" s="142"/>
      <c r="BY147" s="142"/>
      <c r="BZ147" s="142"/>
      <c r="CA147" s="142"/>
      <c r="CB147" s="142"/>
      <c r="CC147" s="142"/>
      <c r="CD147" s="142"/>
      <c r="CE147" s="142"/>
      <c r="CF147" s="142"/>
      <c r="CG147" s="142"/>
      <c r="CH147" s="142"/>
      <c r="CI147" s="142"/>
      <c r="CJ147" s="142"/>
      <c r="CK147" s="142"/>
      <c r="CL147" s="142"/>
      <c r="CM147" s="142"/>
      <c r="CN147" s="142"/>
      <c r="CO147" s="142"/>
      <c r="CP147" s="142"/>
      <c r="CQ147" s="142"/>
      <c r="CR147" s="142"/>
      <c r="CS147" s="142"/>
      <c r="CT147" s="142"/>
      <c r="CU147" s="142"/>
      <c r="CV147" s="142"/>
      <c r="CW147" s="142"/>
      <c r="CX147" s="142"/>
      <c r="CY147" s="142"/>
      <c r="CZ147" s="142"/>
      <c r="DA147" s="142"/>
      <c r="DB147" s="142"/>
      <c r="DC147" s="142"/>
      <c r="DD147" s="142"/>
      <c r="DE147" s="142"/>
      <c r="DF147" s="142"/>
      <c r="DG147" s="142"/>
      <c r="DH147" s="142"/>
      <c r="DI147" s="142"/>
      <c r="DJ147" s="142"/>
      <c r="DK147" s="142"/>
      <c r="DL147" s="142"/>
      <c r="DM147" s="142"/>
      <c r="DN147" s="142"/>
      <c r="DO147" s="142"/>
      <c r="DP147" s="142"/>
      <c r="DQ147" s="142"/>
      <c r="DR147" s="142"/>
      <c r="DS147" s="142"/>
      <c r="DT147" s="142"/>
      <c r="DU147" s="142"/>
      <c r="DV147" s="142"/>
      <c r="DW147" s="142"/>
      <c r="DX147" s="142"/>
      <c r="DY147" s="142"/>
      <c r="DZ147" s="142"/>
      <c r="EA147" s="142"/>
      <c r="EB147" s="142"/>
      <c r="EC147" s="142"/>
      <c r="ED147" s="142"/>
      <c r="EE147" s="142"/>
      <c r="EF147" s="142"/>
      <c r="EG147" s="142"/>
      <c r="EH147" s="142"/>
      <c r="EI147" s="142"/>
      <c r="EJ147" s="142"/>
      <c r="EK147" s="142"/>
      <c r="EL147" s="142"/>
      <c r="EM147" s="142"/>
      <c r="EN147" s="142"/>
      <c r="EO147" s="142"/>
      <c r="EP147" s="142"/>
      <c r="EQ147" s="142"/>
      <c r="ER147" s="142"/>
      <c r="ES147" s="142"/>
      <c r="ET147" s="142"/>
      <c r="EU147" s="142"/>
      <c r="EV147" s="142"/>
      <c r="EW147" s="142"/>
      <c r="EX147" s="142"/>
      <c r="EY147" s="142"/>
      <c r="EZ147" s="142"/>
      <c r="FA147" s="142"/>
      <c r="FB147" s="142"/>
      <c r="FC147" s="142"/>
      <c r="FD147" s="142"/>
      <c r="FE147" s="142"/>
      <c r="FF147" s="142"/>
      <c r="FG147" s="142"/>
      <c r="FH147" s="142"/>
      <c r="FI147" s="142"/>
      <c r="FJ147" s="142"/>
      <c r="FK147" s="142"/>
      <c r="FL147" s="142"/>
      <c r="FM147" s="142"/>
      <c r="FN147" s="142"/>
      <c r="FO147" s="142"/>
      <c r="FP147" s="142"/>
      <c r="FQ147" s="142"/>
      <c r="FR147" s="142"/>
      <c r="FS147" s="142"/>
      <c r="FT147" s="142"/>
      <c r="FU147" s="142"/>
      <c r="FV147" s="142"/>
      <c r="FW147" s="142"/>
      <c r="FX147" s="142"/>
      <c r="FY147" s="142"/>
      <c r="FZ147" s="142"/>
      <c r="GA147" s="142"/>
      <c r="GB147" s="142"/>
      <c r="GC147" s="142"/>
      <c r="GD147" s="142"/>
      <c r="GE147" s="142"/>
      <c r="GF147" s="142"/>
      <c r="GG147" s="142"/>
      <c r="GH147" s="142"/>
      <c r="GI147" s="142"/>
      <c r="GJ147" s="142"/>
      <c r="GK147" s="142"/>
      <c r="GL147" s="142"/>
      <c r="GM147" s="142"/>
      <c r="GN147" s="142"/>
      <c r="GO147" s="142"/>
      <c r="GP147" s="142"/>
      <c r="GQ147" s="142"/>
      <c r="GR147" s="142"/>
      <c r="GS147" s="142"/>
      <c r="GT147" s="142"/>
      <c r="GU147" s="142"/>
      <c r="GV147" s="142"/>
      <c r="GW147" s="142"/>
      <c r="GX147" s="142"/>
      <c r="GY147" s="142"/>
      <c r="GZ147" s="142"/>
      <c r="HA147" s="142"/>
      <c r="HB147" s="142"/>
      <c r="HC147" s="142"/>
      <c r="HD147" s="142"/>
      <c r="HE147" s="142"/>
      <c r="HF147" s="142"/>
      <c r="HG147" s="142"/>
      <c r="HH147" s="142"/>
      <c r="HI147" s="142"/>
      <c r="HJ147" s="142"/>
      <c r="HK147" s="142"/>
      <c r="HL147" s="142"/>
      <c r="HM147" s="142"/>
      <c r="HN147" s="142"/>
      <c r="HO147" s="142"/>
      <c r="HP147" s="142"/>
      <c r="HQ147" s="142"/>
      <c r="HR147" s="142"/>
      <c r="HS147" s="142"/>
      <c r="HT147" s="142"/>
      <c r="HU147" s="142"/>
      <c r="HV147" s="142"/>
      <c r="HW147" s="142"/>
      <c r="HX147" s="142"/>
      <c r="HY147" s="142"/>
      <c r="HZ147" s="142"/>
      <c r="IA147" s="142"/>
      <c r="IB147" s="142"/>
      <c r="IC147" s="142"/>
      <c r="ID147" s="142"/>
      <c r="IE147" s="142"/>
      <c r="IF147" s="142"/>
      <c r="IG147" s="142"/>
      <c r="IH147" s="142"/>
      <c r="II147" s="142"/>
      <c r="IJ147" s="142"/>
      <c r="IK147" s="142"/>
      <c r="IL147" s="142"/>
      <c r="IM147" s="142"/>
      <c r="IN147" s="142"/>
      <c r="IO147" s="142"/>
      <c r="IP147" s="142"/>
      <c r="IQ147" s="142"/>
      <c r="IR147" s="142"/>
      <c r="IS147" s="142"/>
      <c r="IT147" s="142"/>
      <c r="IU147" s="142"/>
      <c r="IV147" s="142"/>
    </row>
    <row r="148" spans="1:256" s="194" customFormat="1" x14ac:dyDescent="0.25">
      <c r="A148" s="148" t="s">
        <v>4776</v>
      </c>
      <c r="B148" s="150">
        <v>949.00599999999997</v>
      </c>
      <c r="C148" s="432">
        <v>624.59100000000001</v>
      </c>
      <c r="D148" s="146">
        <f t="shared" si="7"/>
        <v>1.0174762121189906</v>
      </c>
      <c r="E148" s="146">
        <f t="shared" si="8"/>
        <v>1.0082455891097184</v>
      </c>
      <c r="F148" s="432">
        <v>766.43200000000002</v>
      </c>
      <c r="G148" s="146">
        <f t="shared" si="9"/>
        <v>1.0127947411731488</v>
      </c>
      <c r="H148" s="432">
        <v>839.38199999999995</v>
      </c>
      <c r="I148" s="142"/>
      <c r="J148" s="142"/>
      <c r="K148" s="142"/>
      <c r="L148" s="142"/>
      <c r="M148" s="142"/>
      <c r="N148" s="142"/>
      <c r="O148" s="142"/>
      <c r="P148" s="142"/>
      <c r="Q148" s="142"/>
      <c r="R148" s="142"/>
      <c r="S148" s="142"/>
      <c r="T148" s="142"/>
      <c r="U148" s="142"/>
      <c r="V148" s="142"/>
      <c r="W148" s="142"/>
      <c r="X148" s="142"/>
      <c r="Y148" s="142"/>
      <c r="Z148" s="142"/>
      <c r="AA148" s="142"/>
      <c r="AB148" s="142"/>
      <c r="AC148" s="142"/>
      <c r="AD148" s="142"/>
      <c r="AE148" s="142"/>
      <c r="AF148" s="142"/>
      <c r="AG148" s="142"/>
      <c r="AH148" s="142"/>
      <c r="AI148" s="142"/>
      <c r="AJ148" s="142"/>
      <c r="AK148" s="142"/>
      <c r="AL148" s="142"/>
      <c r="AM148" s="142"/>
      <c r="AN148" s="142"/>
      <c r="AO148" s="142"/>
      <c r="AP148" s="142"/>
      <c r="AQ148" s="142"/>
      <c r="AR148" s="142"/>
      <c r="AS148" s="142"/>
      <c r="AT148" s="142"/>
      <c r="AU148" s="142"/>
      <c r="AV148" s="142"/>
      <c r="AW148" s="142"/>
      <c r="AX148" s="142"/>
      <c r="AY148" s="142"/>
      <c r="AZ148" s="142"/>
      <c r="BA148" s="142"/>
      <c r="BB148" s="142"/>
      <c r="BC148" s="142"/>
      <c r="BD148" s="142"/>
      <c r="BE148" s="142"/>
      <c r="BF148" s="142"/>
      <c r="BG148" s="142"/>
      <c r="BH148" s="142"/>
      <c r="BI148" s="142"/>
      <c r="BJ148" s="142"/>
      <c r="BK148" s="142"/>
      <c r="BL148" s="142"/>
      <c r="BM148" s="142"/>
      <c r="BN148" s="142"/>
      <c r="BO148" s="142"/>
      <c r="BP148" s="142"/>
      <c r="BQ148" s="142"/>
      <c r="BR148" s="142"/>
      <c r="BS148" s="142"/>
      <c r="BT148" s="142"/>
      <c r="BU148" s="142"/>
      <c r="BV148" s="142"/>
      <c r="BW148" s="142"/>
      <c r="BX148" s="142"/>
      <c r="BY148" s="142"/>
      <c r="BZ148" s="142"/>
      <c r="CA148" s="142"/>
      <c r="CB148" s="142"/>
      <c r="CC148" s="142"/>
      <c r="CD148" s="142"/>
      <c r="CE148" s="142"/>
      <c r="CF148" s="142"/>
      <c r="CG148" s="142"/>
      <c r="CH148" s="142"/>
      <c r="CI148" s="142"/>
      <c r="CJ148" s="142"/>
      <c r="CK148" s="142"/>
      <c r="CL148" s="142"/>
      <c r="CM148" s="142"/>
      <c r="CN148" s="142"/>
      <c r="CO148" s="142"/>
      <c r="CP148" s="142"/>
      <c r="CQ148" s="142"/>
      <c r="CR148" s="142"/>
      <c r="CS148" s="142"/>
      <c r="CT148" s="142"/>
      <c r="CU148" s="142"/>
      <c r="CV148" s="142"/>
      <c r="CW148" s="142"/>
      <c r="CX148" s="142"/>
      <c r="CY148" s="142"/>
      <c r="CZ148" s="142"/>
      <c r="DA148" s="142"/>
      <c r="DB148" s="142"/>
      <c r="DC148" s="142"/>
      <c r="DD148" s="142"/>
      <c r="DE148" s="142"/>
      <c r="DF148" s="142"/>
      <c r="DG148" s="142"/>
      <c r="DH148" s="142"/>
      <c r="DI148" s="142"/>
      <c r="DJ148" s="142"/>
      <c r="DK148" s="142"/>
      <c r="DL148" s="142"/>
      <c r="DM148" s="142"/>
      <c r="DN148" s="142"/>
      <c r="DO148" s="142"/>
      <c r="DP148" s="142"/>
      <c r="DQ148" s="142"/>
      <c r="DR148" s="142"/>
      <c r="DS148" s="142"/>
      <c r="DT148" s="142"/>
      <c r="DU148" s="142"/>
      <c r="DV148" s="142"/>
      <c r="DW148" s="142"/>
      <c r="DX148" s="142"/>
      <c r="DY148" s="142"/>
      <c r="DZ148" s="142"/>
      <c r="EA148" s="142"/>
      <c r="EB148" s="142"/>
      <c r="EC148" s="142"/>
      <c r="ED148" s="142"/>
      <c r="EE148" s="142"/>
      <c r="EF148" s="142"/>
      <c r="EG148" s="142"/>
      <c r="EH148" s="142"/>
      <c r="EI148" s="142"/>
      <c r="EJ148" s="142"/>
      <c r="EK148" s="142"/>
      <c r="EL148" s="142"/>
      <c r="EM148" s="142"/>
      <c r="EN148" s="142"/>
      <c r="EO148" s="142"/>
      <c r="EP148" s="142"/>
      <c r="EQ148" s="142"/>
      <c r="ER148" s="142"/>
      <c r="ES148" s="142"/>
      <c r="ET148" s="142"/>
      <c r="EU148" s="142"/>
      <c r="EV148" s="142"/>
      <c r="EW148" s="142"/>
      <c r="EX148" s="142"/>
      <c r="EY148" s="142"/>
      <c r="EZ148" s="142"/>
      <c r="FA148" s="142"/>
      <c r="FB148" s="142"/>
      <c r="FC148" s="142"/>
      <c r="FD148" s="142"/>
      <c r="FE148" s="142"/>
      <c r="FF148" s="142"/>
      <c r="FG148" s="142"/>
      <c r="FH148" s="142"/>
      <c r="FI148" s="142"/>
      <c r="FJ148" s="142"/>
      <c r="FK148" s="142"/>
      <c r="FL148" s="142"/>
      <c r="FM148" s="142"/>
      <c r="FN148" s="142"/>
      <c r="FO148" s="142"/>
      <c r="FP148" s="142"/>
      <c r="FQ148" s="142"/>
      <c r="FR148" s="142"/>
      <c r="FS148" s="142"/>
      <c r="FT148" s="142"/>
      <c r="FU148" s="142"/>
      <c r="FV148" s="142"/>
      <c r="FW148" s="142"/>
      <c r="FX148" s="142"/>
      <c r="FY148" s="142"/>
      <c r="FZ148" s="142"/>
      <c r="GA148" s="142"/>
      <c r="GB148" s="142"/>
      <c r="GC148" s="142"/>
      <c r="GD148" s="142"/>
      <c r="GE148" s="142"/>
      <c r="GF148" s="142"/>
      <c r="GG148" s="142"/>
      <c r="GH148" s="142"/>
      <c r="GI148" s="142"/>
      <c r="GJ148" s="142"/>
      <c r="GK148" s="142"/>
      <c r="GL148" s="142"/>
      <c r="GM148" s="142"/>
      <c r="GN148" s="142"/>
      <c r="GO148" s="142"/>
      <c r="GP148" s="142"/>
      <c r="GQ148" s="142"/>
      <c r="GR148" s="142"/>
      <c r="GS148" s="142"/>
      <c r="GT148" s="142"/>
      <c r="GU148" s="142"/>
      <c r="GV148" s="142"/>
      <c r="GW148" s="142"/>
      <c r="GX148" s="142"/>
      <c r="GY148" s="142"/>
      <c r="GZ148" s="142"/>
      <c r="HA148" s="142"/>
      <c r="HB148" s="142"/>
      <c r="HC148" s="142"/>
      <c r="HD148" s="142"/>
      <c r="HE148" s="142"/>
      <c r="HF148" s="142"/>
      <c r="HG148" s="142"/>
      <c r="HH148" s="142"/>
      <c r="HI148" s="142"/>
      <c r="HJ148" s="142"/>
      <c r="HK148" s="142"/>
      <c r="HL148" s="142"/>
      <c r="HM148" s="142"/>
      <c r="HN148" s="142"/>
      <c r="HO148" s="142"/>
      <c r="HP148" s="142"/>
      <c r="HQ148" s="142"/>
      <c r="HR148" s="142"/>
      <c r="HS148" s="142"/>
      <c r="HT148" s="142"/>
      <c r="HU148" s="142"/>
      <c r="HV148" s="142"/>
      <c r="HW148" s="142"/>
      <c r="HX148" s="142"/>
      <c r="HY148" s="142"/>
      <c r="HZ148" s="142"/>
      <c r="IA148" s="142"/>
      <c r="IB148" s="142"/>
      <c r="IC148" s="142"/>
      <c r="ID148" s="142"/>
      <c r="IE148" s="142"/>
      <c r="IF148" s="142"/>
      <c r="IG148" s="142"/>
      <c r="IH148" s="142"/>
      <c r="II148" s="142"/>
      <c r="IJ148" s="142"/>
      <c r="IK148" s="142"/>
      <c r="IL148" s="142"/>
      <c r="IM148" s="142"/>
      <c r="IN148" s="142"/>
      <c r="IO148" s="142"/>
      <c r="IP148" s="142"/>
      <c r="IQ148" s="142"/>
      <c r="IR148" s="142"/>
      <c r="IS148" s="142"/>
      <c r="IT148" s="142"/>
      <c r="IU148" s="142"/>
      <c r="IV148" s="142"/>
    </row>
    <row r="149" spans="1:256" s="194" customFormat="1" x14ac:dyDescent="0.25">
      <c r="A149" s="148" t="s">
        <v>4777</v>
      </c>
      <c r="B149" s="150">
        <v>949.00599999999997</v>
      </c>
      <c r="C149" s="432">
        <v>631.75099999999998</v>
      </c>
      <c r="D149" s="146">
        <f t="shared" si="7"/>
        <v>1.0114635017155227</v>
      </c>
      <c r="E149" s="146">
        <f t="shared" si="8"/>
        <v>1.0054577575049057</v>
      </c>
      <c r="F149" s="432">
        <v>770.61500000000001</v>
      </c>
      <c r="G149" s="146">
        <f t="shared" si="9"/>
        <v>1.0070123019078323</v>
      </c>
      <c r="H149" s="432">
        <v>845.26800000000003</v>
      </c>
      <c r="I149" s="142"/>
      <c r="J149" s="142"/>
      <c r="K149" s="142"/>
      <c r="L149" s="142"/>
      <c r="M149" s="142"/>
      <c r="N149" s="142"/>
      <c r="O149" s="142"/>
      <c r="P149" s="142"/>
      <c r="Q149" s="142"/>
      <c r="R149" s="142"/>
      <c r="S149" s="142"/>
      <c r="T149" s="142"/>
      <c r="U149" s="142"/>
      <c r="V149" s="142"/>
      <c r="W149" s="142"/>
      <c r="X149" s="142"/>
      <c r="Y149" s="142"/>
      <c r="Z149" s="142"/>
      <c r="AA149" s="142"/>
      <c r="AB149" s="142"/>
      <c r="AC149" s="142"/>
      <c r="AD149" s="142"/>
      <c r="AE149" s="142"/>
      <c r="AF149" s="142"/>
      <c r="AG149" s="142"/>
      <c r="AH149" s="142"/>
      <c r="AI149" s="142"/>
      <c r="AJ149" s="142"/>
      <c r="AK149" s="142"/>
      <c r="AL149" s="142"/>
      <c r="AM149" s="142"/>
      <c r="AN149" s="142"/>
      <c r="AO149" s="142"/>
      <c r="AP149" s="142"/>
      <c r="AQ149" s="142"/>
      <c r="AR149" s="142"/>
      <c r="AS149" s="142"/>
      <c r="AT149" s="142"/>
      <c r="AU149" s="142"/>
      <c r="AV149" s="142"/>
      <c r="AW149" s="142"/>
      <c r="AX149" s="142"/>
      <c r="AY149" s="142"/>
      <c r="AZ149" s="142"/>
      <c r="BA149" s="142"/>
      <c r="BB149" s="142"/>
      <c r="BC149" s="142"/>
      <c r="BD149" s="142"/>
      <c r="BE149" s="142"/>
      <c r="BF149" s="142"/>
      <c r="BG149" s="142"/>
      <c r="BH149" s="142"/>
      <c r="BI149" s="142"/>
      <c r="BJ149" s="142"/>
      <c r="BK149" s="142"/>
      <c r="BL149" s="142"/>
      <c r="BM149" s="142"/>
      <c r="BN149" s="142"/>
      <c r="BO149" s="142"/>
      <c r="BP149" s="142"/>
      <c r="BQ149" s="142"/>
      <c r="BR149" s="142"/>
      <c r="BS149" s="142"/>
      <c r="BT149" s="142"/>
      <c r="BU149" s="142"/>
      <c r="BV149" s="142"/>
      <c r="BW149" s="142"/>
      <c r="BX149" s="142"/>
      <c r="BY149" s="142"/>
      <c r="BZ149" s="142"/>
      <c r="CA149" s="142"/>
      <c r="CB149" s="142"/>
      <c r="CC149" s="142"/>
      <c r="CD149" s="142"/>
      <c r="CE149" s="142"/>
      <c r="CF149" s="142"/>
      <c r="CG149" s="142"/>
      <c r="CH149" s="142"/>
      <c r="CI149" s="142"/>
      <c r="CJ149" s="142"/>
      <c r="CK149" s="142"/>
      <c r="CL149" s="142"/>
      <c r="CM149" s="142"/>
      <c r="CN149" s="142"/>
      <c r="CO149" s="142"/>
      <c r="CP149" s="142"/>
      <c r="CQ149" s="142"/>
      <c r="CR149" s="142"/>
      <c r="CS149" s="142"/>
      <c r="CT149" s="142"/>
      <c r="CU149" s="142"/>
      <c r="CV149" s="142"/>
      <c r="CW149" s="142"/>
      <c r="CX149" s="142"/>
      <c r="CY149" s="142"/>
      <c r="CZ149" s="142"/>
      <c r="DA149" s="142"/>
      <c r="DB149" s="142"/>
      <c r="DC149" s="142"/>
      <c r="DD149" s="142"/>
      <c r="DE149" s="142"/>
      <c r="DF149" s="142"/>
      <c r="DG149" s="142"/>
      <c r="DH149" s="142"/>
      <c r="DI149" s="142"/>
      <c r="DJ149" s="142"/>
      <c r="DK149" s="142"/>
      <c r="DL149" s="142"/>
      <c r="DM149" s="142"/>
      <c r="DN149" s="142"/>
      <c r="DO149" s="142"/>
      <c r="DP149" s="142"/>
      <c r="DQ149" s="142"/>
      <c r="DR149" s="142"/>
      <c r="DS149" s="142"/>
      <c r="DT149" s="142"/>
      <c r="DU149" s="142"/>
      <c r="DV149" s="142"/>
      <c r="DW149" s="142"/>
      <c r="DX149" s="142"/>
      <c r="DY149" s="142"/>
      <c r="DZ149" s="142"/>
      <c r="EA149" s="142"/>
      <c r="EB149" s="142"/>
      <c r="EC149" s="142"/>
      <c r="ED149" s="142"/>
      <c r="EE149" s="142"/>
      <c r="EF149" s="142"/>
      <c r="EG149" s="142"/>
      <c r="EH149" s="142"/>
      <c r="EI149" s="142"/>
      <c r="EJ149" s="142"/>
      <c r="EK149" s="142"/>
      <c r="EL149" s="142"/>
      <c r="EM149" s="142"/>
      <c r="EN149" s="142"/>
      <c r="EO149" s="142"/>
      <c r="EP149" s="142"/>
      <c r="EQ149" s="142"/>
      <c r="ER149" s="142"/>
      <c r="ES149" s="142"/>
      <c r="ET149" s="142"/>
      <c r="EU149" s="142"/>
      <c r="EV149" s="142"/>
      <c r="EW149" s="142"/>
      <c r="EX149" s="142"/>
      <c r="EY149" s="142"/>
      <c r="EZ149" s="142"/>
      <c r="FA149" s="142"/>
      <c r="FB149" s="142"/>
      <c r="FC149" s="142"/>
      <c r="FD149" s="142"/>
      <c r="FE149" s="142"/>
      <c r="FF149" s="142"/>
      <c r="FG149" s="142"/>
      <c r="FH149" s="142"/>
      <c r="FI149" s="142"/>
      <c r="FJ149" s="142"/>
      <c r="FK149" s="142"/>
      <c r="FL149" s="142"/>
      <c r="FM149" s="142"/>
      <c r="FN149" s="142"/>
      <c r="FO149" s="142"/>
      <c r="FP149" s="142"/>
      <c r="FQ149" s="142"/>
      <c r="FR149" s="142"/>
      <c r="FS149" s="142"/>
      <c r="FT149" s="142"/>
      <c r="FU149" s="142"/>
      <c r="FV149" s="142"/>
      <c r="FW149" s="142"/>
      <c r="FX149" s="142"/>
      <c r="FY149" s="142"/>
      <c r="FZ149" s="142"/>
      <c r="GA149" s="142"/>
      <c r="GB149" s="142"/>
      <c r="GC149" s="142"/>
      <c r="GD149" s="142"/>
      <c r="GE149" s="142"/>
      <c r="GF149" s="142"/>
      <c r="GG149" s="142"/>
      <c r="GH149" s="142"/>
      <c r="GI149" s="142"/>
      <c r="GJ149" s="142"/>
      <c r="GK149" s="142"/>
      <c r="GL149" s="142"/>
      <c r="GM149" s="142"/>
      <c r="GN149" s="142"/>
      <c r="GO149" s="142"/>
      <c r="GP149" s="142"/>
      <c r="GQ149" s="142"/>
      <c r="GR149" s="142"/>
      <c r="GS149" s="142"/>
      <c r="GT149" s="142"/>
      <c r="GU149" s="142"/>
      <c r="GV149" s="142"/>
      <c r="GW149" s="142"/>
      <c r="GX149" s="142"/>
      <c r="GY149" s="142"/>
      <c r="GZ149" s="142"/>
      <c r="HA149" s="142"/>
      <c r="HB149" s="142"/>
      <c r="HC149" s="142"/>
      <c r="HD149" s="142"/>
      <c r="HE149" s="142"/>
      <c r="HF149" s="142"/>
      <c r="HG149" s="142"/>
      <c r="HH149" s="142"/>
      <c r="HI149" s="142"/>
      <c r="HJ149" s="142"/>
      <c r="HK149" s="142"/>
      <c r="HL149" s="142"/>
      <c r="HM149" s="142"/>
      <c r="HN149" s="142"/>
      <c r="HO149" s="142"/>
      <c r="HP149" s="142"/>
      <c r="HQ149" s="142"/>
      <c r="HR149" s="142"/>
      <c r="HS149" s="142"/>
      <c r="HT149" s="142"/>
      <c r="HU149" s="142"/>
      <c r="HV149" s="142"/>
      <c r="HW149" s="142"/>
      <c r="HX149" s="142"/>
      <c r="HY149" s="142"/>
      <c r="HZ149" s="142"/>
      <c r="IA149" s="142"/>
      <c r="IB149" s="142"/>
      <c r="IC149" s="142"/>
      <c r="ID149" s="142"/>
      <c r="IE149" s="142"/>
      <c r="IF149" s="142"/>
      <c r="IG149" s="142"/>
      <c r="IH149" s="142"/>
      <c r="II149" s="142"/>
      <c r="IJ149" s="142"/>
      <c r="IK149" s="142"/>
      <c r="IL149" s="142"/>
      <c r="IM149" s="142"/>
      <c r="IN149" s="142"/>
      <c r="IO149" s="142"/>
      <c r="IP149" s="142"/>
      <c r="IQ149" s="142"/>
      <c r="IR149" s="142"/>
      <c r="IS149" s="142"/>
      <c r="IT149" s="142"/>
      <c r="IU149" s="142"/>
      <c r="IV149" s="142"/>
    </row>
    <row r="150" spans="1:256" s="194" customFormat="1" x14ac:dyDescent="0.25">
      <c r="A150" s="148" t="s">
        <v>4778</v>
      </c>
      <c r="B150" s="150">
        <v>949.49</v>
      </c>
      <c r="C150" s="432">
        <v>636.76499999999999</v>
      </c>
      <c r="D150" s="146">
        <f t="shared" si="7"/>
        <v>1.0079366712518065</v>
      </c>
      <c r="E150" s="146">
        <f t="shared" si="8"/>
        <v>1.0040681793113293</v>
      </c>
      <c r="F150" s="432">
        <v>773.75</v>
      </c>
      <c r="G150" s="146">
        <f t="shared" si="9"/>
        <v>1.0089214308361372</v>
      </c>
      <c r="H150" s="432">
        <v>852.80899999999997</v>
      </c>
      <c r="I150" s="142"/>
      <c r="J150" s="142"/>
      <c r="K150" s="142"/>
      <c r="L150" s="142"/>
      <c r="M150" s="142"/>
      <c r="N150" s="142"/>
      <c r="O150" s="142"/>
      <c r="P150" s="142"/>
      <c r="Q150" s="142"/>
      <c r="R150" s="142"/>
      <c r="S150" s="142"/>
      <c r="T150" s="142"/>
      <c r="U150" s="142"/>
      <c r="V150" s="142"/>
      <c r="W150" s="142"/>
      <c r="X150" s="142"/>
      <c r="Y150" s="142"/>
      <c r="Z150" s="142"/>
      <c r="AA150" s="142"/>
      <c r="AB150" s="142"/>
      <c r="AC150" s="142"/>
      <c r="AD150" s="142"/>
      <c r="AE150" s="142"/>
      <c r="AF150" s="142"/>
      <c r="AG150" s="142"/>
      <c r="AH150" s="142"/>
      <c r="AI150" s="142"/>
      <c r="AJ150" s="142"/>
      <c r="AK150" s="142"/>
      <c r="AL150" s="142"/>
      <c r="AM150" s="142"/>
      <c r="AN150" s="142"/>
      <c r="AO150" s="142"/>
      <c r="AP150" s="142"/>
      <c r="AQ150" s="142"/>
      <c r="AR150" s="142"/>
      <c r="AS150" s="142"/>
      <c r="AT150" s="142"/>
      <c r="AU150" s="142"/>
      <c r="AV150" s="142"/>
      <c r="AW150" s="142"/>
      <c r="AX150" s="142"/>
      <c r="AY150" s="142"/>
      <c r="AZ150" s="142"/>
      <c r="BA150" s="142"/>
      <c r="BB150" s="142"/>
      <c r="BC150" s="142"/>
      <c r="BD150" s="142"/>
      <c r="BE150" s="142"/>
      <c r="BF150" s="142"/>
      <c r="BG150" s="142"/>
      <c r="BH150" s="142"/>
      <c r="BI150" s="142"/>
      <c r="BJ150" s="142"/>
      <c r="BK150" s="142"/>
      <c r="BL150" s="142"/>
      <c r="BM150" s="142"/>
      <c r="BN150" s="142"/>
      <c r="BO150" s="142"/>
      <c r="BP150" s="142"/>
      <c r="BQ150" s="142"/>
      <c r="BR150" s="142"/>
      <c r="BS150" s="142"/>
      <c r="BT150" s="142"/>
      <c r="BU150" s="142"/>
      <c r="BV150" s="142"/>
      <c r="BW150" s="142"/>
      <c r="BX150" s="142"/>
      <c r="BY150" s="142"/>
      <c r="BZ150" s="142"/>
      <c r="CA150" s="142"/>
      <c r="CB150" s="142"/>
      <c r="CC150" s="142"/>
      <c r="CD150" s="142"/>
      <c r="CE150" s="142"/>
      <c r="CF150" s="142"/>
      <c r="CG150" s="142"/>
      <c r="CH150" s="142"/>
      <c r="CI150" s="142"/>
      <c r="CJ150" s="142"/>
      <c r="CK150" s="142"/>
      <c r="CL150" s="142"/>
      <c r="CM150" s="142"/>
      <c r="CN150" s="142"/>
      <c r="CO150" s="142"/>
      <c r="CP150" s="142"/>
      <c r="CQ150" s="142"/>
      <c r="CR150" s="142"/>
      <c r="CS150" s="142"/>
      <c r="CT150" s="142"/>
      <c r="CU150" s="142"/>
      <c r="CV150" s="142"/>
      <c r="CW150" s="142"/>
      <c r="CX150" s="142"/>
      <c r="CY150" s="142"/>
      <c r="CZ150" s="142"/>
      <c r="DA150" s="142"/>
      <c r="DB150" s="142"/>
      <c r="DC150" s="142"/>
      <c r="DD150" s="142"/>
      <c r="DE150" s="142"/>
      <c r="DF150" s="142"/>
      <c r="DG150" s="142"/>
      <c r="DH150" s="142"/>
      <c r="DI150" s="142"/>
      <c r="DJ150" s="142"/>
      <c r="DK150" s="142"/>
      <c r="DL150" s="142"/>
      <c r="DM150" s="142"/>
      <c r="DN150" s="142"/>
      <c r="DO150" s="142"/>
      <c r="DP150" s="142"/>
      <c r="DQ150" s="142"/>
      <c r="DR150" s="142"/>
      <c r="DS150" s="142"/>
      <c r="DT150" s="142"/>
      <c r="DU150" s="142"/>
      <c r="DV150" s="142"/>
      <c r="DW150" s="142"/>
      <c r="DX150" s="142"/>
      <c r="DY150" s="142"/>
      <c r="DZ150" s="142"/>
      <c r="EA150" s="142"/>
      <c r="EB150" s="142"/>
      <c r="EC150" s="142"/>
      <c r="ED150" s="142"/>
      <c r="EE150" s="142"/>
      <c r="EF150" s="142"/>
      <c r="EG150" s="142"/>
      <c r="EH150" s="142"/>
      <c r="EI150" s="142"/>
      <c r="EJ150" s="142"/>
      <c r="EK150" s="142"/>
      <c r="EL150" s="142"/>
      <c r="EM150" s="142"/>
      <c r="EN150" s="142"/>
      <c r="EO150" s="142"/>
      <c r="EP150" s="142"/>
      <c r="EQ150" s="142"/>
      <c r="ER150" s="142"/>
      <c r="ES150" s="142"/>
      <c r="ET150" s="142"/>
      <c r="EU150" s="142"/>
      <c r="EV150" s="142"/>
      <c r="EW150" s="142"/>
      <c r="EX150" s="142"/>
      <c r="EY150" s="142"/>
      <c r="EZ150" s="142"/>
      <c r="FA150" s="142"/>
      <c r="FB150" s="142"/>
      <c r="FC150" s="142"/>
      <c r="FD150" s="142"/>
      <c r="FE150" s="142"/>
      <c r="FF150" s="142"/>
      <c r="FG150" s="142"/>
      <c r="FH150" s="142"/>
      <c r="FI150" s="142"/>
      <c r="FJ150" s="142"/>
      <c r="FK150" s="142"/>
      <c r="FL150" s="142"/>
      <c r="FM150" s="142"/>
      <c r="FN150" s="142"/>
      <c r="FO150" s="142"/>
      <c r="FP150" s="142"/>
      <c r="FQ150" s="142"/>
      <c r="FR150" s="142"/>
      <c r="FS150" s="142"/>
      <c r="FT150" s="142"/>
      <c r="FU150" s="142"/>
      <c r="FV150" s="142"/>
      <c r="FW150" s="142"/>
      <c r="FX150" s="142"/>
      <c r="FY150" s="142"/>
      <c r="FZ150" s="142"/>
      <c r="GA150" s="142"/>
      <c r="GB150" s="142"/>
      <c r="GC150" s="142"/>
      <c r="GD150" s="142"/>
      <c r="GE150" s="142"/>
      <c r="GF150" s="142"/>
      <c r="GG150" s="142"/>
      <c r="GH150" s="142"/>
      <c r="GI150" s="142"/>
      <c r="GJ150" s="142"/>
      <c r="GK150" s="142"/>
      <c r="GL150" s="142"/>
      <c r="GM150" s="142"/>
      <c r="GN150" s="142"/>
      <c r="GO150" s="142"/>
      <c r="GP150" s="142"/>
      <c r="GQ150" s="142"/>
      <c r="GR150" s="142"/>
      <c r="GS150" s="142"/>
      <c r="GT150" s="142"/>
      <c r="GU150" s="142"/>
      <c r="GV150" s="142"/>
      <c r="GW150" s="142"/>
      <c r="GX150" s="142"/>
      <c r="GY150" s="142"/>
      <c r="GZ150" s="142"/>
      <c r="HA150" s="142"/>
      <c r="HB150" s="142"/>
      <c r="HC150" s="142"/>
      <c r="HD150" s="142"/>
      <c r="HE150" s="142"/>
      <c r="HF150" s="142"/>
      <c r="HG150" s="142"/>
      <c r="HH150" s="142"/>
      <c r="HI150" s="142"/>
      <c r="HJ150" s="142"/>
      <c r="HK150" s="142"/>
      <c r="HL150" s="142"/>
      <c r="HM150" s="142"/>
      <c r="HN150" s="142"/>
      <c r="HO150" s="142"/>
      <c r="HP150" s="142"/>
      <c r="HQ150" s="142"/>
      <c r="HR150" s="142"/>
      <c r="HS150" s="142"/>
      <c r="HT150" s="142"/>
      <c r="HU150" s="142"/>
      <c r="HV150" s="142"/>
      <c r="HW150" s="142"/>
      <c r="HX150" s="142"/>
      <c r="HY150" s="142"/>
      <c r="HZ150" s="142"/>
      <c r="IA150" s="142"/>
      <c r="IB150" s="142"/>
      <c r="IC150" s="142"/>
      <c r="ID150" s="142"/>
      <c r="IE150" s="142"/>
      <c r="IF150" s="142"/>
      <c r="IG150" s="142"/>
      <c r="IH150" s="142"/>
      <c r="II150" s="142"/>
      <c r="IJ150" s="142"/>
      <c r="IK150" s="142"/>
      <c r="IL150" s="142"/>
      <c r="IM150" s="142"/>
      <c r="IN150" s="142"/>
      <c r="IO150" s="142"/>
      <c r="IP150" s="142"/>
      <c r="IQ150" s="142"/>
      <c r="IR150" s="142"/>
      <c r="IS150" s="142"/>
      <c r="IT150" s="142"/>
      <c r="IU150" s="142"/>
      <c r="IV150" s="142"/>
    </row>
    <row r="151" spans="1:256" s="194" customFormat="1" x14ac:dyDescent="0.25">
      <c r="A151" s="148" t="s">
        <v>4779</v>
      </c>
      <c r="B151" s="150">
        <v>949.49</v>
      </c>
      <c r="C151" s="432">
        <v>648.21400000000006</v>
      </c>
      <c r="D151" s="146">
        <f t="shared" si="7"/>
        <v>1.017979945505799</v>
      </c>
      <c r="E151" s="146">
        <f t="shared" si="8"/>
        <v>1.0086449111470113</v>
      </c>
      <c r="F151" s="432">
        <v>780.43899999999996</v>
      </c>
      <c r="G151" s="146">
        <f t="shared" si="9"/>
        <v>1.018902239540155</v>
      </c>
      <c r="H151" s="432">
        <v>868.92899999999997</v>
      </c>
      <c r="I151" s="142"/>
      <c r="J151" s="142"/>
      <c r="K151" s="142"/>
      <c r="L151" s="142"/>
      <c r="M151" s="142"/>
      <c r="N151" s="142"/>
      <c r="O151" s="142"/>
      <c r="P151" s="142"/>
      <c r="Q151" s="142"/>
      <c r="R151" s="142"/>
      <c r="S151" s="142"/>
      <c r="T151" s="142"/>
      <c r="U151" s="142"/>
      <c r="V151" s="142"/>
      <c r="W151" s="142"/>
      <c r="X151" s="142"/>
      <c r="Y151" s="142"/>
      <c r="Z151" s="142"/>
      <c r="AA151" s="142"/>
      <c r="AB151" s="142"/>
      <c r="AC151" s="142"/>
      <c r="AD151" s="142"/>
      <c r="AE151" s="142"/>
      <c r="AF151" s="142"/>
      <c r="AG151" s="142"/>
      <c r="AH151" s="142"/>
      <c r="AI151" s="142"/>
      <c r="AJ151" s="142"/>
      <c r="AK151" s="142"/>
      <c r="AL151" s="142"/>
      <c r="AM151" s="142"/>
      <c r="AN151" s="142"/>
      <c r="AO151" s="142"/>
      <c r="AP151" s="142"/>
      <c r="AQ151" s="142"/>
      <c r="AR151" s="142"/>
      <c r="AS151" s="142"/>
      <c r="AT151" s="142"/>
      <c r="AU151" s="142"/>
      <c r="AV151" s="142"/>
      <c r="AW151" s="142"/>
      <c r="AX151" s="142"/>
      <c r="AY151" s="142"/>
      <c r="AZ151" s="142"/>
      <c r="BA151" s="142"/>
      <c r="BB151" s="142"/>
      <c r="BC151" s="142"/>
      <c r="BD151" s="142"/>
      <c r="BE151" s="142"/>
      <c r="BF151" s="142"/>
      <c r="BG151" s="142"/>
      <c r="BH151" s="142"/>
      <c r="BI151" s="142"/>
      <c r="BJ151" s="142"/>
      <c r="BK151" s="142"/>
      <c r="BL151" s="142"/>
      <c r="BM151" s="142"/>
      <c r="BN151" s="142"/>
      <c r="BO151" s="142"/>
      <c r="BP151" s="142"/>
      <c r="BQ151" s="142"/>
      <c r="BR151" s="142"/>
      <c r="BS151" s="142"/>
      <c r="BT151" s="142"/>
      <c r="BU151" s="142"/>
      <c r="BV151" s="142"/>
      <c r="BW151" s="142"/>
      <c r="BX151" s="142"/>
      <c r="BY151" s="142"/>
      <c r="BZ151" s="142"/>
      <c r="CA151" s="142"/>
      <c r="CB151" s="142"/>
      <c r="CC151" s="142"/>
      <c r="CD151" s="142"/>
      <c r="CE151" s="142"/>
      <c r="CF151" s="142"/>
      <c r="CG151" s="142"/>
      <c r="CH151" s="142"/>
      <c r="CI151" s="142"/>
      <c r="CJ151" s="142"/>
      <c r="CK151" s="142"/>
      <c r="CL151" s="142"/>
      <c r="CM151" s="142"/>
      <c r="CN151" s="142"/>
      <c r="CO151" s="142"/>
      <c r="CP151" s="142"/>
      <c r="CQ151" s="142"/>
      <c r="CR151" s="142"/>
      <c r="CS151" s="142"/>
      <c r="CT151" s="142"/>
      <c r="CU151" s="142"/>
      <c r="CV151" s="142"/>
      <c r="CW151" s="142"/>
      <c r="CX151" s="142"/>
      <c r="CY151" s="142"/>
      <c r="CZ151" s="142"/>
      <c r="DA151" s="142"/>
      <c r="DB151" s="142"/>
      <c r="DC151" s="142"/>
      <c r="DD151" s="142"/>
      <c r="DE151" s="142"/>
      <c r="DF151" s="142"/>
      <c r="DG151" s="142"/>
      <c r="DH151" s="142"/>
      <c r="DI151" s="142"/>
      <c r="DJ151" s="142"/>
      <c r="DK151" s="142"/>
      <c r="DL151" s="142"/>
      <c r="DM151" s="142"/>
      <c r="DN151" s="142"/>
      <c r="DO151" s="142"/>
      <c r="DP151" s="142"/>
      <c r="DQ151" s="142"/>
      <c r="DR151" s="142"/>
      <c r="DS151" s="142"/>
      <c r="DT151" s="142"/>
      <c r="DU151" s="142"/>
      <c r="DV151" s="142"/>
      <c r="DW151" s="142"/>
      <c r="DX151" s="142"/>
      <c r="DY151" s="142"/>
      <c r="DZ151" s="142"/>
      <c r="EA151" s="142"/>
      <c r="EB151" s="142"/>
      <c r="EC151" s="142"/>
      <c r="ED151" s="142"/>
      <c r="EE151" s="142"/>
      <c r="EF151" s="142"/>
      <c r="EG151" s="142"/>
      <c r="EH151" s="142"/>
      <c r="EI151" s="142"/>
      <c r="EJ151" s="142"/>
      <c r="EK151" s="142"/>
      <c r="EL151" s="142"/>
      <c r="EM151" s="142"/>
      <c r="EN151" s="142"/>
      <c r="EO151" s="142"/>
      <c r="EP151" s="142"/>
      <c r="EQ151" s="142"/>
      <c r="ER151" s="142"/>
      <c r="ES151" s="142"/>
      <c r="ET151" s="142"/>
      <c r="EU151" s="142"/>
      <c r="EV151" s="142"/>
      <c r="EW151" s="142"/>
      <c r="EX151" s="142"/>
      <c r="EY151" s="142"/>
      <c r="EZ151" s="142"/>
      <c r="FA151" s="142"/>
      <c r="FB151" s="142"/>
      <c r="FC151" s="142"/>
      <c r="FD151" s="142"/>
      <c r="FE151" s="142"/>
      <c r="FF151" s="142"/>
      <c r="FG151" s="142"/>
      <c r="FH151" s="142"/>
      <c r="FI151" s="142"/>
      <c r="FJ151" s="142"/>
      <c r="FK151" s="142"/>
      <c r="FL151" s="142"/>
      <c r="FM151" s="142"/>
      <c r="FN151" s="142"/>
      <c r="FO151" s="142"/>
      <c r="FP151" s="142"/>
      <c r="FQ151" s="142"/>
      <c r="FR151" s="142"/>
      <c r="FS151" s="142"/>
      <c r="FT151" s="142"/>
      <c r="FU151" s="142"/>
      <c r="FV151" s="142"/>
      <c r="FW151" s="142"/>
      <c r="FX151" s="142"/>
      <c r="FY151" s="142"/>
      <c r="FZ151" s="142"/>
      <c r="GA151" s="142"/>
      <c r="GB151" s="142"/>
      <c r="GC151" s="142"/>
      <c r="GD151" s="142"/>
      <c r="GE151" s="142"/>
      <c r="GF151" s="142"/>
      <c r="GG151" s="142"/>
      <c r="GH151" s="142"/>
      <c r="GI151" s="142"/>
      <c r="GJ151" s="142"/>
      <c r="GK151" s="142"/>
      <c r="GL151" s="142"/>
      <c r="GM151" s="142"/>
      <c r="GN151" s="142"/>
      <c r="GO151" s="142"/>
      <c r="GP151" s="142"/>
      <c r="GQ151" s="142"/>
      <c r="GR151" s="142"/>
      <c r="GS151" s="142"/>
      <c r="GT151" s="142"/>
      <c r="GU151" s="142"/>
      <c r="GV151" s="142"/>
      <c r="GW151" s="142"/>
      <c r="GX151" s="142"/>
      <c r="GY151" s="142"/>
      <c r="GZ151" s="142"/>
      <c r="HA151" s="142"/>
      <c r="HB151" s="142"/>
      <c r="HC151" s="142"/>
      <c r="HD151" s="142"/>
      <c r="HE151" s="142"/>
      <c r="HF151" s="142"/>
      <c r="HG151" s="142"/>
      <c r="HH151" s="142"/>
      <c r="HI151" s="142"/>
      <c r="HJ151" s="142"/>
      <c r="HK151" s="142"/>
      <c r="HL151" s="142"/>
      <c r="HM151" s="142"/>
      <c r="HN151" s="142"/>
      <c r="HO151" s="142"/>
      <c r="HP151" s="142"/>
      <c r="HQ151" s="142"/>
      <c r="HR151" s="142"/>
      <c r="HS151" s="142"/>
      <c r="HT151" s="142"/>
      <c r="HU151" s="142"/>
      <c r="HV151" s="142"/>
      <c r="HW151" s="142"/>
      <c r="HX151" s="142"/>
      <c r="HY151" s="142"/>
      <c r="HZ151" s="142"/>
      <c r="IA151" s="142"/>
      <c r="IB151" s="142"/>
      <c r="IC151" s="142"/>
      <c r="ID151" s="142"/>
      <c r="IE151" s="142"/>
      <c r="IF151" s="142"/>
      <c r="IG151" s="142"/>
      <c r="IH151" s="142"/>
      <c r="II151" s="142"/>
      <c r="IJ151" s="142"/>
      <c r="IK151" s="142"/>
      <c r="IL151" s="142"/>
      <c r="IM151" s="142"/>
      <c r="IN151" s="142"/>
      <c r="IO151" s="142"/>
      <c r="IP151" s="142"/>
      <c r="IQ151" s="142"/>
      <c r="IR151" s="142"/>
      <c r="IS151" s="142"/>
      <c r="IT151" s="142"/>
      <c r="IU151" s="142"/>
      <c r="IV151" s="142"/>
    </row>
    <row r="152" spans="1:256" s="194" customFormat="1" x14ac:dyDescent="0.25">
      <c r="A152" s="148" t="s">
        <v>4780</v>
      </c>
      <c r="B152" s="150">
        <v>949.49</v>
      </c>
      <c r="C152" s="432">
        <v>661.36300000000006</v>
      </c>
      <c r="D152" s="146">
        <f t="shared" si="7"/>
        <v>1.0202849676187185</v>
      </c>
      <c r="E152" s="146">
        <f t="shared" si="8"/>
        <v>1.0098431780062247</v>
      </c>
      <c r="F152" s="432">
        <v>788.12099999999998</v>
      </c>
      <c r="G152" s="146">
        <f t="shared" si="9"/>
        <v>1.0130459450657074</v>
      </c>
      <c r="H152" s="432">
        <v>880.26499999999999</v>
      </c>
      <c r="I152" s="142"/>
      <c r="J152" s="142"/>
      <c r="K152" s="142"/>
      <c r="L152" s="142"/>
      <c r="M152" s="142"/>
      <c r="N152" s="142"/>
      <c r="O152" s="142"/>
      <c r="P152" s="142"/>
      <c r="Q152" s="142"/>
      <c r="R152" s="142"/>
      <c r="S152" s="142"/>
      <c r="T152" s="142"/>
      <c r="U152" s="142"/>
      <c r="V152" s="142"/>
      <c r="W152" s="142"/>
      <c r="X152" s="142"/>
      <c r="Y152" s="142"/>
      <c r="Z152" s="142"/>
      <c r="AA152" s="142"/>
      <c r="AB152" s="142"/>
      <c r="AC152" s="142"/>
      <c r="AD152" s="142"/>
      <c r="AE152" s="142"/>
      <c r="AF152" s="142"/>
      <c r="AG152" s="142"/>
      <c r="AH152" s="142"/>
      <c r="AI152" s="142"/>
      <c r="AJ152" s="142"/>
      <c r="AK152" s="142"/>
      <c r="AL152" s="142"/>
      <c r="AM152" s="142"/>
      <c r="AN152" s="142"/>
      <c r="AO152" s="142"/>
      <c r="AP152" s="142"/>
      <c r="AQ152" s="142"/>
      <c r="AR152" s="142"/>
      <c r="AS152" s="142"/>
      <c r="AT152" s="142"/>
      <c r="AU152" s="142"/>
      <c r="AV152" s="142"/>
      <c r="AW152" s="142"/>
      <c r="AX152" s="142"/>
      <c r="AY152" s="142"/>
      <c r="AZ152" s="142"/>
      <c r="BA152" s="142"/>
      <c r="BB152" s="142"/>
      <c r="BC152" s="142"/>
      <c r="BD152" s="142"/>
      <c r="BE152" s="142"/>
      <c r="BF152" s="142"/>
      <c r="BG152" s="142"/>
      <c r="BH152" s="142"/>
      <c r="BI152" s="142"/>
      <c r="BJ152" s="142"/>
      <c r="BK152" s="142"/>
      <c r="BL152" s="142"/>
      <c r="BM152" s="142"/>
      <c r="BN152" s="142"/>
      <c r="BO152" s="142"/>
      <c r="BP152" s="142"/>
      <c r="BQ152" s="142"/>
      <c r="BR152" s="142"/>
      <c r="BS152" s="142"/>
      <c r="BT152" s="142"/>
      <c r="BU152" s="142"/>
      <c r="BV152" s="142"/>
      <c r="BW152" s="142"/>
      <c r="BX152" s="142"/>
      <c r="BY152" s="142"/>
      <c r="BZ152" s="142"/>
      <c r="CA152" s="142"/>
      <c r="CB152" s="142"/>
      <c r="CC152" s="142"/>
      <c r="CD152" s="142"/>
      <c r="CE152" s="142"/>
      <c r="CF152" s="142"/>
      <c r="CG152" s="142"/>
      <c r="CH152" s="142"/>
      <c r="CI152" s="142"/>
      <c r="CJ152" s="142"/>
      <c r="CK152" s="142"/>
      <c r="CL152" s="142"/>
      <c r="CM152" s="142"/>
      <c r="CN152" s="142"/>
      <c r="CO152" s="142"/>
      <c r="CP152" s="142"/>
      <c r="CQ152" s="142"/>
      <c r="CR152" s="142"/>
      <c r="CS152" s="142"/>
      <c r="CT152" s="142"/>
      <c r="CU152" s="142"/>
      <c r="CV152" s="142"/>
      <c r="CW152" s="142"/>
      <c r="CX152" s="142"/>
      <c r="CY152" s="142"/>
      <c r="CZ152" s="142"/>
      <c r="DA152" s="142"/>
      <c r="DB152" s="142"/>
      <c r="DC152" s="142"/>
      <c r="DD152" s="142"/>
      <c r="DE152" s="142"/>
      <c r="DF152" s="142"/>
      <c r="DG152" s="142"/>
      <c r="DH152" s="142"/>
      <c r="DI152" s="142"/>
      <c r="DJ152" s="142"/>
      <c r="DK152" s="142"/>
      <c r="DL152" s="142"/>
      <c r="DM152" s="142"/>
      <c r="DN152" s="142"/>
      <c r="DO152" s="142"/>
      <c r="DP152" s="142"/>
      <c r="DQ152" s="142"/>
      <c r="DR152" s="142"/>
      <c r="DS152" s="142"/>
      <c r="DT152" s="142"/>
      <c r="DU152" s="142"/>
      <c r="DV152" s="142"/>
      <c r="DW152" s="142"/>
      <c r="DX152" s="142"/>
      <c r="DY152" s="142"/>
      <c r="DZ152" s="142"/>
      <c r="EA152" s="142"/>
      <c r="EB152" s="142"/>
      <c r="EC152" s="142"/>
      <c r="ED152" s="142"/>
      <c r="EE152" s="142"/>
      <c r="EF152" s="142"/>
      <c r="EG152" s="142"/>
      <c r="EH152" s="142"/>
      <c r="EI152" s="142"/>
      <c r="EJ152" s="142"/>
      <c r="EK152" s="142"/>
      <c r="EL152" s="142"/>
      <c r="EM152" s="142"/>
      <c r="EN152" s="142"/>
      <c r="EO152" s="142"/>
      <c r="EP152" s="142"/>
      <c r="EQ152" s="142"/>
      <c r="ER152" s="142"/>
      <c r="ES152" s="142"/>
      <c r="ET152" s="142"/>
      <c r="EU152" s="142"/>
      <c r="EV152" s="142"/>
      <c r="EW152" s="142"/>
      <c r="EX152" s="142"/>
      <c r="EY152" s="142"/>
      <c r="EZ152" s="142"/>
      <c r="FA152" s="142"/>
      <c r="FB152" s="142"/>
      <c r="FC152" s="142"/>
      <c r="FD152" s="142"/>
      <c r="FE152" s="142"/>
      <c r="FF152" s="142"/>
      <c r="FG152" s="142"/>
      <c r="FH152" s="142"/>
      <c r="FI152" s="142"/>
      <c r="FJ152" s="142"/>
      <c r="FK152" s="142"/>
      <c r="FL152" s="142"/>
      <c r="FM152" s="142"/>
      <c r="FN152" s="142"/>
      <c r="FO152" s="142"/>
      <c r="FP152" s="142"/>
      <c r="FQ152" s="142"/>
      <c r="FR152" s="142"/>
      <c r="FS152" s="142"/>
      <c r="FT152" s="142"/>
      <c r="FU152" s="142"/>
      <c r="FV152" s="142"/>
      <c r="FW152" s="142"/>
      <c r="FX152" s="142"/>
      <c r="FY152" s="142"/>
      <c r="FZ152" s="142"/>
      <c r="GA152" s="142"/>
      <c r="GB152" s="142"/>
      <c r="GC152" s="142"/>
      <c r="GD152" s="142"/>
      <c r="GE152" s="142"/>
      <c r="GF152" s="142"/>
      <c r="GG152" s="142"/>
      <c r="GH152" s="142"/>
      <c r="GI152" s="142"/>
      <c r="GJ152" s="142"/>
      <c r="GK152" s="142"/>
      <c r="GL152" s="142"/>
      <c r="GM152" s="142"/>
      <c r="GN152" s="142"/>
      <c r="GO152" s="142"/>
      <c r="GP152" s="142"/>
      <c r="GQ152" s="142"/>
      <c r="GR152" s="142"/>
      <c r="GS152" s="142"/>
      <c r="GT152" s="142"/>
      <c r="GU152" s="142"/>
      <c r="GV152" s="142"/>
      <c r="GW152" s="142"/>
      <c r="GX152" s="142"/>
      <c r="GY152" s="142"/>
      <c r="GZ152" s="142"/>
      <c r="HA152" s="142"/>
      <c r="HB152" s="142"/>
      <c r="HC152" s="142"/>
      <c r="HD152" s="142"/>
      <c r="HE152" s="142"/>
      <c r="HF152" s="142"/>
      <c r="HG152" s="142"/>
      <c r="HH152" s="142"/>
      <c r="HI152" s="142"/>
      <c r="HJ152" s="142"/>
      <c r="HK152" s="142"/>
      <c r="HL152" s="142"/>
      <c r="HM152" s="142"/>
      <c r="HN152" s="142"/>
      <c r="HO152" s="142"/>
      <c r="HP152" s="142"/>
      <c r="HQ152" s="142"/>
      <c r="HR152" s="142"/>
      <c r="HS152" s="142"/>
      <c r="HT152" s="142"/>
      <c r="HU152" s="142"/>
      <c r="HV152" s="142"/>
      <c r="HW152" s="142"/>
      <c r="HX152" s="142"/>
      <c r="HY152" s="142"/>
      <c r="HZ152" s="142"/>
      <c r="IA152" s="142"/>
      <c r="IB152" s="142"/>
      <c r="IC152" s="142"/>
      <c r="ID152" s="142"/>
      <c r="IE152" s="142"/>
      <c r="IF152" s="142"/>
      <c r="IG152" s="142"/>
      <c r="IH152" s="142"/>
      <c r="II152" s="142"/>
      <c r="IJ152" s="142"/>
      <c r="IK152" s="142"/>
      <c r="IL152" s="142"/>
      <c r="IM152" s="142"/>
      <c r="IN152" s="142"/>
      <c r="IO152" s="142"/>
      <c r="IP152" s="142"/>
      <c r="IQ152" s="142"/>
      <c r="IR152" s="142"/>
      <c r="IS152" s="142"/>
      <c r="IT152" s="142"/>
      <c r="IU152" s="142"/>
      <c r="IV152" s="142"/>
    </row>
    <row r="153" spans="1:256" s="194" customFormat="1" x14ac:dyDescent="0.25">
      <c r="A153" s="148" t="s">
        <v>4781</v>
      </c>
      <c r="B153" s="150">
        <v>949.49</v>
      </c>
      <c r="C153" s="432">
        <v>669.48199999999997</v>
      </c>
      <c r="D153" s="146">
        <f t="shared" si="7"/>
        <v>1.0122761630148647</v>
      </c>
      <c r="E153" s="146">
        <f t="shared" si="8"/>
        <v>1.0060181114321278</v>
      </c>
      <c r="F153" s="432">
        <v>792.86400000000003</v>
      </c>
      <c r="G153" s="146">
        <f t="shared" si="9"/>
        <v>1.0090041067178634</v>
      </c>
      <c r="H153" s="432">
        <v>888.19100000000003</v>
      </c>
      <c r="I153" s="142"/>
      <c r="J153" s="142"/>
      <c r="K153" s="142"/>
      <c r="L153" s="142"/>
      <c r="M153" s="142"/>
      <c r="N153" s="142"/>
      <c r="O153" s="142"/>
      <c r="P153" s="142"/>
      <c r="Q153" s="142"/>
      <c r="R153" s="142"/>
      <c r="S153" s="142"/>
      <c r="T153" s="142"/>
      <c r="U153" s="142"/>
      <c r="V153" s="142"/>
      <c r="W153" s="142"/>
      <c r="X153" s="142"/>
      <c r="Y153" s="142"/>
      <c r="Z153" s="142"/>
      <c r="AA153" s="142"/>
      <c r="AB153" s="142"/>
      <c r="AC153" s="142"/>
      <c r="AD153" s="142"/>
      <c r="AE153" s="142"/>
      <c r="AF153" s="142"/>
      <c r="AG153" s="142"/>
      <c r="AH153" s="142"/>
      <c r="AI153" s="142"/>
      <c r="AJ153" s="142"/>
      <c r="AK153" s="142"/>
      <c r="AL153" s="142"/>
      <c r="AM153" s="142"/>
      <c r="AN153" s="142"/>
      <c r="AO153" s="142"/>
      <c r="AP153" s="142"/>
      <c r="AQ153" s="142"/>
      <c r="AR153" s="142"/>
      <c r="AS153" s="142"/>
      <c r="AT153" s="142"/>
      <c r="AU153" s="142"/>
      <c r="AV153" s="142"/>
      <c r="AW153" s="142"/>
      <c r="AX153" s="142"/>
      <c r="AY153" s="142"/>
      <c r="AZ153" s="142"/>
      <c r="BA153" s="142"/>
      <c r="BB153" s="142"/>
      <c r="BC153" s="142"/>
      <c r="BD153" s="142"/>
      <c r="BE153" s="142"/>
      <c r="BF153" s="142"/>
      <c r="BG153" s="142"/>
      <c r="BH153" s="142"/>
      <c r="BI153" s="142"/>
      <c r="BJ153" s="142"/>
      <c r="BK153" s="142"/>
      <c r="BL153" s="142"/>
      <c r="BM153" s="142"/>
      <c r="BN153" s="142"/>
      <c r="BO153" s="142"/>
      <c r="BP153" s="142"/>
      <c r="BQ153" s="142"/>
      <c r="BR153" s="142"/>
      <c r="BS153" s="142"/>
      <c r="BT153" s="142"/>
      <c r="BU153" s="142"/>
      <c r="BV153" s="142"/>
      <c r="BW153" s="142"/>
      <c r="BX153" s="142"/>
      <c r="BY153" s="142"/>
      <c r="BZ153" s="142"/>
      <c r="CA153" s="142"/>
      <c r="CB153" s="142"/>
      <c r="CC153" s="142"/>
      <c r="CD153" s="142"/>
      <c r="CE153" s="142"/>
      <c r="CF153" s="142"/>
      <c r="CG153" s="142"/>
      <c r="CH153" s="142"/>
      <c r="CI153" s="142"/>
      <c r="CJ153" s="142"/>
      <c r="CK153" s="142"/>
      <c r="CL153" s="142"/>
      <c r="CM153" s="142"/>
      <c r="CN153" s="142"/>
      <c r="CO153" s="142"/>
      <c r="CP153" s="142"/>
      <c r="CQ153" s="142"/>
      <c r="CR153" s="142"/>
      <c r="CS153" s="142"/>
      <c r="CT153" s="142"/>
      <c r="CU153" s="142"/>
      <c r="CV153" s="142"/>
      <c r="CW153" s="142"/>
      <c r="CX153" s="142"/>
      <c r="CY153" s="142"/>
      <c r="CZ153" s="142"/>
      <c r="DA153" s="142"/>
      <c r="DB153" s="142"/>
      <c r="DC153" s="142"/>
      <c r="DD153" s="142"/>
      <c r="DE153" s="142"/>
      <c r="DF153" s="142"/>
      <c r="DG153" s="142"/>
      <c r="DH153" s="142"/>
      <c r="DI153" s="142"/>
      <c r="DJ153" s="142"/>
      <c r="DK153" s="142"/>
      <c r="DL153" s="142"/>
      <c r="DM153" s="142"/>
      <c r="DN153" s="142"/>
      <c r="DO153" s="142"/>
      <c r="DP153" s="142"/>
      <c r="DQ153" s="142"/>
      <c r="DR153" s="142"/>
      <c r="DS153" s="142"/>
      <c r="DT153" s="142"/>
      <c r="DU153" s="142"/>
      <c r="DV153" s="142"/>
      <c r="DW153" s="142"/>
      <c r="DX153" s="142"/>
      <c r="DY153" s="142"/>
      <c r="DZ153" s="142"/>
      <c r="EA153" s="142"/>
      <c r="EB153" s="142"/>
      <c r="EC153" s="142"/>
      <c r="ED153" s="142"/>
      <c r="EE153" s="142"/>
      <c r="EF153" s="142"/>
      <c r="EG153" s="142"/>
      <c r="EH153" s="142"/>
      <c r="EI153" s="142"/>
      <c r="EJ153" s="142"/>
      <c r="EK153" s="142"/>
      <c r="EL153" s="142"/>
      <c r="EM153" s="142"/>
      <c r="EN153" s="142"/>
      <c r="EO153" s="142"/>
      <c r="EP153" s="142"/>
      <c r="EQ153" s="142"/>
      <c r="ER153" s="142"/>
      <c r="ES153" s="142"/>
      <c r="ET153" s="142"/>
      <c r="EU153" s="142"/>
      <c r="EV153" s="142"/>
      <c r="EW153" s="142"/>
      <c r="EX153" s="142"/>
      <c r="EY153" s="142"/>
      <c r="EZ153" s="142"/>
      <c r="FA153" s="142"/>
      <c r="FB153" s="142"/>
      <c r="FC153" s="142"/>
      <c r="FD153" s="142"/>
      <c r="FE153" s="142"/>
      <c r="FF153" s="142"/>
      <c r="FG153" s="142"/>
      <c r="FH153" s="142"/>
      <c r="FI153" s="142"/>
      <c r="FJ153" s="142"/>
      <c r="FK153" s="142"/>
      <c r="FL153" s="142"/>
      <c r="FM153" s="142"/>
      <c r="FN153" s="142"/>
      <c r="FO153" s="142"/>
      <c r="FP153" s="142"/>
      <c r="FQ153" s="142"/>
      <c r="FR153" s="142"/>
      <c r="FS153" s="142"/>
      <c r="FT153" s="142"/>
      <c r="FU153" s="142"/>
      <c r="FV153" s="142"/>
      <c r="FW153" s="142"/>
      <c r="FX153" s="142"/>
      <c r="FY153" s="142"/>
      <c r="FZ153" s="142"/>
      <c r="GA153" s="142"/>
      <c r="GB153" s="142"/>
      <c r="GC153" s="142"/>
      <c r="GD153" s="142"/>
      <c r="GE153" s="142"/>
      <c r="GF153" s="142"/>
      <c r="GG153" s="142"/>
      <c r="GH153" s="142"/>
      <c r="GI153" s="142"/>
      <c r="GJ153" s="142"/>
      <c r="GK153" s="142"/>
      <c r="GL153" s="142"/>
      <c r="GM153" s="142"/>
      <c r="GN153" s="142"/>
      <c r="GO153" s="142"/>
      <c r="GP153" s="142"/>
      <c r="GQ153" s="142"/>
      <c r="GR153" s="142"/>
      <c r="GS153" s="142"/>
      <c r="GT153" s="142"/>
      <c r="GU153" s="142"/>
      <c r="GV153" s="142"/>
      <c r="GW153" s="142"/>
      <c r="GX153" s="142"/>
      <c r="GY153" s="142"/>
      <c r="GZ153" s="142"/>
      <c r="HA153" s="142"/>
      <c r="HB153" s="142"/>
      <c r="HC153" s="142"/>
      <c r="HD153" s="142"/>
      <c r="HE153" s="142"/>
      <c r="HF153" s="142"/>
      <c r="HG153" s="142"/>
      <c r="HH153" s="142"/>
      <c r="HI153" s="142"/>
      <c r="HJ153" s="142"/>
      <c r="HK153" s="142"/>
      <c r="HL153" s="142"/>
      <c r="HM153" s="142"/>
      <c r="HN153" s="142"/>
      <c r="HO153" s="142"/>
      <c r="HP153" s="142"/>
      <c r="HQ153" s="142"/>
      <c r="HR153" s="142"/>
      <c r="HS153" s="142"/>
      <c r="HT153" s="142"/>
      <c r="HU153" s="142"/>
      <c r="HV153" s="142"/>
      <c r="HW153" s="142"/>
      <c r="HX153" s="142"/>
      <c r="HY153" s="142"/>
      <c r="HZ153" s="142"/>
      <c r="IA153" s="142"/>
      <c r="IB153" s="142"/>
      <c r="IC153" s="142"/>
      <c r="ID153" s="142"/>
      <c r="IE153" s="142"/>
      <c r="IF153" s="142"/>
      <c r="IG153" s="142"/>
      <c r="IH153" s="142"/>
      <c r="II153" s="142"/>
      <c r="IJ153" s="142"/>
      <c r="IK153" s="142"/>
      <c r="IL153" s="142"/>
      <c r="IM153" s="142"/>
      <c r="IN153" s="142"/>
      <c r="IO153" s="142"/>
      <c r="IP153" s="142"/>
      <c r="IQ153" s="142"/>
      <c r="IR153" s="142"/>
      <c r="IS153" s="142"/>
      <c r="IT153" s="142"/>
      <c r="IU153" s="142"/>
      <c r="IV153" s="142"/>
    </row>
    <row r="154" spans="1:256" s="194" customFormat="1" x14ac:dyDescent="0.25">
      <c r="A154" s="148" t="s">
        <v>4782</v>
      </c>
      <c r="B154" s="150">
        <v>975.99099999999999</v>
      </c>
      <c r="C154" s="432">
        <v>680.39200000000005</v>
      </c>
      <c r="D154" s="146">
        <f t="shared" si="7"/>
        <v>1.0162961812266798</v>
      </c>
      <c r="E154" s="146">
        <f t="shared" si="8"/>
        <v>1.0221816099608507</v>
      </c>
      <c r="F154" s="432">
        <v>810.45100000000002</v>
      </c>
      <c r="G154" s="146">
        <f t="shared" si="9"/>
        <v>1.0221889210766604</v>
      </c>
      <c r="H154" s="432">
        <v>907.899</v>
      </c>
      <c r="I154" s="142"/>
      <c r="J154" s="142"/>
      <c r="K154" s="142"/>
      <c r="L154" s="142"/>
      <c r="M154" s="142"/>
      <c r="N154" s="142"/>
      <c r="O154" s="142"/>
      <c r="P154" s="142"/>
      <c r="Q154" s="142"/>
      <c r="R154" s="142"/>
      <c r="S154" s="142"/>
      <c r="T154" s="142"/>
      <c r="U154" s="142"/>
      <c r="V154" s="142"/>
      <c r="W154" s="142"/>
      <c r="X154" s="142"/>
      <c r="Y154" s="142"/>
      <c r="Z154" s="142"/>
      <c r="AA154" s="142"/>
      <c r="AB154" s="142"/>
      <c r="AC154" s="142"/>
      <c r="AD154" s="142"/>
      <c r="AE154" s="142"/>
      <c r="AF154" s="142"/>
      <c r="AG154" s="142"/>
      <c r="AH154" s="142"/>
      <c r="AI154" s="142"/>
      <c r="AJ154" s="142"/>
      <c r="AK154" s="142"/>
      <c r="AL154" s="142"/>
      <c r="AM154" s="142"/>
      <c r="AN154" s="142"/>
      <c r="AO154" s="142"/>
      <c r="AP154" s="142"/>
      <c r="AQ154" s="142"/>
      <c r="AR154" s="142"/>
      <c r="AS154" s="142"/>
      <c r="AT154" s="142"/>
      <c r="AU154" s="142"/>
      <c r="AV154" s="142"/>
      <c r="AW154" s="142"/>
      <c r="AX154" s="142"/>
      <c r="AY154" s="142"/>
      <c r="AZ154" s="142"/>
      <c r="BA154" s="142"/>
      <c r="BB154" s="142"/>
      <c r="BC154" s="142"/>
      <c r="BD154" s="142"/>
      <c r="BE154" s="142"/>
      <c r="BF154" s="142"/>
      <c r="BG154" s="142"/>
      <c r="BH154" s="142"/>
      <c r="BI154" s="142"/>
      <c r="BJ154" s="142"/>
      <c r="BK154" s="142"/>
      <c r="BL154" s="142"/>
      <c r="BM154" s="142"/>
      <c r="BN154" s="142"/>
      <c r="BO154" s="142"/>
      <c r="BP154" s="142"/>
      <c r="BQ154" s="142"/>
      <c r="BR154" s="142"/>
      <c r="BS154" s="142"/>
      <c r="BT154" s="142"/>
      <c r="BU154" s="142"/>
      <c r="BV154" s="142"/>
      <c r="BW154" s="142"/>
      <c r="BX154" s="142"/>
      <c r="BY154" s="142"/>
      <c r="BZ154" s="142"/>
      <c r="CA154" s="142"/>
      <c r="CB154" s="142"/>
      <c r="CC154" s="142"/>
      <c r="CD154" s="142"/>
      <c r="CE154" s="142"/>
      <c r="CF154" s="142"/>
      <c r="CG154" s="142"/>
      <c r="CH154" s="142"/>
      <c r="CI154" s="142"/>
      <c r="CJ154" s="142"/>
      <c r="CK154" s="142"/>
      <c r="CL154" s="142"/>
      <c r="CM154" s="142"/>
      <c r="CN154" s="142"/>
      <c r="CO154" s="142"/>
      <c r="CP154" s="142"/>
      <c r="CQ154" s="142"/>
      <c r="CR154" s="142"/>
      <c r="CS154" s="142"/>
      <c r="CT154" s="142"/>
      <c r="CU154" s="142"/>
      <c r="CV154" s="142"/>
      <c r="CW154" s="142"/>
      <c r="CX154" s="142"/>
      <c r="CY154" s="142"/>
      <c r="CZ154" s="142"/>
      <c r="DA154" s="142"/>
      <c r="DB154" s="142"/>
      <c r="DC154" s="142"/>
      <c r="DD154" s="142"/>
      <c r="DE154" s="142"/>
      <c r="DF154" s="142"/>
      <c r="DG154" s="142"/>
      <c r="DH154" s="142"/>
      <c r="DI154" s="142"/>
      <c r="DJ154" s="142"/>
      <c r="DK154" s="142"/>
      <c r="DL154" s="142"/>
      <c r="DM154" s="142"/>
      <c r="DN154" s="142"/>
      <c r="DO154" s="142"/>
      <c r="DP154" s="142"/>
      <c r="DQ154" s="142"/>
      <c r="DR154" s="142"/>
      <c r="DS154" s="142"/>
      <c r="DT154" s="142"/>
      <c r="DU154" s="142"/>
      <c r="DV154" s="142"/>
      <c r="DW154" s="142"/>
      <c r="DX154" s="142"/>
      <c r="DY154" s="142"/>
      <c r="DZ154" s="142"/>
      <c r="EA154" s="142"/>
      <c r="EB154" s="142"/>
      <c r="EC154" s="142"/>
      <c r="ED154" s="142"/>
      <c r="EE154" s="142"/>
      <c r="EF154" s="142"/>
      <c r="EG154" s="142"/>
      <c r="EH154" s="142"/>
      <c r="EI154" s="142"/>
      <c r="EJ154" s="142"/>
      <c r="EK154" s="142"/>
      <c r="EL154" s="142"/>
      <c r="EM154" s="142"/>
      <c r="EN154" s="142"/>
      <c r="EO154" s="142"/>
      <c r="EP154" s="142"/>
      <c r="EQ154" s="142"/>
      <c r="ER154" s="142"/>
      <c r="ES154" s="142"/>
      <c r="ET154" s="142"/>
      <c r="EU154" s="142"/>
      <c r="EV154" s="142"/>
      <c r="EW154" s="142"/>
      <c r="EX154" s="142"/>
      <c r="EY154" s="142"/>
      <c r="EZ154" s="142"/>
      <c r="FA154" s="142"/>
      <c r="FB154" s="142"/>
      <c r="FC154" s="142"/>
      <c r="FD154" s="142"/>
      <c r="FE154" s="142"/>
      <c r="FF154" s="142"/>
      <c r="FG154" s="142"/>
      <c r="FH154" s="142"/>
      <c r="FI154" s="142"/>
      <c r="FJ154" s="142"/>
      <c r="FK154" s="142"/>
      <c r="FL154" s="142"/>
      <c r="FM154" s="142"/>
      <c r="FN154" s="142"/>
      <c r="FO154" s="142"/>
      <c r="FP154" s="142"/>
      <c r="FQ154" s="142"/>
      <c r="FR154" s="142"/>
      <c r="FS154" s="142"/>
      <c r="FT154" s="142"/>
      <c r="FU154" s="142"/>
      <c r="FV154" s="142"/>
      <c r="FW154" s="142"/>
      <c r="FX154" s="142"/>
      <c r="FY154" s="142"/>
      <c r="FZ154" s="142"/>
      <c r="GA154" s="142"/>
      <c r="GB154" s="142"/>
      <c r="GC154" s="142"/>
      <c r="GD154" s="142"/>
      <c r="GE154" s="142"/>
      <c r="GF154" s="142"/>
      <c r="GG154" s="142"/>
      <c r="GH154" s="142"/>
      <c r="GI154" s="142"/>
      <c r="GJ154" s="142"/>
      <c r="GK154" s="142"/>
      <c r="GL154" s="142"/>
      <c r="GM154" s="142"/>
      <c r="GN154" s="142"/>
      <c r="GO154" s="142"/>
      <c r="GP154" s="142"/>
      <c r="GQ154" s="142"/>
      <c r="GR154" s="142"/>
      <c r="GS154" s="142"/>
      <c r="GT154" s="142"/>
      <c r="GU154" s="142"/>
      <c r="GV154" s="142"/>
      <c r="GW154" s="142"/>
      <c r="GX154" s="142"/>
      <c r="GY154" s="142"/>
      <c r="GZ154" s="142"/>
      <c r="HA154" s="142"/>
      <c r="HB154" s="142"/>
      <c r="HC154" s="142"/>
      <c r="HD154" s="142"/>
      <c r="HE154" s="142"/>
      <c r="HF154" s="142"/>
      <c r="HG154" s="142"/>
      <c r="HH154" s="142"/>
      <c r="HI154" s="142"/>
      <c r="HJ154" s="142"/>
      <c r="HK154" s="142"/>
      <c r="HL154" s="142"/>
      <c r="HM154" s="142"/>
      <c r="HN154" s="142"/>
      <c r="HO154" s="142"/>
      <c r="HP154" s="142"/>
      <c r="HQ154" s="142"/>
      <c r="HR154" s="142"/>
      <c r="HS154" s="142"/>
      <c r="HT154" s="142"/>
      <c r="HU154" s="142"/>
      <c r="HV154" s="142"/>
      <c r="HW154" s="142"/>
      <c r="HX154" s="142"/>
      <c r="HY154" s="142"/>
      <c r="HZ154" s="142"/>
      <c r="IA154" s="142"/>
      <c r="IB154" s="142"/>
      <c r="IC154" s="142"/>
      <c r="ID154" s="142"/>
      <c r="IE154" s="142"/>
      <c r="IF154" s="142"/>
      <c r="IG154" s="142"/>
      <c r="IH154" s="142"/>
      <c r="II154" s="142"/>
      <c r="IJ154" s="142"/>
      <c r="IK154" s="142"/>
      <c r="IL154" s="142"/>
      <c r="IM154" s="142"/>
      <c r="IN154" s="142"/>
      <c r="IO154" s="142"/>
      <c r="IP154" s="142"/>
      <c r="IQ154" s="142"/>
      <c r="IR154" s="142"/>
      <c r="IS154" s="142"/>
      <c r="IT154" s="142"/>
      <c r="IU154" s="142"/>
      <c r="IV154" s="142"/>
    </row>
    <row r="155" spans="1:256" s="194" customFormat="1" x14ac:dyDescent="0.25">
      <c r="A155" s="148" t="s">
        <v>4783</v>
      </c>
      <c r="B155" s="150">
        <v>985.81200000000001</v>
      </c>
      <c r="C155" s="432">
        <v>686.274</v>
      </c>
      <c r="D155" s="146">
        <f t="shared" si="7"/>
        <v>1.0086450164023091</v>
      </c>
      <c r="E155" s="146">
        <f t="shared" si="8"/>
        <v>1.0093676237058131</v>
      </c>
      <c r="F155" s="432">
        <v>818.04300000000001</v>
      </c>
      <c r="G155" s="146">
        <f t="shared" si="9"/>
        <v>1.0216026231992765</v>
      </c>
      <c r="H155" s="432">
        <v>927.51199999999994</v>
      </c>
      <c r="I155" s="142"/>
      <c r="J155" s="142"/>
      <c r="K155" s="142"/>
      <c r="L155" s="142"/>
      <c r="M155" s="142"/>
      <c r="N155" s="142"/>
      <c r="O155" s="142"/>
      <c r="P155" s="142"/>
      <c r="Q155" s="142"/>
      <c r="R155" s="142"/>
      <c r="S155" s="142"/>
      <c r="T155" s="142"/>
      <c r="U155" s="142"/>
      <c r="V155" s="142"/>
      <c r="W155" s="142"/>
      <c r="X155" s="142"/>
      <c r="Y155" s="142"/>
      <c r="Z155" s="142"/>
      <c r="AA155" s="142"/>
      <c r="AB155" s="142"/>
      <c r="AC155" s="142"/>
      <c r="AD155" s="142"/>
      <c r="AE155" s="142"/>
      <c r="AF155" s="142"/>
      <c r="AG155" s="142"/>
      <c r="AH155" s="142"/>
      <c r="AI155" s="142"/>
      <c r="AJ155" s="142"/>
      <c r="AK155" s="142"/>
      <c r="AL155" s="142"/>
      <c r="AM155" s="142"/>
      <c r="AN155" s="142"/>
      <c r="AO155" s="142"/>
      <c r="AP155" s="142"/>
      <c r="AQ155" s="142"/>
      <c r="AR155" s="142"/>
      <c r="AS155" s="142"/>
      <c r="AT155" s="142"/>
      <c r="AU155" s="142"/>
      <c r="AV155" s="142"/>
      <c r="AW155" s="142"/>
      <c r="AX155" s="142"/>
      <c r="AY155" s="142"/>
      <c r="AZ155" s="142"/>
      <c r="BA155" s="142"/>
      <c r="BB155" s="142"/>
      <c r="BC155" s="142"/>
      <c r="BD155" s="142"/>
      <c r="BE155" s="142"/>
      <c r="BF155" s="142"/>
      <c r="BG155" s="142"/>
      <c r="BH155" s="142"/>
      <c r="BI155" s="142"/>
      <c r="BJ155" s="142"/>
      <c r="BK155" s="142"/>
      <c r="BL155" s="142"/>
      <c r="BM155" s="142"/>
      <c r="BN155" s="142"/>
      <c r="BO155" s="142"/>
      <c r="BP155" s="142"/>
      <c r="BQ155" s="142"/>
      <c r="BR155" s="142"/>
      <c r="BS155" s="142"/>
      <c r="BT155" s="142"/>
      <c r="BU155" s="142"/>
      <c r="BV155" s="142"/>
      <c r="BW155" s="142"/>
      <c r="BX155" s="142"/>
      <c r="BY155" s="142"/>
      <c r="BZ155" s="142"/>
      <c r="CA155" s="142"/>
      <c r="CB155" s="142"/>
      <c r="CC155" s="142"/>
      <c r="CD155" s="142"/>
      <c r="CE155" s="142"/>
      <c r="CF155" s="142"/>
      <c r="CG155" s="142"/>
      <c r="CH155" s="142"/>
      <c r="CI155" s="142"/>
      <c r="CJ155" s="142"/>
      <c r="CK155" s="142"/>
      <c r="CL155" s="142"/>
      <c r="CM155" s="142"/>
      <c r="CN155" s="142"/>
      <c r="CO155" s="142"/>
      <c r="CP155" s="142"/>
      <c r="CQ155" s="142"/>
      <c r="CR155" s="142"/>
      <c r="CS155" s="142"/>
      <c r="CT155" s="142"/>
      <c r="CU155" s="142"/>
      <c r="CV155" s="142"/>
      <c r="CW155" s="142"/>
      <c r="CX155" s="142"/>
      <c r="CY155" s="142"/>
      <c r="CZ155" s="142"/>
      <c r="DA155" s="142"/>
      <c r="DB155" s="142"/>
      <c r="DC155" s="142"/>
      <c r="DD155" s="142"/>
      <c r="DE155" s="142"/>
      <c r="DF155" s="142"/>
      <c r="DG155" s="142"/>
      <c r="DH155" s="142"/>
      <c r="DI155" s="142"/>
      <c r="DJ155" s="142"/>
      <c r="DK155" s="142"/>
      <c r="DL155" s="142"/>
      <c r="DM155" s="142"/>
      <c r="DN155" s="142"/>
      <c r="DO155" s="142"/>
      <c r="DP155" s="142"/>
      <c r="DQ155" s="142"/>
      <c r="DR155" s="142"/>
      <c r="DS155" s="142"/>
      <c r="DT155" s="142"/>
      <c r="DU155" s="142"/>
      <c r="DV155" s="142"/>
      <c r="DW155" s="142"/>
      <c r="DX155" s="142"/>
      <c r="DY155" s="142"/>
      <c r="DZ155" s="142"/>
      <c r="EA155" s="142"/>
      <c r="EB155" s="142"/>
      <c r="EC155" s="142"/>
      <c r="ED155" s="142"/>
      <c r="EE155" s="142"/>
      <c r="EF155" s="142"/>
      <c r="EG155" s="142"/>
      <c r="EH155" s="142"/>
      <c r="EI155" s="142"/>
      <c r="EJ155" s="142"/>
      <c r="EK155" s="142"/>
      <c r="EL155" s="142"/>
      <c r="EM155" s="142"/>
      <c r="EN155" s="142"/>
      <c r="EO155" s="142"/>
      <c r="EP155" s="142"/>
      <c r="EQ155" s="142"/>
      <c r="ER155" s="142"/>
      <c r="ES155" s="142"/>
      <c r="ET155" s="142"/>
      <c r="EU155" s="142"/>
      <c r="EV155" s="142"/>
      <c r="EW155" s="142"/>
      <c r="EX155" s="142"/>
      <c r="EY155" s="142"/>
      <c r="EZ155" s="142"/>
      <c r="FA155" s="142"/>
      <c r="FB155" s="142"/>
      <c r="FC155" s="142"/>
      <c r="FD155" s="142"/>
      <c r="FE155" s="142"/>
      <c r="FF155" s="142"/>
      <c r="FG155" s="142"/>
      <c r="FH155" s="142"/>
      <c r="FI155" s="142"/>
      <c r="FJ155" s="142"/>
      <c r="FK155" s="142"/>
      <c r="FL155" s="142"/>
      <c r="FM155" s="142"/>
      <c r="FN155" s="142"/>
      <c r="FO155" s="142"/>
      <c r="FP155" s="142"/>
      <c r="FQ155" s="142"/>
      <c r="FR155" s="142"/>
      <c r="FS155" s="142"/>
      <c r="FT155" s="142"/>
      <c r="FU155" s="142"/>
      <c r="FV155" s="142"/>
      <c r="FW155" s="142"/>
      <c r="FX155" s="142"/>
      <c r="FY155" s="142"/>
      <c r="FZ155" s="142"/>
      <c r="GA155" s="142"/>
      <c r="GB155" s="142"/>
      <c r="GC155" s="142"/>
      <c r="GD155" s="142"/>
      <c r="GE155" s="142"/>
      <c r="GF155" s="142"/>
      <c r="GG155" s="142"/>
      <c r="GH155" s="142"/>
      <c r="GI155" s="142"/>
      <c r="GJ155" s="142"/>
      <c r="GK155" s="142"/>
      <c r="GL155" s="142"/>
      <c r="GM155" s="142"/>
      <c r="GN155" s="142"/>
      <c r="GO155" s="142"/>
      <c r="GP155" s="142"/>
      <c r="GQ155" s="142"/>
      <c r="GR155" s="142"/>
      <c r="GS155" s="142"/>
      <c r="GT155" s="142"/>
      <c r="GU155" s="142"/>
      <c r="GV155" s="142"/>
      <c r="GW155" s="142"/>
      <c r="GX155" s="142"/>
      <c r="GY155" s="142"/>
      <c r="GZ155" s="142"/>
      <c r="HA155" s="142"/>
      <c r="HB155" s="142"/>
      <c r="HC155" s="142"/>
      <c r="HD155" s="142"/>
      <c r="HE155" s="142"/>
      <c r="HF155" s="142"/>
      <c r="HG155" s="142"/>
      <c r="HH155" s="142"/>
      <c r="HI155" s="142"/>
      <c r="HJ155" s="142"/>
      <c r="HK155" s="142"/>
      <c r="HL155" s="142"/>
      <c r="HM155" s="142"/>
      <c r="HN155" s="142"/>
      <c r="HO155" s="142"/>
      <c r="HP155" s="142"/>
      <c r="HQ155" s="142"/>
      <c r="HR155" s="142"/>
      <c r="HS155" s="142"/>
      <c r="HT155" s="142"/>
      <c r="HU155" s="142"/>
      <c r="HV155" s="142"/>
      <c r="HW155" s="142"/>
      <c r="HX155" s="142"/>
      <c r="HY155" s="142"/>
      <c r="HZ155" s="142"/>
      <c r="IA155" s="142"/>
      <c r="IB155" s="142"/>
      <c r="IC155" s="142"/>
      <c r="ID155" s="142"/>
      <c r="IE155" s="142"/>
      <c r="IF155" s="142"/>
      <c r="IG155" s="142"/>
      <c r="IH155" s="142"/>
      <c r="II155" s="142"/>
      <c r="IJ155" s="142"/>
      <c r="IK155" s="142"/>
      <c r="IL155" s="142"/>
      <c r="IM155" s="142"/>
      <c r="IN155" s="142"/>
      <c r="IO155" s="142"/>
      <c r="IP155" s="142"/>
      <c r="IQ155" s="142"/>
      <c r="IR155" s="142"/>
      <c r="IS155" s="142"/>
      <c r="IT155" s="142"/>
      <c r="IU155" s="142"/>
      <c r="IV155" s="142"/>
    </row>
    <row r="156" spans="1:256" s="194" customFormat="1" x14ac:dyDescent="0.25">
      <c r="A156" s="148" t="s">
        <v>4784</v>
      </c>
      <c r="B156" s="150"/>
      <c r="C156" s="146"/>
      <c r="D156" s="146"/>
      <c r="E156" s="146">
        <f t="shared" si="8"/>
        <v>1.0055339389249709</v>
      </c>
      <c r="F156" s="432">
        <v>822.57</v>
      </c>
      <c r="G156" s="146">
        <f t="shared" si="9"/>
        <v>1.0084602678994989</v>
      </c>
      <c r="H156" s="432">
        <v>935.35900000000004</v>
      </c>
      <c r="I156" s="142"/>
      <c r="J156" s="142"/>
      <c r="K156" s="142"/>
      <c r="L156" s="142"/>
      <c r="M156" s="142"/>
      <c r="N156" s="142"/>
      <c r="O156" s="142"/>
      <c r="P156" s="142"/>
      <c r="Q156" s="142"/>
      <c r="R156" s="142"/>
      <c r="S156" s="142"/>
      <c r="T156" s="142"/>
      <c r="U156" s="142"/>
      <c r="V156" s="142"/>
      <c r="W156" s="142"/>
      <c r="X156" s="142"/>
      <c r="Y156" s="142"/>
      <c r="Z156" s="142"/>
      <c r="AA156" s="142"/>
      <c r="AB156" s="142"/>
      <c r="AC156" s="142"/>
      <c r="AD156" s="142"/>
      <c r="AE156" s="142"/>
      <c r="AF156" s="142"/>
      <c r="AG156" s="142"/>
      <c r="AH156" s="142"/>
      <c r="AI156" s="142"/>
      <c r="AJ156" s="142"/>
      <c r="AK156" s="142"/>
      <c r="AL156" s="142"/>
      <c r="AM156" s="142"/>
      <c r="AN156" s="142"/>
      <c r="AO156" s="142"/>
      <c r="AP156" s="142"/>
      <c r="AQ156" s="142"/>
      <c r="AR156" s="142"/>
      <c r="AS156" s="142"/>
      <c r="AT156" s="142"/>
      <c r="AU156" s="142"/>
      <c r="AV156" s="142"/>
      <c r="AW156" s="142"/>
      <c r="AX156" s="142"/>
      <c r="AY156" s="142"/>
      <c r="AZ156" s="142"/>
      <c r="BA156" s="142"/>
      <c r="BB156" s="142"/>
      <c r="BC156" s="142"/>
      <c r="BD156" s="142"/>
      <c r="BE156" s="142"/>
      <c r="BF156" s="142"/>
      <c r="BG156" s="142"/>
      <c r="BH156" s="142"/>
      <c r="BI156" s="142"/>
      <c r="BJ156" s="142"/>
      <c r="BK156" s="142"/>
      <c r="BL156" s="142"/>
      <c r="BM156" s="142"/>
      <c r="BN156" s="142"/>
      <c r="BO156" s="142"/>
      <c r="BP156" s="142"/>
      <c r="BQ156" s="142"/>
      <c r="BR156" s="142"/>
      <c r="BS156" s="142"/>
      <c r="BT156" s="142"/>
      <c r="BU156" s="142"/>
      <c r="BV156" s="142"/>
      <c r="BW156" s="142"/>
      <c r="BX156" s="142"/>
      <c r="BY156" s="142"/>
      <c r="BZ156" s="142"/>
      <c r="CA156" s="142"/>
      <c r="CB156" s="142"/>
      <c r="CC156" s="142"/>
      <c r="CD156" s="142"/>
      <c r="CE156" s="142"/>
      <c r="CF156" s="142"/>
      <c r="CG156" s="142"/>
      <c r="CH156" s="142"/>
      <c r="CI156" s="142"/>
      <c r="CJ156" s="142"/>
      <c r="CK156" s="142"/>
      <c r="CL156" s="142"/>
      <c r="CM156" s="142"/>
      <c r="CN156" s="142"/>
      <c r="CO156" s="142"/>
      <c r="CP156" s="142"/>
      <c r="CQ156" s="142"/>
      <c r="CR156" s="142"/>
      <c r="CS156" s="142"/>
      <c r="CT156" s="142"/>
      <c r="CU156" s="142"/>
      <c r="CV156" s="142"/>
      <c r="CW156" s="142"/>
      <c r="CX156" s="142"/>
      <c r="CY156" s="142"/>
      <c r="CZ156" s="142"/>
      <c r="DA156" s="142"/>
      <c r="DB156" s="142"/>
      <c r="DC156" s="142"/>
      <c r="DD156" s="142"/>
      <c r="DE156" s="142"/>
      <c r="DF156" s="142"/>
      <c r="DG156" s="142"/>
      <c r="DH156" s="142"/>
      <c r="DI156" s="142"/>
      <c r="DJ156" s="142"/>
      <c r="DK156" s="142"/>
      <c r="DL156" s="142"/>
      <c r="DM156" s="142"/>
      <c r="DN156" s="142"/>
      <c r="DO156" s="142"/>
      <c r="DP156" s="142"/>
      <c r="DQ156" s="142"/>
      <c r="DR156" s="142"/>
      <c r="DS156" s="142"/>
      <c r="DT156" s="142"/>
      <c r="DU156" s="142"/>
      <c r="DV156" s="142"/>
      <c r="DW156" s="142"/>
      <c r="DX156" s="142"/>
      <c r="DY156" s="142"/>
      <c r="DZ156" s="142"/>
      <c r="EA156" s="142"/>
      <c r="EB156" s="142"/>
      <c r="EC156" s="142"/>
      <c r="ED156" s="142"/>
      <c r="EE156" s="142"/>
      <c r="EF156" s="142"/>
      <c r="EG156" s="142"/>
      <c r="EH156" s="142"/>
      <c r="EI156" s="142"/>
      <c r="EJ156" s="142"/>
      <c r="EK156" s="142"/>
      <c r="EL156" s="142"/>
      <c r="EM156" s="142"/>
      <c r="EN156" s="142"/>
      <c r="EO156" s="142"/>
      <c r="EP156" s="142"/>
      <c r="EQ156" s="142"/>
      <c r="ER156" s="142"/>
      <c r="ES156" s="142"/>
      <c r="ET156" s="142"/>
      <c r="EU156" s="142"/>
      <c r="EV156" s="142"/>
      <c r="EW156" s="142"/>
      <c r="EX156" s="142"/>
      <c r="EY156" s="142"/>
      <c r="EZ156" s="142"/>
      <c r="FA156" s="142"/>
      <c r="FB156" s="142"/>
      <c r="FC156" s="142"/>
      <c r="FD156" s="142"/>
      <c r="FE156" s="142"/>
      <c r="FF156" s="142"/>
      <c r="FG156" s="142"/>
      <c r="FH156" s="142"/>
      <c r="FI156" s="142"/>
      <c r="FJ156" s="142"/>
      <c r="FK156" s="142"/>
      <c r="FL156" s="142"/>
      <c r="FM156" s="142"/>
      <c r="FN156" s="142"/>
      <c r="FO156" s="142"/>
      <c r="FP156" s="142"/>
      <c r="FQ156" s="142"/>
      <c r="FR156" s="142"/>
      <c r="FS156" s="142"/>
      <c r="FT156" s="142"/>
      <c r="FU156" s="142"/>
      <c r="FV156" s="142"/>
      <c r="FW156" s="142"/>
      <c r="FX156" s="142"/>
      <c r="FY156" s="142"/>
      <c r="FZ156" s="142"/>
      <c r="GA156" s="142"/>
      <c r="GB156" s="142"/>
      <c r="GC156" s="142"/>
      <c r="GD156" s="142"/>
      <c r="GE156" s="142"/>
      <c r="GF156" s="142"/>
      <c r="GG156" s="142"/>
      <c r="GH156" s="142"/>
      <c r="GI156" s="142"/>
      <c r="GJ156" s="142"/>
      <c r="GK156" s="142"/>
      <c r="GL156" s="142"/>
      <c r="GM156" s="142"/>
      <c r="GN156" s="142"/>
      <c r="GO156" s="142"/>
      <c r="GP156" s="142"/>
      <c r="GQ156" s="142"/>
      <c r="GR156" s="142"/>
      <c r="GS156" s="142"/>
      <c r="GT156" s="142"/>
      <c r="GU156" s="142"/>
      <c r="GV156" s="142"/>
      <c r="GW156" s="142"/>
      <c r="GX156" s="142"/>
      <c r="GY156" s="142"/>
      <c r="GZ156" s="142"/>
      <c r="HA156" s="142"/>
      <c r="HB156" s="142"/>
      <c r="HC156" s="142"/>
      <c r="HD156" s="142"/>
      <c r="HE156" s="142"/>
      <c r="HF156" s="142"/>
      <c r="HG156" s="142"/>
      <c r="HH156" s="142"/>
      <c r="HI156" s="142"/>
      <c r="HJ156" s="142"/>
      <c r="HK156" s="142"/>
      <c r="HL156" s="142"/>
      <c r="HM156" s="142"/>
      <c r="HN156" s="142"/>
      <c r="HO156" s="142"/>
      <c r="HP156" s="142"/>
      <c r="HQ156" s="142"/>
      <c r="HR156" s="142"/>
      <c r="HS156" s="142"/>
      <c r="HT156" s="142"/>
      <c r="HU156" s="142"/>
      <c r="HV156" s="142"/>
      <c r="HW156" s="142"/>
      <c r="HX156" s="142"/>
      <c r="HY156" s="142"/>
      <c r="HZ156" s="142"/>
      <c r="IA156" s="142"/>
      <c r="IB156" s="142"/>
      <c r="IC156" s="142"/>
      <c r="ID156" s="142"/>
      <c r="IE156" s="142"/>
      <c r="IF156" s="142"/>
      <c r="IG156" s="142"/>
      <c r="IH156" s="142"/>
      <c r="II156" s="142"/>
      <c r="IJ156" s="142"/>
      <c r="IK156" s="142"/>
      <c r="IL156" s="142"/>
      <c r="IM156" s="142"/>
      <c r="IN156" s="142"/>
      <c r="IO156" s="142"/>
      <c r="IP156" s="142"/>
      <c r="IQ156" s="142"/>
      <c r="IR156" s="142"/>
      <c r="IS156" s="142"/>
      <c r="IT156" s="142"/>
      <c r="IU156" s="142"/>
      <c r="IV156" s="142"/>
    </row>
    <row r="157" spans="1:256" s="194" customFormat="1" x14ac:dyDescent="0.25">
      <c r="A157" s="148" t="s">
        <v>4785</v>
      </c>
      <c r="B157" s="150"/>
      <c r="C157" s="146"/>
      <c r="D157" s="146"/>
      <c r="E157" s="146">
        <f t="shared" si="8"/>
        <v>1.0067799700937305</v>
      </c>
      <c r="F157" s="432">
        <v>828.14700000000005</v>
      </c>
      <c r="G157" s="146">
        <f t="shared" si="9"/>
        <v>1.0046399296954431</v>
      </c>
      <c r="H157" s="432">
        <v>939.69899999999996</v>
      </c>
      <c r="I157" s="142"/>
      <c r="J157" s="142"/>
      <c r="K157" s="142"/>
      <c r="L157" s="142"/>
      <c r="M157" s="142"/>
      <c r="N157" s="142"/>
      <c r="O157" s="142"/>
      <c r="P157" s="142"/>
      <c r="Q157" s="142"/>
      <c r="R157" s="142"/>
      <c r="S157" s="142"/>
      <c r="T157" s="142"/>
      <c r="U157" s="142"/>
      <c r="V157" s="142"/>
      <c r="W157" s="142"/>
      <c r="X157" s="142"/>
      <c r="Y157" s="142"/>
      <c r="Z157" s="142"/>
      <c r="AA157" s="142"/>
      <c r="AB157" s="142"/>
      <c r="AC157" s="142"/>
      <c r="AD157" s="142"/>
      <c r="AE157" s="142"/>
      <c r="AF157" s="142"/>
      <c r="AG157" s="142"/>
      <c r="AH157" s="142"/>
      <c r="AI157" s="142"/>
      <c r="AJ157" s="142"/>
      <c r="AK157" s="142"/>
      <c r="AL157" s="142"/>
      <c r="AM157" s="142"/>
      <c r="AN157" s="142"/>
      <c r="AO157" s="142"/>
      <c r="AP157" s="142"/>
      <c r="AQ157" s="142"/>
      <c r="AR157" s="142"/>
      <c r="AS157" s="142"/>
      <c r="AT157" s="142"/>
      <c r="AU157" s="142"/>
      <c r="AV157" s="142"/>
      <c r="AW157" s="142"/>
      <c r="AX157" s="142"/>
      <c r="AY157" s="142"/>
      <c r="AZ157" s="142"/>
      <c r="BA157" s="142"/>
      <c r="BB157" s="142"/>
      <c r="BC157" s="142"/>
      <c r="BD157" s="142"/>
      <c r="BE157" s="142"/>
      <c r="BF157" s="142"/>
      <c r="BG157" s="142"/>
      <c r="BH157" s="142"/>
      <c r="BI157" s="142"/>
      <c r="BJ157" s="142"/>
      <c r="BK157" s="142"/>
      <c r="BL157" s="142"/>
      <c r="BM157" s="142"/>
      <c r="BN157" s="142"/>
      <c r="BO157" s="142"/>
      <c r="BP157" s="142"/>
      <c r="BQ157" s="142"/>
      <c r="BR157" s="142"/>
      <c r="BS157" s="142"/>
      <c r="BT157" s="142"/>
      <c r="BU157" s="142"/>
      <c r="BV157" s="142"/>
      <c r="BW157" s="142"/>
      <c r="BX157" s="142"/>
      <c r="BY157" s="142"/>
      <c r="BZ157" s="142"/>
      <c r="CA157" s="142"/>
      <c r="CB157" s="142"/>
      <c r="CC157" s="142"/>
      <c r="CD157" s="142"/>
      <c r="CE157" s="142"/>
      <c r="CF157" s="142"/>
      <c r="CG157" s="142"/>
      <c r="CH157" s="142"/>
      <c r="CI157" s="142"/>
      <c r="CJ157" s="142"/>
      <c r="CK157" s="142"/>
      <c r="CL157" s="142"/>
      <c r="CM157" s="142"/>
      <c r="CN157" s="142"/>
      <c r="CO157" s="142"/>
      <c r="CP157" s="142"/>
      <c r="CQ157" s="142"/>
      <c r="CR157" s="142"/>
      <c r="CS157" s="142"/>
      <c r="CT157" s="142"/>
      <c r="CU157" s="142"/>
      <c r="CV157" s="142"/>
      <c r="CW157" s="142"/>
      <c r="CX157" s="142"/>
      <c r="CY157" s="142"/>
      <c r="CZ157" s="142"/>
      <c r="DA157" s="142"/>
      <c r="DB157" s="142"/>
      <c r="DC157" s="142"/>
      <c r="DD157" s="142"/>
      <c r="DE157" s="142"/>
      <c r="DF157" s="142"/>
      <c r="DG157" s="142"/>
      <c r="DH157" s="142"/>
      <c r="DI157" s="142"/>
      <c r="DJ157" s="142"/>
      <c r="DK157" s="142"/>
      <c r="DL157" s="142"/>
      <c r="DM157" s="142"/>
      <c r="DN157" s="142"/>
      <c r="DO157" s="142"/>
      <c r="DP157" s="142"/>
      <c r="DQ157" s="142"/>
      <c r="DR157" s="142"/>
      <c r="DS157" s="142"/>
      <c r="DT157" s="142"/>
      <c r="DU157" s="142"/>
      <c r="DV157" s="142"/>
      <c r="DW157" s="142"/>
      <c r="DX157" s="142"/>
      <c r="DY157" s="142"/>
      <c r="DZ157" s="142"/>
      <c r="EA157" s="142"/>
      <c r="EB157" s="142"/>
      <c r="EC157" s="142"/>
      <c r="ED157" s="142"/>
      <c r="EE157" s="142"/>
      <c r="EF157" s="142"/>
      <c r="EG157" s="142"/>
      <c r="EH157" s="142"/>
      <c r="EI157" s="142"/>
      <c r="EJ157" s="142"/>
      <c r="EK157" s="142"/>
      <c r="EL157" s="142"/>
      <c r="EM157" s="142"/>
      <c r="EN157" s="142"/>
      <c r="EO157" s="142"/>
      <c r="EP157" s="142"/>
      <c r="EQ157" s="142"/>
      <c r="ER157" s="142"/>
      <c r="ES157" s="142"/>
      <c r="ET157" s="142"/>
      <c r="EU157" s="142"/>
      <c r="EV157" s="142"/>
      <c r="EW157" s="142"/>
      <c r="EX157" s="142"/>
      <c r="EY157" s="142"/>
      <c r="EZ157" s="142"/>
      <c r="FA157" s="142"/>
      <c r="FB157" s="142"/>
      <c r="FC157" s="142"/>
      <c r="FD157" s="142"/>
      <c r="FE157" s="142"/>
      <c r="FF157" s="142"/>
      <c r="FG157" s="142"/>
      <c r="FH157" s="142"/>
      <c r="FI157" s="142"/>
      <c r="FJ157" s="142"/>
      <c r="FK157" s="142"/>
      <c r="FL157" s="142"/>
      <c r="FM157" s="142"/>
      <c r="FN157" s="142"/>
      <c r="FO157" s="142"/>
      <c r="FP157" s="142"/>
      <c r="FQ157" s="142"/>
      <c r="FR157" s="142"/>
      <c r="FS157" s="142"/>
      <c r="FT157" s="142"/>
      <c r="FU157" s="142"/>
      <c r="FV157" s="142"/>
      <c r="FW157" s="142"/>
      <c r="FX157" s="142"/>
      <c r="FY157" s="142"/>
      <c r="FZ157" s="142"/>
      <c r="GA157" s="142"/>
      <c r="GB157" s="142"/>
      <c r="GC157" s="142"/>
      <c r="GD157" s="142"/>
      <c r="GE157" s="142"/>
      <c r="GF157" s="142"/>
      <c r="GG157" s="142"/>
      <c r="GH157" s="142"/>
      <c r="GI157" s="142"/>
      <c r="GJ157" s="142"/>
      <c r="GK157" s="142"/>
      <c r="GL157" s="142"/>
      <c r="GM157" s="142"/>
      <c r="GN157" s="142"/>
      <c r="GO157" s="142"/>
      <c r="GP157" s="142"/>
      <c r="GQ157" s="142"/>
      <c r="GR157" s="142"/>
      <c r="GS157" s="142"/>
      <c r="GT157" s="142"/>
      <c r="GU157" s="142"/>
      <c r="GV157" s="142"/>
      <c r="GW157" s="142"/>
      <c r="GX157" s="142"/>
      <c r="GY157" s="142"/>
      <c r="GZ157" s="142"/>
      <c r="HA157" s="142"/>
      <c r="HB157" s="142"/>
      <c r="HC157" s="142"/>
      <c r="HD157" s="142"/>
      <c r="HE157" s="142"/>
      <c r="HF157" s="142"/>
      <c r="HG157" s="142"/>
      <c r="HH157" s="142"/>
      <c r="HI157" s="142"/>
      <c r="HJ157" s="142"/>
      <c r="HK157" s="142"/>
      <c r="HL157" s="142"/>
      <c r="HM157" s="142"/>
      <c r="HN157" s="142"/>
      <c r="HO157" s="142"/>
      <c r="HP157" s="142"/>
      <c r="HQ157" s="142"/>
      <c r="HR157" s="142"/>
      <c r="HS157" s="142"/>
      <c r="HT157" s="142"/>
      <c r="HU157" s="142"/>
      <c r="HV157" s="142"/>
      <c r="HW157" s="142"/>
      <c r="HX157" s="142"/>
      <c r="HY157" s="142"/>
      <c r="HZ157" s="142"/>
      <c r="IA157" s="142"/>
      <c r="IB157" s="142"/>
      <c r="IC157" s="142"/>
      <c r="ID157" s="142"/>
      <c r="IE157" s="142"/>
      <c r="IF157" s="142"/>
      <c r="IG157" s="142"/>
      <c r="IH157" s="142"/>
      <c r="II157" s="142"/>
      <c r="IJ157" s="142"/>
      <c r="IK157" s="142"/>
      <c r="IL157" s="142"/>
      <c r="IM157" s="142"/>
      <c r="IN157" s="142"/>
      <c r="IO157" s="142"/>
      <c r="IP157" s="142"/>
      <c r="IQ157" s="142"/>
      <c r="IR157" s="142"/>
      <c r="IS157" s="142"/>
      <c r="IT157" s="142"/>
      <c r="IU157" s="142"/>
      <c r="IV157" s="142"/>
    </row>
    <row r="158" spans="1:256" s="194" customFormat="1" x14ac:dyDescent="0.25">
      <c r="A158" s="148" t="s">
        <v>4786</v>
      </c>
      <c r="B158" s="150"/>
      <c r="C158" s="146"/>
      <c r="D158" s="146"/>
      <c r="E158" s="146">
        <f t="shared" si="8"/>
        <v>1.0058975037040525</v>
      </c>
      <c r="F158" s="432">
        <v>833.03099999999995</v>
      </c>
      <c r="G158" s="146">
        <f t="shared" si="9"/>
        <v>1.0051303662130109</v>
      </c>
      <c r="H158" s="432">
        <v>944.52</v>
      </c>
      <c r="I158" s="142"/>
      <c r="J158" s="142"/>
      <c r="K158" s="142"/>
      <c r="L158" s="142"/>
      <c r="M158" s="142"/>
      <c r="N158" s="142"/>
      <c r="O158" s="142"/>
      <c r="P158" s="142"/>
      <c r="Q158" s="142"/>
      <c r="R158" s="142"/>
      <c r="S158" s="142"/>
      <c r="T158" s="142"/>
      <c r="U158" s="142"/>
      <c r="V158" s="142"/>
      <c r="W158" s="142"/>
      <c r="X158" s="142"/>
      <c r="Y158" s="142"/>
      <c r="Z158" s="142"/>
      <c r="AA158" s="142"/>
      <c r="AB158" s="142"/>
      <c r="AC158" s="142"/>
      <c r="AD158" s="142"/>
      <c r="AE158" s="142"/>
      <c r="AF158" s="142"/>
      <c r="AG158" s="142"/>
      <c r="AH158" s="142"/>
      <c r="AI158" s="142"/>
      <c r="AJ158" s="142"/>
      <c r="AK158" s="142"/>
      <c r="AL158" s="142"/>
      <c r="AM158" s="142"/>
      <c r="AN158" s="142"/>
      <c r="AO158" s="142"/>
      <c r="AP158" s="142"/>
      <c r="AQ158" s="142"/>
      <c r="AR158" s="142"/>
      <c r="AS158" s="142"/>
      <c r="AT158" s="142"/>
      <c r="AU158" s="142"/>
      <c r="AV158" s="142"/>
      <c r="AW158" s="142"/>
      <c r="AX158" s="142"/>
      <c r="AY158" s="142"/>
      <c r="AZ158" s="142"/>
      <c r="BA158" s="142"/>
      <c r="BB158" s="142"/>
      <c r="BC158" s="142"/>
      <c r="BD158" s="142"/>
      <c r="BE158" s="142"/>
      <c r="BF158" s="142"/>
      <c r="BG158" s="142"/>
      <c r="BH158" s="142"/>
      <c r="BI158" s="142"/>
      <c r="BJ158" s="142"/>
      <c r="BK158" s="142"/>
      <c r="BL158" s="142"/>
      <c r="BM158" s="142"/>
      <c r="BN158" s="142"/>
      <c r="BO158" s="142"/>
      <c r="BP158" s="142"/>
      <c r="BQ158" s="142"/>
      <c r="BR158" s="142"/>
      <c r="BS158" s="142"/>
      <c r="BT158" s="142"/>
      <c r="BU158" s="142"/>
      <c r="BV158" s="142"/>
      <c r="BW158" s="142"/>
      <c r="BX158" s="142"/>
      <c r="BY158" s="142"/>
      <c r="BZ158" s="142"/>
      <c r="CA158" s="142"/>
      <c r="CB158" s="142"/>
      <c r="CC158" s="142"/>
      <c r="CD158" s="142"/>
      <c r="CE158" s="142"/>
      <c r="CF158" s="142"/>
      <c r="CG158" s="142"/>
      <c r="CH158" s="142"/>
      <c r="CI158" s="142"/>
      <c r="CJ158" s="142"/>
      <c r="CK158" s="142"/>
      <c r="CL158" s="142"/>
      <c r="CM158" s="142"/>
      <c r="CN158" s="142"/>
      <c r="CO158" s="142"/>
      <c r="CP158" s="142"/>
      <c r="CQ158" s="142"/>
      <c r="CR158" s="142"/>
      <c r="CS158" s="142"/>
      <c r="CT158" s="142"/>
      <c r="CU158" s="142"/>
      <c r="CV158" s="142"/>
      <c r="CW158" s="142"/>
      <c r="CX158" s="142"/>
      <c r="CY158" s="142"/>
      <c r="CZ158" s="142"/>
      <c r="DA158" s="142"/>
      <c r="DB158" s="142"/>
      <c r="DC158" s="142"/>
      <c r="DD158" s="142"/>
      <c r="DE158" s="142"/>
      <c r="DF158" s="142"/>
      <c r="DG158" s="142"/>
      <c r="DH158" s="142"/>
      <c r="DI158" s="142"/>
      <c r="DJ158" s="142"/>
      <c r="DK158" s="142"/>
      <c r="DL158" s="142"/>
      <c r="DM158" s="142"/>
      <c r="DN158" s="142"/>
      <c r="DO158" s="142"/>
      <c r="DP158" s="142"/>
      <c r="DQ158" s="142"/>
      <c r="DR158" s="142"/>
      <c r="DS158" s="142"/>
      <c r="DT158" s="142"/>
      <c r="DU158" s="142"/>
      <c r="DV158" s="142"/>
      <c r="DW158" s="142"/>
      <c r="DX158" s="142"/>
      <c r="DY158" s="142"/>
      <c r="DZ158" s="142"/>
      <c r="EA158" s="142"/>
      <c r="EB158" s="142"/>
      <c r="EC158" s="142"/>
      <c r="ED158" s="142"/>
      <c r="EE158" s="142"/>
      <c r="EF158" s="142"/>
      <c r="EG158" s="142"/>
      <c r="EH158" s="142"/>
      <c r="EI158" s="142"/>
      <c r="EJ158" s="142"/>
      <c r="EK158" s="142"/>
      <c r="EL158" s="142"/>
      <c r="EM158" s="142"/>
      <c r="EN158" s="142"/>
      <c r="EO158" s="142"/>
      <c r="EP158" s="142"/>
      <c r="EQ158" s="142"/>
      <c r="ER158" s="142"/>
      <c r="ES158" s="142"/>
      <c r="ET158" s="142"/>
      <c r="EU158" s="142"/>
      <c r="EV158" s="142"/>
      <c r="EW158" s="142"/>
      <c r="EX158" s="142"/>
      <c r="EY158" s="142"/>
      <c r="EZ158" s="142"/>
      <c r="FA158" s="142"/>
      <c r="FB158" s="142"/>
      <c r="FC158" s="142"/>
      <c r="FD158" s="142"/>
      <c r="FE158" s="142"/>
      <c r="FF158" s="142"/>
      <c r="FG158" s="142"/>
      <c r="FH158" s="142"/>
      <c r="FI158" s="142"/>
      <c r="FJ158" s="142"/>
      <c r="FK158" s="142"/>
      <c r="FL158" s="142"/>
      <c r="FM158" s="142"/>
      <c r="FN158" s="142"/>
      <c r="FO158" s="142"/>
      <c r="FP158" s="142"/>
      <c r="FQ158" s="142"/>
      <c r="FR158" s="142"/>
      <c r="FS158" s="142"/>
      <c r="FT158" s="142"/>
      <c r="FU158" s="142"/>
      <c r="FV158" s="142"/>
      <c r="FW158" s="142"/>
      <c r="FX158" s="142"/>
      <c r="FY158" s="142"/>
      <c r="FZ158" s="142"/>
      <c r="GA158" s="142"/>
      <c r="GB158" s="142"/>
      <c r="GC158" s="142"/>
      <c r="GD158" s="142"/>
      <c r="GE158" s="142"/>
      <c r="GF158" s="142"/>
      <c r="GG158" s="142"/>
      <c r="GH158" s="142"/>
      <c r="GI158" s="142"/>
      <c r="GJ158" s="142"/>
      <c r="GK158" s="142"/>
      <c r="GL158" s="142"/>
      <c r="GM158" s="142"/>
      <c r="GN158" s="142"/>
      <c r="GO158" s="142"/>
      <c r="GP158" s="142"/>
      <c r="GQ158" s="142"/>
      <c r="GR158" s="142"/>
      <c r="GS158" s="142"/>
      <c r="GT158" s="142"/>
      <c r="GU158" s="142"/>
      <c r="GV158" s="142"/>
      <c r="GW158" s="142"/>
      <c r="GX158" s="142"/>
      <c r="GY158" s="142"/>
      <c r="GZ158" s="142"/>
      <c r="HA158" s="142"/>
      <c r="HB158" s="142"/>
      <c r="HC158" s="142"/>
      <c r="HD158" s="142"/>
      <c r="HE158" s="142"/>
      <c r="HF158" s="142"/>
      <c r="HG158" s="142"/>
      <c r="HH158" s="142"/>
      <c r="HI158" s="142"/>
      <c r="HJ158" s="142"/>
      <c r="HK158" s="142"/>
      <c r="HL158" s="142"/>
      <c r="HM158" s="142"/>
      <c r="HN158" s="142"/>
      <c r="HO158" s="142"/>
      <c r="HP158" s="142"/>
      <c r="HQ158" s="142"/>
      <c r="HR158" s="142"/>
      <c r="HS158" s="142"/>
      <c r="HT158" s="142"/>
      <c r="HU158" s="142"/>
      <c r="HV158" s="142"/>
      <c r="HW158" s="142"/>
      <c r="HX158" s="142"/>
      <c r="HY158" s="142"/>
      <c r="HZ158" s="142"/>
      <c r="IA158" s="142"/>
      <c r="IB158" s="142"/>
      <c r="IC158" s="142"/>
      <c r="ID158" s="142"/>
      <c r="IE158" s="142"/>
      <c r="IF158" s="142"/>
      <c r="IG158" s="142"/>
      <c r="IH158" s="142"/>
      <c r="II158" s="142"/>
      <c r="IJ158" s="142"/>
      <c r="IK158" s="142"/>
      <c r="IL158" s="142"/>
      <c r="IM158" s="142"/>
      <c r="IN158" s="142"/>
      <c r="IO158" s="142"/>
      <c r="IP158" s="142"/>
      <c r="IQ158" s="142"/>
      <c r="IR158" s="142"/>
      <c r="IS158" s="142"/>
      <c r="IT158" s="142"/>
      <c r="IU158" s="142"/>
      <c r="IV158" s="142"/>
    </row>
    <row r="159" spans="1:256" s="194" customFormat="1" x14ac:dyDescent="0.25">
      <c r="A159" s="148" t="s">
        <v>4787</v>
      </c>
      <c r="B159" s="150"/>
      <c r="C159" s="146"/>
      <c r="D159" s="146"/>
      <c r="E159" s="146">
        <f t="shared" si="8"/>
        <v>1.0087151618607233</v>
      </c>
      <c r="F159" s="432">
        <v>840.29100000000005</v>
      </c>
      <c r="G159" s="146">
        <f t="shared" si="9"/>
        <v>1.008550374793546</v>
      </c>
      <c r="H159" s="432">
        <v>952.596</v>
      </c>
      <c r="I159" s="142"/>
      <c r="J159" s="142"/>
      <c r="K159" s="142"/>
      <c r="L159" s="142"/>
      <c r="M159" s="142"/>
      <c r="N159" s="142"/>
      <c r="O159" s="142"/>
      <c r="P159" s="142"/>
      <c r="Q159" s="142"/>
      <c r="R159" s="142"/>
      <c r="S159" s="142"/>
      <c r="T159" s="142"/>
      <c r="U159" s="142"/>
      <c r="V159" s="142"/>
      <c r="W159" s="142"/>
      <c r="X159" s="142"/>
      <c r="Y159" s="142"/>
      <c r="Z159" s="142"/>
      <c r="AA159" s="142"/>
      <c r="AB159" s="142"/>
      <c r="AC159" s="142"/>
      <c r="AD159" s="142"/>
      <c r="AE159" s="142"/>
      <c r="AF159" s="142"/>
      <c r="AG159" s="142"/>
      <c r="AH159" s="142"/>
      <c r="AI159" s="142"/>
      <c r="AJ159" s="142"/>
      <c r="AK159" s="142"/>
      <c r="AL159" s="142"/>
      <c r="AM159" s="142"/>
      <c r="AN159" s="142"/>
      <c r="AO159" s="142"/>
      <c r="AP159" s="142"/>
      <c r="AQ159" s="142"/>
      <c r="AR159" s="142"/>
      <c r="AS159" s="142"/>
      <c r="AT159" s="142"/>
      <c r="AU159" s="142"/>
      <c r="AV159" s="142"/>
      <c r="AW159" s="142"/>
      <c r="AX159" s="142"/>
      <c r="AY159" s="142"/>
      <c r="AZ159" s="142"/>
      <c r="BA159" s="142"/>
      <c r="BB159" s="142"/>
      <c r="BC159" s="142"/>
      <c r="BD159" s="142"/>
      <c r="BE159" s="142"/>
      <c r="BF159" s="142"/>
      <c r="BG159" s="142"/>
      <c r="BH159" s="142"/>
      <c r="BI159" s="142"/>
      <c r="BJ159" s="142"/>
      <c r="BK159" s="142"/>
      <c r="BL159" s="142"/>
      <c r="BM159" s="142"/>
      <c r="BN159" s="142"/>
      <c r="BO159" s="142"/>
      <c r="BP159" s="142"/>
      <c r="BQ159" s="142"/>
      <c r="BR159" s="142"/>
      <c r="BS159" s="142"/>
      <c r="BT159" s="142"/>
      <c r="BU159" s="142"/>
      <c r="BV159" s="142"/>
      <c r="BW159" s="142"/>
      <c r="BX159" s="142"/>
      <c r="BY159" s="142"/>
      <c r="BZ159" s="142"/>
      <c r="CA159" s="142"/>
      <c r="CB159" s="142"/>
      <c r="CC159" s="142"/>
      <c r="CD159" s="142"/>
      <c r="CE159" s="142"/>
      <c r="CF159" s="142"/>
      <c r="CG159" s="142"/>
      <c r="CH159" s="142"/>
      <c r="CI159" s="142"/>
      <c r="CJ159" s="142"/>
      <c r="CK159" s="142"/>
      <c r="CL159" s="142"/>
      <c r="CM159" s="142"/>
      <c r="CN159" s="142"/>
      <c r="CO159" s="142"/>
      <c r="CP159" s="142"/>
      <c r="CQ159" s="142"/>
      <c r="CR159" s="142"/>
      <c r="CS159" s="142"/>
      <c r="CT159" s="142"/>
      <c r="CU159" s="142"/>
      <c r="CV159" s="142"/>
      <c r="CW159" s="142"/>
      <c r="CX159" s="142"/>
      <c r="CY159" s="142"/>
      <c r="CZ159" s="142"/>
      <c r="DA159" s="142"/>
      <c r="DB159" s="142"/>
      <c r="DC159" s="142"/>
      <c r="DD159" s="142"/>
      <c r="DE159" s="142"/>
      <c r="DF159" s="142"/>
      <c r="DG159" s="142"/>
      <c r="DH159" s="142"/>
      <c r="DI159" s="142"/>
      <c r="DJ159" s="142"/>
      <c r="DK159" s="142"/>
      <c r="DL159" s="142"/>
      <c r="DM159" s="142"/>
      <c r="DN159" s="142"/>
      <c r="DO159" s="142"/>
      <c r="DP159" s="142"/>
      <c r="DQ159" s="142"/>
      <c r="DR159" s="142"/>
      <c r="DS159" s="142"/>
      <c r="DT159" s="142"/>
      <c r="DU159" s="142"/>
      <c r="DV159" s="142"/>
      <c r="DW159" s="142"/>
      <c r="DX159" s="142"/>
      <c r="DY159" s="142"/>
      <c r="DZ159" s="142"/>
      <c r="EA159" s="142"/>
      <c r="EB159" s="142"/>
      <c r="EC159" s="142"/>
      <c r="ED159" s="142"/>
      <c r="EE159" s="142"/>
      <c r="EF159" s="142"/>
      <c r="EG159" s="142"/>
      <c r="EH159" s="142"/>
      <c r="EI159" s="142"/>
      <c r="EJ159" s="142"/>
      <c r="EK159" s="142"/>
      <c r="EL159" s="142"/>
      <c r="EM159" s="142"/>
      <c r="EN159" s="142"/>
      <c r="EO159" s="142"/>
      <c r="EP159" s="142"/>
      <c r="EQ159" s="142"/>
      <c r="ER159" s="142"/>
      <c r="ES159" s="142"/>
      <c r="ET159" s="142"/>
      <c r="EU159" s="142"/>
      <c r="EV159" s="142"/>
      <c r="EW159" s="142"/>
      <c r="EX159" s="142"/>
      <c r="EY159" s="142"/>
      <c r="EZ159" s="142"/>
      <c r="FA159" s="142"/>
      <c r="FB159" s="142"/>
      <c r="FC159" s="142"/>
      <c r="FD159" s="142"/>
      <c r="FE159" s="142"/>
      <c r="FF159" s="142"/>
      <c r="FG159" s="142"/>
      <c r="FH159" s="142"/>
      <c r="FI159" s="142"/>
      <c r="FJ159" s="142"/>
      <c r="FK159" s="142"/>
      <c r="FL159" s="142"/>
      <c r="FM159" s="142"/>
      <c r="FN159" s="142"/>
      <c r="FO159" s="142"/>
      <c r="FP159" s="142"/>
      <c r="FQ159" s="142"/>
      <c r="FR159" s="142"/>
      <c r="FS159" s="142"/>
      <c r="FT159" s="142"/>
      <c r="FU159" s="142"/>
      <c r="FV159" s="142"/>
      <c r="FW159" s="142"/>
      <c r="FX159" s="142"/>
      <c r="FY159" s="142"/>
      <c r="FZ159" s="142"/>
      <c r="GA159" s="142"/>
      <c r="GB159" s="142"/>
      <c r="GC159" s="142"/>
      <c r="GD159" s="142"/>
      <c r="GE159" s="142"/>
      <c r="GF159" s="142"/>
      <c r="GG159" s="142"/>
      <c r="GH159" s="142"/>
      <c r="GI159" s="142"/>
      <c r="GJ159" s="142"/>
      <c r="GK159" s="142"/>
      <c r="GL159" s="142"/>
      <c r="GM159" s="142"/>
      <c r="GN159" s="142"/>
      <c r="GO159" s="142"/>
      <c r="GP159" s="142"/>
      <c r="GQ159" s="142"/>
      <c r="GR159" s="142"/>
      <c r="GS159" s="142"/>
      <c r="GT159" s="142"/>
      <c r="GU159" s="142"/>
      <c r="GV159" s="142"/>
      <c r="GW159" s="142"/>
      <c r="GX159" s="142"/>
      <c r="GY159" s="142"/>
      <c r="GZ159" s="142"/>
      <c r="HA159" s="142"/>
      <c r="HB159" s="142"/>
      <c r="HC159" s="142"/>
      <c r="HD159" s="142"/>
      <c r="HE159" s="142"/>
      <c r="HF159" s="142"/>
      <c r="HG159" s="142"/>
      <c r="HH159" s="142"/>
      <c r="HI159" s="142"/>
      <c r="HJ159" s="142"/>
      <c r="HK159" s="142"/>
      <c r="HL159" s="142"/>
      <c r="HM159" s="142"/>
      <c r="HN159" s="142"/>
      <c r="HO159" s="142"/>
      <c r="HP159" s="142"/>
      <c r="HQ159" s="142"/>
      <c r="HR159" s="142"/>
      <c r="HS159" s="142"/>
      <c r="HT159" s="142"/>
      <c r="HU159" s="142"/>
      <c r="HV159" s="142"/>
      <c r="HW159" s="142"/>
      <c r="HX159" s="142"/>
      <c r="HY159" s="142"/>
      <c r="HZ159" s="142"/>
      <c r="IA159" s="142"/>
      <c r="IB159" s="142"/>
      <c r="IC159" s="142"/>
      <c r="ID159" s="142"/>
      <c r="IE159" s="142"/>
      <c r="IF159" s="142"/>
      <c r="IG159" s="142"/>
      <c r="IH159" s="142"/>
      <c r="II159" s="142"/>
      <c r="IJ159" s="142"/>
      <c r="IK159" s="142"/>
      <c r="IL159" s="142"/>
      <c r="IM159" s="142"/>
      <c r="IN159" s="142"/>
      <c r="IO159" s="142"/>
      <c r="IP159" s="142"/>
      <c r="IQ159" s="142"/>
      <c r="IR159" s="142"/>
      <c r="IS159" s="142"/>
      <c r="IT159" s="142"/>
      <c r="IU159" s="142"/>
      <c r="IV159" s="142"/>
    </row>
    <row r="160" spans="1:256" s="194" customFormat="1" x14ac:dyDescent="0.25">
      <c r="A160" s="148" t="s">
        <v>4788</v>
      </c>
      <c r="B160" s="150"/>
      <c r="C160" s="146"/>
      <c r="D160" s="146"/>
      <c r="E160" s="146">
        <f t="shared" si="8"/>
        <v>1.0249961025406673</v>
      </c>
      <c r="F160" s="432">
        <v>861.29499999999996</v>
      </c>
      <c r="G160" s="146">
        <f t="shared" si="9"/>
        <v>1.0067237317813638</v>
      </c>
      <c r="H160" s="432">
        <v>959.00099999999998</v>
      </c>
      <c r="I160" s="142"/>
      <c r="J160" s="142"/>
      <c r="K160" s="142"/>
      <c r="L160" s="142"/>
      <c r="M160" s="142"/>
      <c r="N160" s="142"/>
      <c r="O160" s="142"/>
      <c r="P160" s="142"/>
      <c r="Q160" s="142"/>
      <c r="R160" s="142"/>
      <c r="S160" s="142"/>
      <c r="T160" s="142"/>
      <c r="U160" s="142"/>
      <c r="V160" s="142"/>
      <c r="W160" s="142"/>
      <c r="X160" s="142"/>
      <c r="Y160" s="142"/>
      <c r="Z160" s="142"/>
      <c r="AA160" s="142"/>
      <c r="AB160" s="142"/>
      <c r="AC160" s="142"/>
      <c r="AD160" s="142"/>
      <c r="AE160" s="142"/>
      <c r="AF160" s="142"/>
      <c r="AG160" s="142"/>
      <c r="AH160" s="142"/>
      <c r="AI160" s="142"/>
      <c r="AJ160" s="142"/>
      <c r="AK160" s="142"/>
      <c r="AL160" s="142"/>
      <c r="AM160" s="142"/>
      <c r="AN160" s="142"/>
      <c r="AO160" s="142"/>
      <c r="AP160" s="142"/>
      <c r="AQ160" s="142"/>
      <c r="AR160" s="142"/>
      <c r="AS160" s="142"/>
      <c r="AT160" s="142"/>
      <c r="AU160" s="142"/>
      <c r="AV160" s="142"/>
      <c r="AW160" s="142"/>
      <c r="AX160" s="142"/>
      <c r="AY160" s="142"/>
      <c r="AZ160" s="142"/>
      <c r="BA160" s="142"/>
      <c r="BB160" s="142"/>
      <c r="BC160" s="142"/>
      <c r="BD160" s="142"/>
      <c r="BE160" s="142"/>
      <c r="BF160" s="142"/>
      <c r="BG160" s="142"/>
      <c r="BH160" s="142"/>
      <c r="BI160" s="142"/>
      <c r="BJ160" s="142"/>
      <c r="BK160" s="142"/>
      <c r="BL160" s="142"/>
      <c r="BM160" s="142"/>
      <c r="BN160" s="142"/>
      <c r="BO160" s="142"/>
      <c r="BP160" s="142"/>
      <c r="BQ160" s="142"/>
      <c r="BR160" s="142"/>
      <c r="BS160" s="142"/>
      <c r="BT160" s="142"/>
      <c r="BU160" s="142"/>
      <c r="BV160" s="142"/>
      <c r="BW160" s="142"/>
      <c r="BX160" s="142"/>
      <c r="BY160" s="142"/>
      <c r="BZ160" s="142"/>
      <c r="CA160" s="142"/>
      <c r="CB160" s="142"/>
      <c r="CC160" s="142"/>
      <c r="CD160" s="142"/>
      <c r="CE160" s="142"/>
      <c r="CF160" s="142"/>
      <c r="CG160" s="142"/>
      <c r="CH160" s="142"/>
      <c r="CI160" s="142"/>
      <c r="CJ160" s="142"/>
      <c r="CK160" s="142"/>
      <c r="CL160" s="142"/>
      <c r="CM160" s="142"/>
      <c r="CN160" s="142"/>
      <c r="CO160" s="142"/>
      <c r="CP160" s="142"/>
      <c r="CQ160" s="142"/>
      <c r="CR160" s="142"/>
      <c r="CS160" s="142"/>
      <c r="CT160" s="142"/>
      <c r="CU160" s="142"/>
      <c r="CV160" s="142"/>
      <c r="CW160" s="142"/>
      <c r="CX160" s="142"/>
      <c r="CY160" s="142"/>
      <c r="CZ160" s="142"/>
      <c r="DA160" s="142"/>
      <c r="DB160" s="142"/>
      <c r="DC160" s="142"/>
      <c r="DD160" s="142"/>
      <c r="DE160" s="142"/>
      <c r="DF160" s="142"/>
      <c r="DG160" s="142"/>
      <c r="DH160" s="142"/>
      <c r="DI160" s="142"/>
      <c r="DJ160" s="142"/>
      <c r="DK160" s="142"/>
      <c r="DL160" s="142"/>
      <c r="DM160" s="142"/>
      <c r="DN160" s="142"/>
      <c r="DO160" s="142"/>
      <c r="DP160" s="142"/>
      <c r="DQ160" s="142"/>
      <c r="DR160" s="142"/>
      <c r="DS160" s="142"/>
      <c r="DT160" s="142"/>
      <c r="DU160" s="142"/>
      <c r="DV160" s="142"/>
      <c r="DW160" s="142"/>
      <c r="DX160" s="142"/>
      <c r="DY160" s="142"/>
      <c r="DZ160" s="142"/>
      <c r="EA160" s="142"/>
      <c r="EB160" s="142"/>
      <c r="EC160" s="142"/>
      <c r="ED160" s="142"/>
      <c r="EE160" s="142"/>
      <c r="EF160" s="142"/>
      <c r="EG160" s="142"/>
      <c r="EH160" s="142"/>
      <c r="EI160" s="142"/>
      <c r="EJ160" s="142"/>
      <c r="EK160" s="142"/>
      <c r="EL160" s="142"/>
      <c r="EM160" s="142"/>
      <c r="EN160" s="142"/>
      <c r="EO160" s="142"/>
      <c r="EP160" s="142"/>
      <c r="EQ160" s="142"/>
      <c r="ER160" s="142"/>
      <c r="ES160" s="142"/>
      <c r="ET160" s="142"/>
      <c r="EU160" s="142"/>
      <c r="EV160" s="142"/>
      <c r="EW160" s="142"/>
      <c r="EX160" s="142"/>
      <c r="EY160" s="142"/>
      <c r="EZ160" s="142"/>
      <c r="FA160" s="142"/>
      <c r="FB160" s="142"/>
      <c r="FC160" s="142"/>
      <c r="FD160" s="142"/>
      <c r="FE160" s="142"/>
      <c r="FF160" s="142"/>
      <c r="FG160" s="142"/>
      <c r="FH160" s="142"/>
      <c r="FI160" s="142"/>
      <c r="FJ160" s="142"/>
      <c r="FK160" s="142"/>
      <c r="FL160" s="142"/>
      <c r="FM160" s="142"/>
      <c r="FN160" s="142"/>
      <c r="FO160" s="142"/>
      <c r="FP160" s="142"/>
      <c r="FQ160" s="142"/>
      <c r="FR160" s="142"/>
      <c r="FS160" s="142"/>
      <c r="FT160" s="142"/>
      <c r="FU160" s="142"/>
      <c r="FV160" s="142"/>
      <c r="FW160" s="142"/>
      <c r="FX160" s="142"/>
      <c r="FY160" s="142"/>
      <c r="FZ160" s="142"/>
      <c r="GA160" s="142"/>
      <c r="GB160" s="142"/>
      <c r="GC160" s="142"/>
      <c r="GD160" s="142"/>
      <c r="GE160" s="142"/>
      <c r="GF160" s="142"/>
      <c r="GG160" s="142"/>
      <c r="GH160" s="142"/>
      <c r="GI160" s="142"/>
      <c r="GJ160" s="142"/>
      <c r="GK160" s="142"/>
      <c r="GL160" s="142"/>
      <c r="GM160" s="142"/>
      <c r="GN160" s="142"/>
      <c r="GO160" s="142"/>
      <c r="GP160" s="142"/>
      <c r="GQ160" s="142"/>
      <c r="GR160" s="142"/>
      <c r="GS160" s="142"/>
      <c r="GT160" s="142"/>
      <c r="GU160" s="142"/>
      <c r="GV160" s="142"/>
      <c r="GW160" s="142"/>
      <c r="GX160" s="142"/>
      <c r="GY160" s="142"/>
      <c r="GZ160" s="142"/>
      <c r="HA160" s="142"/>
      <c r="HB160" s="142"/>
      <c r="HC160" s="142"/>
      <c r="HD160" s="142"/>
      <c r="HE160" s="142"/>
      <c r="HF160" s="142"/>
      <c r="HG160" s="142"/>
      <c r="HH160" s="142"/>
      <c r="HI160" s="142"/>
      <c r="HJ160" s="142"/>
      <c r="HK160" s="142"/>
      <c r="HL160" s="142"/>
      <c r="HM160" s="142"/>
      <c r="HN160" s="142"/>
      <c r="HO160" s="142"/>
      <c r="HP160" s="142"/>
      <c r="HQ160" s="142"/>
      <c r="HR160" s="142"/>
      <c r="HS160" s="142"/>
      <c r="HT160" s="142"/>
      <c r="HU160" s="142"/>
      <c r="HV160" s="142"/>
      <c r="HW160" s="142"/>
      <c r="HX160" s="142"/>
      <c r="HY160" s="142"/>
      <c r="HZ160" s="142"/>
      <c r="IA160" s="142"/>
      <c r="IB160" s="142"/>
      <c r="IC160" s="142"/>
      <c r="ID160" s="142"/>
      <c r="IE160" s="142"/>
      <c r="IF160" s="142"/>
      <c r="IG160" s="142"/>
      <c r="IH160" s="142"/>
      <c r="II160" s="142"/>
      <c r="IJ160" s="142"/>
      <c r="IK160" s="142"/>
      <c r="IL160" s="142"/>
      <c r="IM160" s="142"/>
      <c r="IN160" s="142"/>
      <c r="IO160" s="142"/>
      <c r="IP160" s="142"/>
      <c r="IQ160" s="142"/>
      <c r="IR160" s="142"/>
      <c r="IS160" s="142"/>
      <c r="IT160" s="142"/>
      <c r="IU160" s="142"/>
      <c r="IV160" s="142"/>
    </row>
    <row r="161" spans="1:256" s="194" customFormat="1" x14ac:dyDescent="0.25">
      <c r="A161" s="148" t="s">
        <v>4789</v>
      </c>
      <c r="B161" s="150"/>
      <c r="C161" s="146"/>
      <c r="D161" s="146"/>
      <c r="E161" s="146">
        <f t="shared" si="8"/>
        <v>1.0045605744837716</v>
      </c>
      <c r="F161" s="432">
        <v>865.22299999999996</v>
      </c>
      <c r="G161" s="146">
        <f t="shared" si="9"/>
        <v>1.0034619359103902</v>
      </c>
      <c r="H161" s="432">
        <v>962.32100000000003</v>
      </c>
      <c r="I161" s="142"/>
      <c r="J161" s="142"/>
      <c r="K161" s="142"/>
      <c r="L161" s="142"/>
      <c r="M161" s="142"/>
      <c r="N161" s="142"/>
      <c r="O161" s="142"/>
      <c r="P161" s="142"/>
      <c r="Q161" s="142"/>
      <c r="R161" s="142"/>
      <c r="S161" s="142"/>
      <c r="T161" s="142"/>
      <c r="U161" s="142"/>
      <c r="V161" s="142"/>
      <c r="W161" s="142"/>
      <c r="X161" s="142"/>
      <c r="Y161" s="142"/>
      <c r="Z161" s="142"/>
      <c r="AA161" s="142"/>
      <c r="AB161" s="142"/>
      <c r="AC161" s="142"/>
      <c r="AD161" s="142"/>
      <c r="AE161" s="142"/>
      <c r="AF161" s="142"/>
      <c r="AG161" s="142"/>
      <c r="AH161" s="142"/>
      <c r="AI161" s="142"/>
      <c r="AJ161" s="142"/>
      <c r="AK161" s="142"/>
      <c r="AL161" s="142"/>
      <c r="AM161" s="142"/>
      <c r="AN161" s="142"/>
      <c r="AO161" s="142"/>
      <c r="AP161" s="142"/>
      <c r="AQ161" s="142"/>
      <c r="AR161" s="142"/>
      <c r="AS161" s="142"/>
      <c r="AT161" s="142"/>
      <c r="AU161" s="142"/>
      <c r="AV161" s="142"/>
      <c r="AW161" s="142"/>
      <c r="AX161" s="142"/>
      <c r="AY161" s="142"/>
      <c r="AZ161" s="142"/>
      <c r="BA161" s="142"/>
      <c r="BB161" s="142"/>
      <c r="BC161" s="142"/>
      <c r="BD161" s="142"/>
      <c r="BE161" s="142"/>
      <c r="BF161" s="142"/>
      <c r="BG161" s="142"/>
      <c r="BH161" s="142"/>
      <c r="BI161" s="142"/>
      <c r="BJ161" s="142"/>
      <c r="BK161" s="142"/>
      <c r="BL161" s="142"/>
      <c r="BM161" s="142"/>
      <c r="BN161" s="142"/>
      <c r="BO161" s="142"/>
      <c r="BP161" s="142"/>
      <c r="BQ161" s="142"/>
      <c r="BR161" s="142"/>
      <c r="BS161" s="142"/>
      <c r="BT161" s="142"/>
      <c r="BU161" s="142"/>
      <c r="BV161" s="142"/>
      <c r="BW161" s="142"/>
      <c r="BX161" s="142"/>
      <c r="BY161" s="142"/>
      <c r="BZ161" s="142"/>
      <c r="CA161" s="142"/>
      <c r="CB161" s="142"/>
      <c r="CC161" s="142"/>
      <c r="CD161" s="142"/>
      <c r="CE161" s="142"/>
      <c r="CF161" s="142"/>
      <c r="CG161" s="142"/>
      <c r="CH161" s="142"/>
      <c r="CI161" s="142"/>
      <c r="CJ161" s="142"/>
      <c r="CK161" s="142"/>
      <c r="CL161" s="142"/>
      <c r="CM161" s="142"/>
      <c r="CN161" s="142"/>
      <c r="CO161" s="142"/>
      <c r="CP161" s="142"/>
      <c r="CQ161" s="142"/>
      <c r="CR161" s="142"/>
      <c r="CS161" s="142"/>
      <c r="CT161" s="142"/>
      <c r="CU161" s="142"/>
      <c r="CV161" s="142"/>
      <c r="CW161" s="142"/>
      <c r="CX161" s="142"/>
      <c r="CY161" s="142"/>
      <c r="CZ161" s="142"/>
      <c r="DA161" s="142"/>
      <c r="DB161" s="142"/>
      <c r="DC161" s="142"/>
      <c r="DD161" s="142"/>
      <c r="DE161" s="142"/>
      <c r="DF161" s="142"/>
      <c r="DG161" s="142"/>
      <c r="DH161" s="142"/>
      <c r="DI161" s="142"/>
      <c r="DJ161" s="142"/>
      <c r="DK161" s="142"/>
      <c r="DL161" s="142"/>
      <c r="DM161" s="142"/>
      <c r="DN161" s="142"/>
      <c r="DO161" s="142"/>
      <c r="DP161" s="142"/>
      <c r="DQ161" s="142"/>
      <c r="DR161" s="142"/>
      <c r="DS161" s="142"/>
      <c r="DT161" s="142"/>
      <c r="DU161" s="142"/>
      <c r="DV161" s="142"/>
      <c r="DW161" s="142"/>
      <c r="DX161" s="142"/>
      <c r="DY161" s="142"/>
      <c r="DZ161" s="142"/>
      <c r="EA161" s="142"/>
      <c r="EB161" s="142"/>
      <c r="EC161" s="142"/>
      <c r="ED161" s="142"/>
      <c r="EE161" s="142"/>
      <c r="EF161" s="142"/>
      <c r="EG161" s="142"/>
      <c r="EH161" s="142"/>
      <c r="EI161" s="142"/>
      <c r="EJ161" s="142"/>
      <c r="EK161" s="142"/>
      <c r="EL161" s="142"/>
      <c r="EM161" s="142"/>
      <c r="EN161" s="142"/>
      <c r="EO161" s="142"/>
      <c r="EP161" s="142"/>
      <c r="EQ161" s="142"/>
      <c r="ER161" s="142"/>
      <c r="ES161" s="142"/>
      <c r="ET161" s="142"/>
      <c r="EU161" s="142"/>
      <c r="EV161" s="142"/>
      <c r="EW161" s="142"/>
      <c r="EX161" s="142"/>
      <c r="EY161" s="142"/>
      <c r="EZ161" s="142"/>
      <c r="FA161" s="142"/>
      <c r="FB161" s="142"/>
      <c r="FC161" s="142"/>
      <c r="FD161" s="142"/>
      <c r="FE161" s="142"/>
      <c r="FF161" s="142"/>
      <c r="FG161" s="142"/>
      <c r="FH161" s="142"/>
      <c r="FI161" s="142"/>
      <c r="FJ161" s="142"/>
      <c r="FK161" s="142"/>
      <c r="FL161" s="142"/>
      <c r="FM161" s="142"/>
      <c r="FN161" s="142"/>
      <c r="FO161" s="142"/>
      <c r="FP161" s="142"/>
      <c r="FQ161" s="142"/>
      <c r="FR161" s="142"/>
      <c r="FS161" s="142"/>
      <c r="FT161" s="142"/>
      <c r="FU161" s="142"/>
      <c r="FV161" s="142"/>
      <c r="FW161" s="142"/>
      <c r="FX161" s="142"/>
      <c r="FY161" s="142"/>
      <c r="FZ161" s="142"/>
      <c r="GA161" s="142"/>
      <c r="GB161" s="142"/>
      <c r="GC161" s="142"/>
      <c r="GD161" s="142"/>
      <c r="GE161" s="142"/>
      <c r="GF161" s="142"/>
      <c r="GG161" s="142"/>
      <c r="GH161" s="142"/>
      <c r="GI161" s="142"/>
      <c r="GJ161" s="142"/>
      <c r="GK161" s="142"/>
      <c r="GL161" s="142"/>
      <c r="GM161" s="142"/>
      <c r="GN161" s="142"/>
      <c r="GO161" s="142"/>
      <c r="GP161" s="142"/>
      <c r="GQ161" s="142"/>
      <c r="GR161" s="142"/>
      <c r="GS161" s="142"/>
      <c r="GT161" s="142"/>
      <c r="GU161" s="142"/>
      <c r="GV161" s="142"/>
      <c r="GW161" s="142"/>
      <c r="GX161" s="142"/>
      <c r="GY161" s="142"/>
      <c r="GZ161" s="142"/>
      <c r="HA161" s="142"/>
      <c r="HB161" s="142"/>
      <c r="HC161" s="142"/>
      <c r="HD161" s="142"/>
      <c r="HE161" s="142"/>
      <c r="HF161" s="142"/>
      <c r="HG161" s="142"/>
      <c r="HH161" s="142"/>
      <c r="HI161" s="142"/>
      <c r="HJ161" s="142"/>
      <c r="HK161" s="142"/>
      <c r="HL161" s="142"/>
      <c r="HM161" s="142"/>
      <c r="HN161" s="142"/>
      <c r="HO161" s="142"/>
      <c r="HP161" s="142"/>
      <c r="HQ161" s="142"/>
      <c r="HR161" s="142"/>
      <c r="HS161" s="142"/>
      <c r="HT161" s="142"/>
      <c r="HU161" s="142"/>
      <c r="HV161" s="142"/>
      <c r="HW161" s="142"/>
      <c r="HX161" s="142"/>
      <c r="HY161" s="142"/>
      <c r="HZ161" s="142"/>
      <c r="IA161" s="142"/>
      <c r="IB161" s="142"/>
      <c r="IC161" s="142"/>
      <c r="ID161" s="142"/>
      <c r="IE161" s="142"/>
      <c r="IF161" s="142"/>
      <c r="IG161" s="142"/>
      <c r="IH161" s="142"/>
      <c r="II161" s="142"/>
      <c r="IJ161" s="142"/>
      <c r="IK161" s="142"/>
      <c r="IL161" s="142"/>
      <c r="IM161" s="142"/>
      <c r="IN161" s="142"/>
      <c r="IO161" s="142"/>
      <c r="IP161" s="142"/>
      <c r="IQ161" s="142"/>
      <c r="IR161" s="142"/>
      <c r="IS161" s="142"/>
      <c r="IT161" s="142"/>
      <c r="IU161" s="142"/>
      <c r="IV161" s="142"/>
    </row>
    <row r="162" spans="1:256" s="194" customFormat="1" x14ac:dyDescent="0.25">
      <c r="A162" s="148" t="s">
        <v>4790</v>
      </c>
      <c r="B162" s="150"/>
      <c r="C162" s="146"/>
      <c r="D162" s="146"/>
      <c r="E162" s="146">
        <f t="shared" si="8"/>
        <v>1.0055072507318923</v>
      </c>
      <c r="F162" s="432">
        <v>869.98800000000006</v>
      </c>
      <c r="G162" s="146">
        <f t="shared" si="9"/>
        <v>1.0071317159243121</v>
      </c>
      <c r="H162" s="432">
        <v>969.18399999999997</v>
      </c>
      <c r="I162" s="142"/>
      <c r="J162" s="142"/>
      <c r="K162" s="142"/>
      <c r="L162" s="142"/>
      <c r="M162" s="142"/>
      <c r="N162" s="142"/>
      <c r="O162" s="142"/>
      <c r="P162" s="142"/>
      <c r="Q162" s="142"/>
      <c r="R162" s="142"/>
      <c r="S162" s="142"/>
      <c r="T162" s="142"/>
      <c r="U162" s="142"/>
      <c r="V162" s="142"/>
      <c r="W162" s="142"/>
      <c r="X162" s="142"/>
      <c r="Y162" s="142"/>
      <c r="Z162" s="142"/>
      <c r="AA162" s="142"/>
      <c r="AB162" s="142"/>
      <c r="AC162" s="142"/>
      <c r="AD162" s="142"/>
      <c r="AE162" s="142"/>
      <c r="AF162" s="142"/>
      <c r="AG162" s="142"/>
      <c r="AH162" s="142"/>
      <c r="AI162" s="142"/>
      <c r="AJ162" s="142"/>
      <c r="AK162" s="142"/>
      <c r="AL162" s="142"/>
      <c r="AM162" s="142"/>
      <c r="AN162" s="142"/>
      <c r="AO162" s="142"/>
      <c r="AP162" s="142"/>
      <c r="AQ162" s="142"/>
      <c r="AR162" s="142"/>
      <c r="AS162" s="142"/>
      <c r="AT162" s="142"/>
      <c r="AU162" s="142"/>
      <c r="AV162" s="142"/>
      <c r="AW162" s="142"/>
      <c r="AX162" s="142"/>
      <c r="AY162" s="142"/>
      <c r="AZ162" s="142"/>
      <c r="BA162" s="142"/>
      <c r="BB162" s="142"/>
      <c r="BC162" s="142"/>
      <c r="BD162" s="142"/>
      <c r="BE162" s="142"/>
      <c r="BF162" s="142"/>
      <c r="BG162" s="142"/>
      <c r="BH162" s="142"/>
      <c r="BI162" s="142"/>
      <c r="BJ162" s="142"/>
      <c r="BK162" s="142"/>
      <c r="BL162" s="142"/>
      <c r="BM162" s="142"/>
      <c r="BN162" s="142"/>
      <c r="BO162" s="142"/>
      <c r="BP162" s="142"/>
      <c r="BQ162" s="142"/>
      <c r="BR162" s="142"/>
      <c r="BS162" s="142"/>
      <c r="BT162" s="142"/>
      <c r="BU162" s="142"/>
      <c r="BV162" s="142"/>
      <c r="BW162" s="142"/>
      <c r="BX162" s="142"/>
      <c r="BY162" s="142"/>
      <c r="BZ162" s="142"/>
      <c r="CA162" s="142"/>
      <c r="CB162" s="142"/>
      <c r="CC162" s="142"/>
      <c r="CD162" s="142"/>
      <c r="CE162" s="142"/>
      <c r="CF162" s="142"/>
      <c r="CG162" s="142"/>
      <c r="CH162" s="142"/>
      <c r="CI162" s="142"/>
      <c r="CJ162" s="142"/>
      <c r="CK162" s="142"/>
      <c r="CL162" s="142"/>
      <c r="CM162" s="142"/>
      <c r="CN162" s="142"/>
      <c r="CO162" s="142"/>
      <c r="CP162" s="142"/>
      <c r="CQ162" s="142"/>
      <c r="CR162" s="142"/>
      <c r="CS162" s="142"/>
      <c r="CT162" s="142"/>
      <c r="CU162" s="142"/>
      <c r="CV162" s="142"/>
      <c r="CW162" s="142"/>
      <c r="CX162" s="142"/>
      <c r="CY162" s="142"/>
      <c r="CZ162" s="142"/>
      <c r="DA162" s="142"/>
      <c r="DB162" s="142"/>
      <c r="DC162" s="142"/>
      <c r="DD162" s="142"/>
      <c r="DE162" s="142"/>
      <c r="DF162" s="142"/>
      <c r="DG162" s="142"/>
      <c r="DH162" s="142"/>
      <c r="DI162" s="142"/>
      <c r="DJ162" s="142"/>
      <c r="DK162" s="142"/>
      <c r="DL162" s="142"/>
      <c r="DM162" s="142"/>
      <c r="DN162" s="142"/>
      <c r="DO162" s="142"/>
      <c r="DP162" s="142"/>
      <c r="DQ162" s="142"/>
      <c r="DR162" s="142"/>
      <c r="DS162" s="142"/>
      <c r="DT162" s="142"/>
      <c r="DU162" s="142"/>
      <c r="DV162" s="142"/>
      <c r="DW162" s="142"/>
      <c r="DX162" s="142"/>
      <c r="DY162" s="142"/>
      <c r="DZ162" s="142"/>
      <c r="EA162" s="142"/>
      <c r="EB162" s="142"/>
      <c r="EC162" s="142"/>
      <c r="ED162" s="142"/>
      <c r="EE162" s="142"/>
      <c r="EF162" s="142"/>
      <c r="EG162" s="142"/>
      <c r="EH162" s="142"/>
      <c r="EI162" s="142"/>
      <c r="EJ162" s="142"/>
      <c r="EK162" s="142"/>
      <c r="EL162" s="142"/>
      <c r="EM162" s="142"/>
      <c r="EN162" s="142"/>
      <c r="EO162" s="142"/>
      <c r="EP162" s="142"/>
      <c r="EQ162" s="142"/>
      <c r="ER162" s="142"/>
      <c r="ES162" s="142"/>
      <c r="ET162" s="142"/>
      <c r="EU162" s="142"/>
      <c r="EV162" s="142"/>
      <c r="EW162" s="142"/>
      <c r="EX162" s="142"/>
      <c r="EY162" s="142"/>
      <c r="EZ162" s="142"/>
      <c r="FA162" s="142"/>
      <c r="FB162" s="142"/>
      <c r="FC162" s="142"/>
      <c r="FD162" s="142"/>
      <c r="FE162" s="142"/>
      <c r="FF162" s="142"/>
      <c r="FG162" s="142"/>
      <c r="FH162" s="142"/>
      <c r="FI162" s="142"/>
      <c r="FJ162" s="142"/>
      <c r="FK162" s="142"/>
      <c r="FL162" s="142"/>
      <c r="FM162" s="142"/>
      <c r="FN162" s="142"/>
      <c r="FO162" s="142"/>
      <c r="FP162" s="142"/>
      <c r="FQ162" s="142"/>
      <c r="FR162" s="142"/>
      <c r="FS162" s="142"/>
      <c r="FT162" s="142"/>
      <c r="FU162" s="142"/>
      <c r="FV162" s="142"/>
      <c r="FW162" s="142"/>
      <c r="FX162" s="142"/>
      <c r="FY162" s="142"/>
      <c r="FZ162" s="142"/>
      <c r="GA162" s="142"/>
      <c r="GB162" s="142"/>
      <c r="GC162" s="142"/>
      <c r="GD162" s="142"/>
      <c r="GE162" s="142"/>
      <c r="GF162" s="142"/>
      <c r="GG162" s="142"/>
      <c r="GH162" s="142"/>
      <c r="GI162" s="142"/>
      <c r="GJ162" s="142"/>
      <c r="GK162" s="142"/>
      <c r="GL162" s="142"/>
      <c r="GM162" s="142"/>
      <c r="GN162" s="142"/>
      <c r="GO162" s="142"/>
      <c r="GP162" s="142"/>
      <c r="GQ162" s="142"/>
      <c r="GR162" s="142"/>
      <c r="GS162" s="142"/>
      <c r="GT162" s="142"/>
      <c r="GU162" s="142"/>
      <c r="GV162" s="142"/>
      <c r="GW162" s="142"/>
      <c r="GX162" s="142"/>
      <c r="GY162" s="142"/>
      <c r="GZ162" s="142"/>
      <c r="HA162" s="142"/>
      <c r="HB162" s="142"/>
      <c r="HC162" s="142"/>
      <c r="HD162" s="142"/>
      <c r="HE162" s="142"/>
      <c r="HF162" s="142"/>
      <c r="HG162" s="142"/>
      <c r="HH162" s="142"/>
      <c r="HI162" s="142"/>
      <c r="HJ162" s="142"/>
      <c r="HK162" s="142"/>
      <c r="HL162" s="142"/>
      <c r="HM162" s="142"/>
      <c r="HN162" s="142"/>
      <c r="HO162" s="142"/>
      <c r="HP162" s="142"/>
      <c r="HQ162" s="142"/>
      <c r="HR162" s="142"/>
      <c r="HS162" s="142"/>
      <c r="HT162" s="142"/>
      <c r="HU162" s="142"/>
      <c r="HV162" s="142"/>
      <c r="HW162" s="142"/>
      <c r="HX162" s="142"/>
      <c r="HY162" s="142"/>
      <c r="HZ162" s="142"/>
      <c r="IA162" s="142"/>
      <c r="IB162" s="142"/>
      <c r="IC162" s="142"/>
      <c r="ID162" s="142"/>
      <c r="IE162" s="142"/>
      <c r="IF162" s="142"/>
      <c r="IG162" s="142"/>
      <c r="IH162" s="142"/>
      <c r="II162" s="142"/>
      <c r="IJ162" s="142"/>
      <c r="IK162" s="142"/>
      <c r="IL162" s="142"/>
      <c r="IM162" s="142"/>
      <c r="IN162" s="142"/>
      <c r="IO162" s="142"/>
      <c r="IP162" s="142"/>
      <c r="IQ162" s="142"/>
      <c r="IR162" s="142"/>
      <c r="IS162" s="142"/>
      <c r="IT162" s="142"/>
      <c r="IU162" s="142"/>
      <c r="IV162" s="142"/>
    </row>
    <row r="163" spans="1:256" s="194" customFormat="1" x14ac:dyDescent="0.25">
      <c r="A163" s="148" t="s">
        <v>4791</v>
      </c>
      <c r="B163" s="150"/>
      <c r="C163" s="146"/>
      <c r="D163" s="146"/>
      <c r="E163" s="146">
        <f t="shared" si="8"/>
        <v>1.0021460066115855</v>
      </c>
      <c r="F163" s="432">
        <v>871.85500000000002</v>
      </c>
      <c r="G163" s="146">
        <f t="shared" si="9"/>
        <v>1.0038382804503583</v>
      </c>
      <c r="H163" s="432">
        <v>972.904</v>
      </c>
      <c r="I163" s="142"/>
      <c r="J163" s="142"/>
      <c r="K163" s="142"/>
      <c r="L163" s="142"/>
      <c r="M163" s="142"/>
      <c r="N163" s="142"/>
      <c r="O163" s="142"/>
      <c r="P163" s="142"/>
      <c r="Q163" s="142"/>
      <c r="R163" s="142"/>
      <c r="S163" s="142"/>
      <c r="T163" s="142"/>
      <c r="U163" s="142"/>
      <c r="V163" s="142"/>
      <c r="W163" s="142"/>
      <c r="X163" s="142"/>
      <c r="Y163" s="142"/>
      <c r="Z163" s="142"/>
      <c r="AA163" s="142"/>
      <c r="AB163" s="142"/>
      <c r="AC163" s="142"/>
      <c r="AD163" s="142"/>
      <c r="AE163" s="142"/>
      <c r="AF163" s="142"/>
      <c r="AG163" s="142"/>
      <c r="AH163" s="142"/>
      <c r="AI163" s="142"/>
      <c r="AJ163" s="142"/>
      <c r="AK163" s="142"/>
      <c r="AL163" s="142"/>
      <c r="AM163" s="142"/>
      <c r="AN163" s="142"/>
      <c r="AO163" s="142"/>
      <c r="AP163" s="142"/>
      <c r="AQ163" s="142"/>
      <c r="AR163" s="142"/>
      <c r="AS163" s="142"/>
      <c r="AT163" s="142"/>
      <c r="AU163" s="142"/>
      <c r="AV163" s="142"/>
      <c r="AW163" s="142"/>
      <c r="AX163" s="142"/>
      <c r="AY163" s="142"/>
      <c r="AZ163" s="142"/>
      <c r="BA163" s="142"/>
      <c r="BB163" s="142"/>
      <c r="BC163" s="142"/>
      <c r="BD163" s="142"/>
      <c r="BE163" s="142"/>
      <c r="BF163" s="142"/>
      <c r="BG163" s="142"/>
      <c r="BH163" s="142"/>
      <c r="BI163" s="142"/>
      <c r="BJ163" s="142"/>
      <c r="BK163" s="142"/>
      <c r="BL163" s="142"/>
      <c r="BM163" s="142"/>
      <c r="BN163" s="142"/>
      <c r="BO163" s="142"/>
      <c r="BP163" s="142"/>
      <c r="BQ163" s="142"/>
      <c r="BR163" s="142"/>
      <c r="BS163" s="142"/>
      <c r="BT163" s="142"/>
      <c r="BU163" s="142"/>
      <c r="BV163" s="142"/>
      <c r="BW163" s="142"/>
      <c r="BX163" s="142"/>
      <c r="BY163" s="142"/>
      <c r="BZ163" s="142"/>
      <c r="CA163" s="142"/>
      <c r="CB163" s="142"/>
      <c r="CC163" s="142"/>
      <c r="CD163" s="142"/>
      <c r="CE163" s="142"/>
      <c r="CF163" s="142"/>
      <c r="CG163" s="142"/>
      <c r="CH163" s="142"/>
      <c r="CI163" s="142"/>
      <c r="CJ163" s="142"/>
      <c r="CK163" s="142"/>
      <c r="CL163" s="142"/>
      <c r="CM163" s="142"/>
      <c r="CN163" s="142"/>
      <c r="CO163" s="142"/>
      <c r="CP163" s="142"/>
      <c r="CQ163" s="142"/>
      <c r="CR163" s="142"/>
      <c r="CS163" s="142"/>
      <c r="CT163" s="142"/>
      <c r="CU163" s="142"/>
      <c r="CV163" s="142"/>
      <c r="CW163" s="142"/>
      <c r="CX163" s="142"/>
      <c r="CY163" s="142"/>
      <c r="CZ163" s="142"/>
      <c r="DA163" s="142"/>
      <c r="DB163" s="142"/>
      <c r="DC163" s="142"/>
      <c r="DD163" s="142"/>
      <c r="DE163" s="142"/>
      <c r="DF163" s="142"/>
      <c r="DG163" s="142"/>
      <c r="DH163" s="142"/>
      <c r="DI163" s="142"/>
      <c r="DJ163" s="142"/>
      <c r="DK163" s="142"/>
      <c r="DL163" s="142"/>
      <c r="DM163" s="142"/>
      <c r="DN163" s="142"/>
      <c r="DO163" s="142"/>
      <c r="DP163" s="142"/>
      <c r="DQ163" s="142"/>
      <c r="DR163" s="142"/>
      <c r="DS163" s="142"/>
      <c r="DT163" s="142"/>
      <c r="DU163" s="142"/>
      <c r="DV163" s="142"/>
      <c r="DW163" s="142"/>
      <c r="DX163" s="142"/>
      <c r="DY163" s="142"/>
      <c r="DZ163" s="142"/>
      <c r="EA163" s="142"/>
      <c r="EB163" s="142"/>
      <c r="EC163" s="142"/>
      <c r="ED163" s="142"/>
      <c r="EE163" s="142"/>
      <c r="EF163" s="142"/>
      <c r="EG163" s="142"/>
      <c r="EH163" s="142"/>
      <c r="EI163" s="142"/>
      <c r="EJ163" s="142"/>
      <c r="EK163" s="142"/>
      <c r="EL163" s="142"/>
      <c r="EM163" s="142"/>
      <c r="EN163" s="142"/>
      <c r="EO163" s="142"/>
      <c r="EP163" s="142"/>
      <c r="EQ163" s="142"/>
      <c r="ER163" s="142"/>
      <c r="ES163" s="142"/>
      <c r="ET163" s="142"/>
      <c r="EU163" s="142"/>
      <c r="EV163" s="142"/>
      <c r="EW163" s="142"/>
      <c r="EX163" s="142"/>
      <c r="EY163" s="142"/>
      <c r="EZ163" s="142"/>
      <c r="FA163" s="142"/>
      <c r="FB163" s="142"/>
      <c r="FC163" s="142"/>
      <c r="FD163" s="142"/>
      <c r="FE163" s="142"/>
      <c r="FF163" s="142"/>
      <c r="FG163" s="142"/>
      <c r="FH163" s="142"/>
      <c r="FI163" s="142"/>
      <c r="FJ163" s="142"/>
      <c r="FK163" s="142"/>
      <c r="FL163" s="142"/>
      <c r="FM163" s="142"/>
      <c r="FN163" s="142"/>
      <c r="FO163" s="142"/>
      <c r="FP163" s="142"/>
      <c r="FQ163" s="142"/>
      <c r="FR163" s="142"/>
      <c r="FS163" s="142"/>
      <c r="FT163" s="142"/>
      <c r="FU163" s="142"/>
      <c r="FV163" s="142"/>
      <c r="FW163" s="142"/>
      <c r="FX163" s="142"/>
      <c r="FY163" s="142"/>
      <c r="FZ163" s="142"/>
      <c r="GA163" s="142"/>
      <c r="GB163" s="142"/>
      <c r="GC163" s="142"/>
      <c r="GD163" s="142"/>
      <c r="GE163" s="142"/>
      <c r="GF163" s="142"/>
      <c r="GG163" s="142"/>
      <c r="GH163" s="142"/>
      <c r="GI163" s="142"/>
      <c r="GJ163" s="142"/>
      <c r="GK163" s="142"/>
      <c r="GL163" s="142"/>
      <c r="GM163" s="142"/>
      <c r="GN163" s="142"/>
      <c r="GO163" s="142"/>
      <c r="GP163" s="142"/>
      <c r="GQ163" s="142"/>
      <c r="GR163" s="142"/>
      <c r="GS163" s="142"/>
      <c r="GT163" s="142"/>
      <c r="GU163" s="142"/>
      <c r="GV163" s="142"/>
      <c r="GW163" s="142"/>
      <c r="GX163" s="142"/>
      <c r="GY163" s="142"/>
      <c r="GZ163" s="142"/>
      <c r="HA163" s="142"/>
      <c r="HB163" s="142"/>
      <c r="HC163" s="142"/>
      <c r="HD163" s="142"/>
      <c r="HE163" s="142"/>
      <c r="HF163" s="142"/>
      <c r="HG163" s="142"/>
      <c r="HH163" s="142"/>
      <c r="HI163" s="142"/>
      <c r="HJ163" s="142"/>
      <c r="HK163" s="142"/>
      <c r="HL163" s="142"/>
      <c r="HM163" s="142"/>
      <c r="HN163" s="142"/>
      <c r="HO163" s="142"/>
      <c r="HP163" s="142"/>
      <c r="HQ163" s="142"/>
      <c r="HR163" s="142"/>
      <c r="HS163" s="142"/>
      <c r="HT163" s="142"/>
      <c r="HU163" s="142"/>
      <c r="HV163" s="142"/>
      <c r="HW163" s="142"/>
      <c r="HX163" s="142"/>
      <c r="HY163" s="142"/>
      <c r="HZ163" s="142"/>
      <c r="IA163" s="142"/>
      <c r="IB163" s="142"/>
      <c r="IC163" s="142"/>
      <c r="ID163" s="142"/>
      <c r="IE163" s="142"/>
      <c r="IF163" s="142"/>
      <c r="IG163" s="142"/>
      <c r="IH163" s="142"/>
      <c r="II163" s="142"/>
      <c r="IJ163" s="142"/>
      <c r="IK163" s="142"/>
      <c r="IL163" s="142"/>
      <c r="IM163" s="142"/>
      <c r="IN163" s="142"/>
      <c r="IO163" s="142"/>
      <c r="IP163" s="142"/>
      <c r="IQ163" s="142"/>
      <c r="IR163" s="142"/>
      <c r="IS163" s="142"/>
      <c r="IT163" s="142"/>
      <c r="IU163" s="142"/>
      <c r="IV163" s="142"/>
    </row>
    <row r="164" spans="1:256" s="194" customFormat="1" x14ac:dyDescent="0.25">
      <c r="A164" s="148" t="s">
        <v>4792</v>
      </c>
      <c r="B164" s="150"/>
      <c r="C164" s="146"/>
      <c r="D164" s="146"/>
      <c r="E164" s="146">
        <f t="shared" si="8"/>
        <v>1.0031725458935259</v>
      </c>
      <c r="F164" s="432">
        <v>874.62099999999998</v>
      </c>
      <c r="G164" s="146">
        <f t="shared" si="9"/>
        <v>1.0085722743456702</v>
      </c>
      <c r="H164" s="432">
        <v>981.24400000000003</v>
      </c>
      <c r="I164" s="142"/>
      <c r="J164" s="142"/>
      <c r="K164" s="142"/>
      <c r="L164" s="142"/>
      <c r="M164" s="142"/>
      <c r="N164" s="142"/>
      <c r="O164" s="142"/>
      <c r="P164" s="142"/>
      <c r="Q164" s="142"/>
      <c r="R164" s="142"/>
      <c r="S164" s="142"/>
      <c r="T164" s="142"/>
      <c r="U164" s="142"/>
      <c r="V164" s="142"/>
      <c r="W164" s="142"/>
      <c r="X164" s="142"/>
      <c r="Y164" s="142"/>
      <c r="Z164" s="142"/>
      <c r="AA164" s="142"/>
      <c r="AB164" s="142"/>
      <c r="AC164" s="142"/>
      <c r="AD164" s="142"/>
      <c r="AE164" s="142"/>
      <c r="AF164" s="142"/>
      <c r="AG164" s="142"/>
      <c r="AH164" s="142"/>
      <c r="AI164" s="142"/>
      <c r="AJ164" s="142"/>
      <c r="AK164" s="142"/>
      <c r="AL164" s="142"/>
      <c r="AM164" s="142"/>
      <c r="AN164" s="142"/>
      <c r="AO164" s="142"/>
      <c r="AP164" s="142"/>
      <c r="AQ164" s="142"/>
      <c r="AR164" s="142"/>
      <c r="AS164" s="142"/>
      <c r="AT164" s="142"/>
      <c r="AU164" s="142"/>
      <c r="AV164" s="142"/>
      <c r="AW164" s="142"/>
      <c r="AX164" s="142"/>
      <c r="AY164" s="142"/>
      <c r="AZ164" s="142"/>
      <c r="BA164" s="142"/>
      <c r="BB164" s="142"/>
      <c r="BC164" s="142"/>
      <c r="BD164" s="142"/>
      <c r="BE164" s="142"/>
      <c r="BF164" s="142"/>
      <c r="BG164" s="142"/>
      <c r="BH164" s="142"/>
      <c r="BI164" s="142"/>
      <c r="BJ164" s="142"/>
      <c r="BK164" s="142"/>
      <c r="BL164" s="142"/>
      <c r="BM164" s="142"/>
      <c r="BN164" s="142"/>
      <c r="BO164" s="142"/>
      <c r="BP164" s="142"/>
      <c r="BQ164" s="142"/>
      <c r="BR164" s="142"/>
      <c r="BS164" s="142"/>
      <c r="BT164" s="142"/>
      <c r="BU164" s="142"/>
      <c r="BV164" s="142"/>
      <c r="BW164" s="142"/>
      <c r="BX164" s="142"/>
      <c r="BY164" s="142"/>
      <c r="BZ164" s="142"/>
      <c r="CA164" s="142"/>
      <c r="CB164" s="142"/>
      <c r="CC164" s="142"/>
      <c r="CD164" s="142"/>
      <c r="CE164" s="142"/>
      <c r="CF164" s="142"/>
      <c r="CG164" s="142"/>
      <c r="CH164" s="142"/>
      <c r="CI164" s="142"/>
      <c r="CJ164" s="142"/>
      <c r="CK164" s="142"/>
      <c r="CL164" s="142"/>
      <c r="CM164" s="142"/>
      <c r="CN164" s="142"/>
      <c r="CO164" s="142"/>
      <c r="CP164" s="142"/>
      <c r="CQ164" s="142"/>
      <c r="CR164" s="142"/>
      <c r="CS164" s="142"/>
      <c r="CT164" s="142"/>
      <c r="CU164" s="142"/>
      <c r="CV164" s="142"/>
      <c r="CW164" s="142"/>
      <c r="CX164" s="142"/>
      <c r="CY164" s="142"/>
      <c r="CZ164" s="142"/>
      <c r="DA164" s="142"/>
      <c r="DB164" s="142"/>
      <c r="DC164" s="142"/>
      <c r="DD164" s="142"/>
      <c r="DE164" s="142"/>
      <c r="DF164" s="142"/>
      <c r="DG164" s="142"/>
      <c r="DH164" s="142"/>
      <c r="DI164" s="142"/>
      <c r="DJ164" s="142"/>
      <c r="DK164" s="142"/>
      <c r="DL164" s="142"/>
      <c r="DM164" s="142"/>
      <c r="DN164" s="142"/>
      <c r="DO164" s="142"/>
      <c r="DP164" s="142"/>
      <c r="DQ164" s="142"/>
      <c r="DR164" s="142"/>
      <c r="DS164" s="142"/>
      <c r="DT164" s="142"/>
      <c r="DU164" s="142"/>
      <c r="DV164" s="142"/>
      <c r="DW164" s="142"/>
      <c r="DX164" s="142"/>
      <c r="DY164" s="142"/>
      <c r="DZ164" s="142"/>
      <c r="EA164" s="142"/>
      <c r="EB164" s="142"/>
      <c r="EC164" s="142"/>
      <c r="ED164" s="142"/>
      <c r="EE164" s="142"/>
      <c r="EF164" s="142"/>
      <c r="EG164" s="142"/>
      <c r="EH164" s="142"/>
      <c r="EI164" s="142"/>
      <c r="EJ164" s="142"/>
      <c r="EK164" s="142"/>
      <c r="EL164" s="142"/>
      <c r="EM164" s="142"/>
      <c r="EN164" s="142"/>
      <c r="EO164" s="142"/>
      <c r="EP164" s="142"/>
      <c r="EQ164" s="142"/>
      <c r="ER164" s="142"/>
      <c r="ES164" s="142"/>
      <c r="ET164" s="142"/>
      <c r="EU164" s="142"/>
      <c r="EV164" s="142"/>
      <c r="EW164" s="142"/>
      <c r="EX164" s="142"/>
      <c r="EY164" s="142"/>
      <c r="EZ164" s="142"/>
      <c r="FA164" s="142"/>
      <c r="FB164" s="142"/>
      <c r="FC164" s="142"/>
      <c r="FD164" s="142"/>
      <c r="FE164" s="142"/>
      <c r="FF164" s="142"/>
      <c r="FG164" s="142"/>
      <c r="FH164" s="142"/>
      <c r="FI164" s="142"/>
      <c r="FJ164" s="142"/>
      <c r="FK164" s="142"/>
      <c r="FL164" s="142"/>
      <c r="FM164" s="142"/>
      <c r="FN164" s="142"/>
      <c r="FO164" s="142"/>
      <c r="FP164" s="142"/>
      <c r="FQ164" s="142"/>
      <c r="FR164" s="142"/>
      <c r="FS164" s="142"/>
      <c r="FT164" s="142"/>
      <c r="FU164" s="142"/>
      <c r="FV164" s="142"/>
      <c r="FW164" s="142"/>
      <c r="FX164" s="142"/>
      <c r="FY164" s="142"/>
      <c r="FZ164" s="142"/>
      <c r="GA164" s="142"/>
      <c r="GB164" s="142"/>
      <c r="GC164" s="142"/>
      <c r="GD164" s="142"/>
      <c r="GE164" s="142"/>
      <c r="GF164" s="142"/>
      <c r="GG164" s="142"/>
      <c r="GH164" s="142"/>
      <c r="GI164" s="142"/>
      <c r="GJ164" s="142"/>
      <c r="GK164" s="142"/>
      <c r="GL164" s="142"/>
      <c r="GM164" s="142"/>
      <c r="GN164" s="142"/>
      <c r="GO164" s="142"/>
      <c r="GP164" s="142"/>
      <c r="GQ164" s="142"/>
      <c r="GR164" s="142"/>
      <c r="GS164" s="142"/>
      <c r="GT164" s="142"/>
      <c r="GU164" s="142"/>
      <c r="GV164" s="142"/>
      <c r="GW164" s="142"/>
      <c r="GX164" s="142"/>
      <c r="GY164" s="142"/>
      <c r="GZ164" s="142"/>
      <c r="HA164" s="142"/>
      <c r="HB164" s="142"/>
      <c r="HC164" s="142"/>
      <c r="HD164" s="142"/>
      <c r="HE164" s="142"/>
      <c r="HF164" s="142"/>
      <c r="HG164" s="142"/>
      <c r="HH164" s="142"/>
      <c r="HI164" s="142"/>
      <c r="HJ164" s="142"/>
      <c r="HK164" s="142"/>
      <c r="HL164" s="142"/>
      <c r="HM164" s="142"/>
      <c r="HN164" s="142"/>
      <c r="HO164" s="142"/>
      <c r="HP164" s="142"/>
      <c r="HQ164" s="142"/>
      <c r="HR164" s="142"/>
      <c r="HS164" s="142"/>
      <c r="HT164" s="142"/>
      <c r="HU164" s="142"/>
      <c r="HV164" s="142"/>
      <c r="HW164" s="142"/>
      <c r="HX164" s="142"/>
      <c r="HY164" s="142"/>
      <c r="HZ164" s="142"/>
      <c r="IA164" s="142"/>
      <c r="IB164" s="142"/>
      <c r="IC164" s="142"/>
      <c r="ID164" s="142"/>
      <c r="IE164" s="142"/>
      <c r="IF164" s="142"/>
      <c r="IG164" s="142"/>
      <c r="IH164" s="142"/>
      <c r="II164" s="142"/>
      <c r="IJ164" s="142"/>
      <c r="IK164" s="142"/>
      <c r="IL164" s="142"/>
      <c r="IM164" s="142"/>
      <c r="IN164" s="142"/>
      <c r="IO164" s="142"/>
      <c r="IP164" s="142"/>
      <c r="IQ164" s="142"/>
      <c r="IR164" s="142"/>
      <c r="IS164" s="142"/>
      <c r="IT164" s="142"/>
      <c r="IU164" s="142"/>
      <c r="IV164" s="142"/>
    </row>
    <row r="165" spans="1:256" s="194" customFormat="1" x14ac:dyDescent="0.25">
      <c r="A165" s="148" t="s">
        <v>4793</v>
      </c>
      <c r="B165" s="150"/>
      <c r="C165" s="146"/>
      <c r="D165" s="146"/>
      <c r="E165" s="146">
        <f t="shared" si="8"/>
        <v>1.0087466456899616</v>
      </c>
      <c r="F165" s="432">
        <v>882.27099999999996</v>
      </c>
      <c r="G165" s="146">
        <f t="shared" si="9"/>
        <v>1.0094767458450702</v>
      </c>
      <c r="H165" s="432">
        <v>990.54300000000001</v>
      </c>
      <c r="I165" s="142"/>
      <c r="J165" s="142"/>
      <c r="K165" s="142"/>
      <c r="L165" s="142"/>
      <c r="M165" s="142"/>
      <c r="N165" s="142"/>
      <c r="O165" s="142"/>
      <c r="P165" s="142"/>
      <c r="Q165" s="142"/>
      <c r="R165" s="142"/>
      <c r="S165" s="142"/>
      <c r="T165" s="142"/>
      <c r="U165" s="142"/>
      <c r="V165" s="142"/>
      <c r="W165" s="142"/>
      <c r="X165" s="142"/>
      <c r="Y165" s="142"/>
      <c r="Z165" s="142"/>
      <c r="AA165" s="142"/>
      <c r="AB165" s="142"/>
      <c r="AC165" s="142"/>
      <c r="AD165" s="142"/>
      <c r="AE165" s="142"/>
      <c r="AF165" s="142"/>
      <c r="AG165" s="142"/>
      <c r="AH165" s="142"/>
      <c r="AI165" s="142"/>
      <c r="AJ165" s="142"/>
      <c r="AK165" s="142"/>
      <c r="AL165" s="142"/>
      <c r="AM165" s="142"/>
      <c r="AN165" s="142"/>
      <c r="AO165" s="142"/>
      <c r="AP165" s="142"/>
      <c r="AQ165" s="142"/>
      <c r="AR165" s="142"/>
      <c r="AS165" s="142"/>
      <c r="AT165" s="142"/>
      <c r="AU165" s="142"/>
      <c r="AV165" s="142"/>
      <c r="AW165" s="142"/>
      <c r="AX165" s="142"/>
      <c r="AY165" s="142"/>
      <c r="AZ165" s="142"/>
      <c r="BA165" s="142"/>
      <c r="BB165" s="142"/>
      <c r="BC165" s="142"/>
      <c r="BD165" s="142"/>
      <c r="BE165" s="142"/>
      <c r="BF165" s="142"/>
      <c r="BG165" s="142"/>
      <c r="BH165" s="142"/>
      <c r="BI165" s="142"/>
      <c r="BJ165" s="142"/>
      <c r="BK165" s="142"/>
      <c r="BL165" s="142"/>
      <c r="BM165" s="142"/>
      <c r="BN165" s="142"/>
      <c r="BO165" s="142"/>
      <c r="BP165" s="142"/>
      <c r="BQ165" s="142"/>
      <c r="BR165" s="142"/>
      <c r="BS165" s="142"/>
      <c r="BT165" s="142"/>
      <c r="BU165" s="142"/>
      <c r="BV165" s="142"/>
      <c r="BW165" s="142"/>
      <c r="BX165" s="142"/>
      <c r="BY165" s="142"/>
      <c r="BZ165" s="142"/>
      <c r="CA165" s="142"/>
      <c r="CB165" s="142"/>
      <c r="CC165" s="142"/>
      <c r="CD165" s="142"/>
      <c r="CE165" s="142"/>
      <c r="CF165" s="142"/>
      <c r="CG165" s="142"/>
      <c r="CH165" s="142"/>
      <c r="CI165" s="142"/>
      <c r="CJ165" s="142"/>
      <c r="CK165" s="142"/>
      <c r="CL165" s="142"/>
      <c r="CM165" s="142"/>
      <c r="CN165" s="142"/>
      <c r="CO165" s="142"/>
      <c r="CP165" s="142"/>
      <c r="CQ165" s="142"/>
      <c r="CR165" s="142"/>
      <c r="CS165" s="142"/>
      <c r="CT165" s="142"/>
      <c r="CU165" s="142"/>
      <c r="CV165" s="142"/>
      <c r="CW165" s="142"/>
      <c r="CX165" s="142"/>
      <c r="CY165" s="142"/>
      <c r="CZ165" s="142"/>
      <c r="DA165" s="142"/>
      <c r="DB165" s="142"/>
      <c r="DC165" s="142"/>
      <c r="DD165" s="142"/>
      <c r="DE165" s="142"/>
      <c r="DF165" s="142"/>
      <c r="DG165" s="142"/>
      <c r="DH165" s="142"/>
      <c r="DI165" s="142"/>
      <c r="DJ165" s="142"/>
      <c r="DK165" s="142"/>
      <c r="DL165" s="142"/>
      <c r="DM165" s="142"/>
      <c r="DN165" s="142"/>
      <c r="DO165" s="142"/>
      <c r="DP165" s="142"/>
      <c r="DQ165" s="142"/>
      <c r="DR165" s="142"/>
      <c r="DS165" s="142"/>
      <c r="DT165" s="142"/>
      <c r="DU165" s="142"/>
      <c r="DV165" s="142"/>
      <c r="DW165" s="142"/>
      <c r="DX165" s="142"/>
      <c r="DY165" s="142"/>
      <c r="DZ165" s="142"/>
      <c r="EA165" s="142"/>
      <c r="EB165" s="142"/>
      <c r="EC165" s="142"/>
      <c r="ED165" s="142"/>
      <c r="EE165" s="142"/>
      <c r="EF165" s="142"/>
      <c r="EG165" s="142"/>
      <c r="EH165" s="142"/>
      <c r="EI165" s="142"/>
      <c r="EJ165" s="142"/>
      <c r="EK165" s="142"/>
      <c r="EL165" s="142"/>
      <c r="EM165" s="142"/>
      <c r="EN165" s="142"/>
      <c r="EO165" s="142"/>
      <c r="EP165" s="142"/>
      <c r="EQ165" s="142"/>
      <c r="ER165" s="142"/>
      <c r="ES165" s="142"/>
      <c r="ET165" s="142"/>
      <c r="EU165" s="142"/>
      <c r="EV165" s="142"/>
      <c r="EW165" s="142"/>
      <c r="EX165" s="142"/>
      <c r="EY165" s="142"/>
      <c r="EZ165" s="142"/>
      <c r="FA165" s="142"/>
      <c r="FB165" s="142"/>
      <c r="FC165" s="142"/>
      <c r="FD165" s="142"/>
      <c r="FE165" s="142"/>
      <c r="FF165" s="142"/>
      <c r="FG165" s="142"/>
      <c r="FH165" s="142"/>
      <c r="FI165" s="142"/>
      <c r="FJ165" s="142"/>
      <c r="FK165" s="142"/>
      <c r="FL165" s="142"/>
      <c r="FM165" s="142"/>
      <c r="FN165" s="142"/>
      <c r="FO165" s="142"/>
      <c r="FP165" s="142"/>
      <c r="FQ165" s="142"/>
      <c r="FR165" s="142"/>
      <c r="FS165" s="142"/>
      <c r="FT165" s="142"/>
      <c r="FU165" s="142"/>
      <c r="FV165" s="142"/>
      <c r="FW165" s="142"/>
      <c r="FX165" s="142"/>
      <c r="FY165" s="142"/>
      <c r="FZ165" s="142"/>
      <c r="GA165" s="142"/>
      <c r="GB165" s="142"/>
      <c r="GC165" s="142"/>
      <c r="GD165" s="142"/>
      <c r="GE165" s="142"/>
      <c r="GF165" s="142"/>
      <c r="GG165" s="142"/>
      <c r="GH165" s="142"/>
      <c r="GI165" s="142"/>
      <c r="GJ165" s="142"/>
      <c r="GK165" s="142"/>
      <c r="GL165" s="142"/>
      <c r="GM165" s="142"/>
      <c r="GN165" s="142"/>
      <c r="GO165" s="142"/>
      <c r="GP165" s="142"/>
      <c r="GQ165" s="142"/>
      <c r="GR165" s="142"/>
      <c r="GS165" s="142"/>
      <c r="GT165" s="142"/>
      <c r="GU165" s="142"/>
      <c r="GV165" s="142"/>
      <c r="GW165" s="142"/>
      <c r="GX165" s="142"/>
      <c r="GY165" s="142"/>
      <c r="GZ165" s="142"/>
      <c r="HA165" s="142"/>
      <c r="HB165" s="142"/>
      <c r="HC165" s="142"/>
      <c r="HD165" s="142"/>
      <c r="HE165" s="142"/>
      <c r="HF165" s="142"/>
      <c r="HG165" s="142"/>
      <c r="HH165" s="142"/>
      <c r="HI165" s="142"/>
      <c r="HJ165" s="142"/>
      <c r="HK165" s="142"/>
      <c r="HL165" s="142"/>
      <c r="HM165" s="142"/>
      <c r="HN165" s="142"/>
      <c r="HO165" s="142"/>
      <c r="HP165" s="142"/>
      <c r="HQ165" s="142"/>
      <c r="HR165" s="142"/>
      <c r="HS165" s="142"/>
      <c r="HT165" s="142"/>
      <c r="HU165" s="142"/>
      <c r="HV165" s="142"/>
      <c r="HW165" s="142"/>
      <c r="HX165" s="142"/>
      <c r="HY165" s="142"/>
      <c r="HZ165" s="142"/>
      <c r="IA165" s="142"/>
      <c r="IB165" s="142"/>
      <c r="IC165" s="142"/>
      <c r="ID165" s="142"/>
      <c r="IE165" s="142"/>
      <c r="IF165" s="142"/>
      <c r="IG165" s="142"/>
      <c r="IH165" s="142"/>
      <c r="II165" s="142"/>
      <c r="IJ165" s="142"/>
      <c r="IK165" s="142"/>
      <c r="IL165" s="142"/>
      <c r="IM165" s="142"/>
      <c r="IN165" s="142"/>
      <c r="IO165" s="142"/>
      <c r="IP165" s="142"/>
      <c r="IQ165" s="142"/>
      <c r="IR165" s="142"/>
      <c r="IS165" s="142"/>
      <c r="IT165" s="142"/>
      <c r="IU165" s="142"/>
      <c r="IV165" s="142"/>
    </row>
    <row r="166" spans="1:256" s="194" customFormat="1" x14ac:dyDescent="0.25">
      <c r="A166" s="148" t="s">
        <v>4794</v>
      </c>
      <c r="B166" s="150"/>
      <c r="C166" s="146"/>
      <c r="D166" s="146"/>
      <c r="E166" s="146">
        <f t="shared" si="8"/>
        <v>1.0317351471373308</v>
      </c>
      <c r="F166" s="432">
        <v>910.27</v>
      </c>
      <c r="G166" s="146">
        <f t="shared" si="9"/>
        <v>1.0228369692178936</v>
      </c>
      <c r="H166" s="432">
        <v>1013.164</v>
      </c>
      <c r="I166" s="142"/>
      <c r="J166" s="142"/>
      <c r="K166" s="142"/>
      <c r="L166" s="142"/>
      <c r="M166" s="142"/>
      <c r="N166" s="142"/>
      <c r="O166" s="142"/>
      <c r="P166" s="142"/>
      <c r="Q166" s="142"/>
      <c r="R166" s="142"/>
      <c r="S166" s="142"/>
      <c r="T166" s="142"/>
      <c r="U166" s="142"/>
      <c r="V166" s="142"/>
      <c r="W166" s="142"/>
      <c r="X166" s="142"/>
      <c r="Y166" s="142"/>
      <c r="Z166" s="142"/>
      <c r="AA166" s="142"/>
      <c r="AB166" s="142"/>
      <c r="AC166" s="142"/>
      <c r="AD166" s="142"/>
      <c r="AE166" s="142"/>
      <c r="AF166" s="142"/>
      <c r="AG166" s="142"/>
      <c r="AH166" s="142"/>
      <c r="AI166" s="142"/>
      <c r="AJ166" s="142"/>
      <c r="AK166" s="142"/>
      <c r="AL166" s="142"/>
      <c r="AM166" s="142"/>
      <c r="AN166" s="142"/>
      <c r="AO166" s="142"/>
      <c r="AP166" s="142"/>
      <c r="AQ166" s="142"/>
      <c r="AR166" s="142"/>
      <c r="AS166" s="142"/>
      <c r="AT166" s="142"/>
      <c r="AU166" s="142"/>
      <c r="AV166" s="142"/>
      <c r="AW166" s="142"/>
      <c r="AX166" s="142"/>
      <c r="AY166" s="142"/>
      <c r="AZ166" s="142"/>
      <c r="BA166" s="142"/>
      <c r="BB166" s="142"/>
      <c r="BC166" s="142"/>
      <c r="BD166" s="142"/>
      <c r="BE166" s="142"/>
      <c r="BF166" s="142"/>
      <c r="BG166" s="142"/>
      <c r="BH166" s="142"/>
      <c r="BI166" s="142"/>
      <c r="BJ166" s="142"/>
      <c r="BK166" s="142"/>
      <c r="BL166" s="142"/>
      <c r="BM166" s="142"/>
      <c r="BN166" s="142"/>
      <c r="BO166" s="142"/>
      <c r="BP166" s="142"/>
      <c r="BQ166" s="142"/>
      <c r="BR166" s="142"/>
      <c r="BS166" s="142"/>
      <c r="BT166" s="142"/>
      <c r="BU166" s="142"/>
      <c r="BV166" s="142"/>
      <c r="BW166" s="142"/>
      <c r="BX166" s="142"/>
      <c r="BY166" s="142"/>
      <c r="BZ166" s="142"/>
      <c r="CA166" s="142"/>
      <c r="CB166" s="142"/>
      <c r="CC166" s="142"/>
      <c r="CD166" s="142"/>
      <c r="CE166" s="142"/>
      <c r="CF166" s="142"/>
      <c r="CG166" s="142"/>
      <c r="CH166" s="142"/>
      <c r="CI166" s="142"/>
      <c r="CJ166" s="142"/>
      <c r="CK166" s="142"/>
      <c r="CL166" s="142"/>
      <c r="CM166" s="142"/>
      <c r="CN166" s="142"/>
      <c r="CO166" s="142"/>
      <c r="CP166" s="142"/>
      <c r="CQ166" s="142"/>
      <c r="CR166" s="142"/>
      <c r="CS166" s="142"/>
      <c r="CT166" s="142"/>
      <c r="CU166" s="142"/>
      <c r="CV166" s="142"/>
      <c r="CW166" s="142"/>
      <c r="CX166" s="142"/>
      <c r="CY166" s="142"/>
      <c r="CZ166" s="142"/>
      <c r="DA166" s="142"/>
      <c r="DB166" s="142"/>
      <c r="DC166" s="142"/>
      <c r="DD166" s="142"/>
      <c r="DE166" s="142"/>
      <c r="DF166" s="142"/>
      <c r="DG166" s="142"/>
      <c r="DH166" s="142"/>
      <c r="DI166" s="142"/>
      <c r="DJ166" s="142"/>
      <c r="DK166" s="142"/>
      <c r="DL166" s="142"/>
      <c r="DM166" s="142"/>
      <c r="DN166" s="142"/>
      <c r="DO166" s="142"/>
      <c r="DP166" s="142"/>
      <c r="DQ166" s="142"/>
      <c r="DR166" s="142"/>
      <c r="DS166" s="142"/>
      <c r="DT166" s="142"/>
      <c r="DU166" s="142"/>
      <c r="DV166" s="142"/>
      <c r="DW166" s="142"/>
      <c r="DX166" s="142"/>
      <c r="DY166" s="142"/>
      <c r="DZ166" s="142"/>
      <c r="EA166" s="142"/>
      <c r="EB166" s="142"/>
      <c r="EC166" s="142"/>
      <c r="ED166" s="142"/>
      <c r="EE166" s="142"/>
      <c r="EF166" s="142"/>
      <c r="EG166" s="142"/>
      <c r="EH166" s="142"/>
      <c r="EI166" s="142"/>
      <c r="EJ166" s="142"/>
      <c r="EK166" s="142"/>
      <c r="EL166" s="142"/>
      <c r="EM166" s="142"/>
      <c r="EN166" s="142"/>
      <c r="EO166" s="142"/>
      <c r="EP166" s="142"/>
      <c r="EQ166" s="142"/>
      <c r="ER166" s="142"/>
      <c r="ES166" s="142"/>
      <c r="ET166" s="142"/>
      <c r="EU166" s="142"/>
      <c r="EV166" s="142"/>
      <c r="EW166" s="142"/>
      <c r="EX166" s="142"/>
      <c r="EY166" s="142"/>
      <c r="EZ166" s="142"/>
      <c r="FA166" s="142"/>
      <c r="FB166" s="142"/>
      <c r="FC166" s="142"/>
      <c r="FD166" s="142"/>
      <c r="FE166" s="142"/>
      <c r="FF166" s="142"/>
      <c r="FG166" s="142"/>
      <c r="FH166" s="142"/>
      <c r="FI166" s="142"/>
      <c r="FJ166" s="142"/>
      <c r="FK166" s="142"/>
      <c r="FL166" s="142"/>
      <c r="FM166" s="142"/>
      <c r="FN166" s="142"/>
      <c r="FO166" s="142"/>
      <c r="FP166" s="142"/>
      <c r="FQ166" s="142"/>
      <c r="FR166" s="142"/>
      <c r="FS166" s="142"/>
      <c r="FT166" s="142"/>
      <c r="FU166" s="142"/>
      <c r="FV166" s="142"/>
      <c r="FW166" s="142"/>
      <c r="FX166" s="142"/>
      <c r="FY166" s="142"/>
      <c r="FZ166" s="142"/>
      <c r="GA166" s="142"/>
      <c r="GB166" s="142"/>
      <c r="GC166" s="142"/>
      <c r="GD166" s="142"/>
      <c r="GE166" s="142"/>
      <c r="GF166" s="142"/>
      <c r="GG166" s="142"/>
      <c r="GH166" s="142"/>
      <c r="GI166" s="142"/>
      <c r="GJ166" s="142"/>
      <c r="GK166" s="142"/>
      <c r="GL166" s="142"/>
      <c r="GM166" s="142"/>
      <c r="GN166" s="142"/>
      <c r="GO166" s="142"/>
      <c r="GP166" s="142"/>
      <c r="GQ166" s="142"/>
      <c r="GR166" s="142"/>
      <c r="GS166" s="142"/>
      <c r="GT166" s="142"/>
      <c r="GU166" s="142"/>
      <c r="GV166" s="142"/>
      <c r="GW166" s="142"/>
      <c r="GX166" s="142"/>
      <c r="GY166" s="142"/>
      <c r="GZ166" s="142"/>
      <c r="HA166" s="142"/>
      <c r="HB166" s="142"/>
      <c r="HC166" s="142"/>
      <c r="HD166" s="142"/>
      <c r="HE166" s="142"/>
      <c r="HF166" s="142"/>
      <c r="HG166" s="142"/>
      <c r="HH166" s="142"/>
      <c r="HI166" s="142"/>
      <c r="HJ166" s="142"/>
      <c r="HK166" s="142"/>
      <c r="HL166" s="142"/>
      <c r="HM166" s="142"/>
      <c r="HN166" s="142"/>
      <c r="HO166" s="142"/>
      <c r="HP166" s="142"/>
      <c r="HQ166" s="142"/>
      <c r="HR166" s="142"/>
      <c r="HS166" s="142"/>
      <c r="HT166" s="142"/>
      <c r="HU166" s="142"/>
      <c r="HV166" s="142"/>
      <c r="HW166" s="142"/>
      <c r="HX166" s="142"/>
      <c r="HY166" s="142"/>
      <c r="HZ166" s="142"/>
      <c r="IA166" s="142"/>
      <c r="IB166" s="142"/>
      <c r="IC166" s="142"/>
      <c r="ID166" s="142"/>
      <c r="IE166" s="142"/>
      <c r="IF166" s="142"/>
      <c r="IG166" s="142"/>
      <c r="IH166" s="142"/>
      <c r="II166" s="142"/>
      <c r="IJ166" s="142"/>
      <c r="IK166" s="142"/>
      <c r="IL166" s="142"/>
      <c r="IM166" s="142"/>
      <c r="IN166" s="142"/>
      <c r="IO166" s="142"/>
      <c r="IP166" s="142"/>
      <c r="IQ166" s="142"/>
      <c r="IR166" s="142"/>
      <c r="IS166" s="142"/>
      <c r="IT166" s="142"/>
      <c r="IU166" s="142"/>
      <c r="IV166" s="142"/>
    </row>
    <row r="167" spans="1:256" s="194" customFormat="1" x14ac:dyDescent="0.25">
      <c r="A167" s="148" t="s">
        <v>4795</v>
      </c>
      <c r="B167" s="150"/>
      <c r="C167" s="146"/>
      <c r="D167" s="146"/>
      <c r="E167" s="146">
        <f t="shared" si="8"/>
        <v>1.012148043986949</v>
      </c>
      <c r="F167" s="432">
        <v>921.32799999999997</v>
      </c>
      <c r="G167" s="146">
        <f t="shared" si="9"/>
        <v>1.0213785724719791</v>
      </c>
      <c r="H167" s="432">
        <v>1034.8240000000001</v>
      </c>
      <c r="I167" s="142"/>
      <c r="J167" s="142"/>
      <c r="K167" s="142"/>
      <c r="L167" s="142"/>
      <c r="M167" s="142"/>
      <c r="N167" s="142"/>
      <c r="O167" s="142"/>
      <c r="P167" s="142"/>
      <c r="Q167" s="142"/>
      <c r="R167" s="142"/>
      <c r="S167" s="142"/>
      <c r="T167" s="142"/>
      <c r="U167" s="142"/>
      <c r="V167" s="142"/>
      <c r="W167" s="142"/>
      <c r="X167" s="142"/>
      <c r="Y167" s="142"/>
      <c r="Z167" s="142"/>
      <c r="AA167" s="142"/>
      <c r="AB167" s="142"/>
      <c r="AC167" s="142"/>
      <c r="AD167" s="142"/>
      <c r="AE167" s="142"/>
      <c r="AF167" s="142"/>
      <c r="AG167" s="142"/>
      <c r="AH167" s="142"/>
      <c r="AI167" s="142"/>
      <c r="AJ167" s="142"/>
      <c r="AK167" s="142"/>
      <c r="AL167" s="142"/>
      <c r="AM167" s="142"/>
      <c r="AN167" s="142"/>
      <c r="AO167" s="142"/>
      <c r="AP167" s="142"/>
      <c r="AQ167" s="142"/>
      <c r="AR167" s="142"/>
      <c r="AS167" s="142"/>
      <c r="AT167" s="142"/>
      <c r="AU167" s="142"/>
      <c r="AV167" s="142"/>
      <c r="AW167" s="142"/>
      <c r="AX167" s="142"/>
      <c r="AY167" s="142"/>
      <c r="AZ167" s="142"/>
      <c r="BA167" s="142"/>
      <c r="BB167" s="142"/>
      <c r="BC167" s="142"/>
      <c r="BD167" s="142"/>
      <c r="BE167" s="142"/>
      <c r="BF167" s="142"/>
      <c r="BG167" s="142"/>
      <c r="BH167" s="142"/>
      <c r="BI167" s="142"/>
      <c r="BJ167" s="142"/>
      <c r="BK167" s="142"/>
      <c r="BL167" s="142"/>
      <c r="BM167" s="142"/>
      <c r="BN167" s="142"/>
      <c r="BO167" s="142"/>
      <c r="BP167" s="142"/>
      <c r="BQ167" s="142"/>
      <c r="BR167" s="142"/>
      <c r="BS167" s="142"/>
      <c r="BT167" s="142"/>
      <c r="BU167" s="142"/>
      <c r="BV167" s="142"/>
      <c r="BW167" s="142"/>
      <c r="BX167" s="142"/>
      <c r="BY167" s="142"/>
      <c r="BZ167" s="142"/>
      <c r="CA167" s="142"/>
      <c r="CB167" s="142"/>
      <c r="CC167" s="142"/>
      <c r="CD167" s="142"/>
      <c r="CE167" s="142"/>
      <c r="CF167" s="142"/>
      <c r="CG167" s="142"/>
      <c r="CH167" s="142"/>
      <c r="CI167" s="142"/>
      <c r="CJ167" s="142"/>
      <c r="CK167" s="142"/>
      <c r="CL167" s="142"/>
      <c r="CM167" s="142"/>
      <c r="CN167" s="142"/>
      <c r="CO167" s="142"/>
      <c r="CP167" s="142"/>
      <c r="CQ167" s="142"/>
      <c r="CR167" s="142"/>
      <c r="CS167" s="142"/>
      <c r="CT167" s="142"/>
      <c r="CU167" s="142"/>
      <c r="CV167" s="142"/>
      <c r="CW167" s="142"/>
      <c r="CX167" s="142"/>
      <c r="CY167" s="142"/>
      <c r="CZ167" s="142"/>
      <c r="DA167" s="142"/>
      <c r="DB167" s="142"/>
      <c r="DC167" s="142"/>
      <c r="DD167" s="142"/>
      <c r="DE167" s="142"/>
      <c r="DF167" s="142"/>
      <c r="DG167" s="142"/>
      <c r="DH167" s="142"/>
      <c r="DI167" s="142"/>
      <c r="DJ167" s="142"/>
      <c r="DK167" s="142"/>
      <c r="DL167" s="142"/>
      <c r="DM167" s="142"/>
      <c r="DN167" s="142"/>
      <c r="DO167" s="142"/>
      <c r="DP167" s="142"/>
      <c r="DQ167" s="142"/>
      <c r="DR167" s="142"/>
      <c r="DS167" s="142"/>
      <c r="DT167" s="142"/>
      <c r="DU167" s="142"/>
      <c r="DV167" s="142"/>
      <c r="DW167" s="142"/>
      <c r="DX167" s="142"/>
      <c r="DY167" s="142"/>
      <c r="DZ167" s="142"/>
      <c r="EA167" s="142"/>
      <c r="EB167" s="142"/>
      <c r="EC167" s="142"/>
      <c r="ED167" s="142"/>
      <c r="EE167" s="142"/>
      <c r="EF167" s="142"/>
      <c r="EG167" s="142"/>
      <c r="EH167" s="142"/>
      <c r="EI167" s="142"/>
      <c r="EJ167" s="142"/>
      <c r="EK167" s="142"/>
      <c r="EL167" s="142"/>
      <c r="EM167" s="142"/>
      <c r="EN167" s="142"/>
      <c r="EO167" s="142"/>
      <c r="EP167" s="142"/>
      <c r="EQ167" s="142"/>
      <c r="ER167" s="142"/>
      <c r="ES167" s="142"/>
      <c r="ET167" s="142"/>
      <c r="EU167" s="142"/>
      <c r="EV167" s="142"/>
      <c r="EW167" s="142"/>
      <c r="EX167" s="142"/>
      <c r="EY167" s="142"/>
      <c r="EZ167" s="142"/>
      <c r="FA167" s="142"/>
      <c r="FB167" s="142"/>
      <c r="FC167" s="142"/>
      <c r="FD167" s="142"/>
      <c r="FE167" s="142"/>
      <c r="FF167" s="142"/>
      <c r="FG167" s="142"/>
      <c r="FH167" s="142"/>
      <c r="FI167" s="142"/>
      <c r="FJ167" s="142"/>
      <c r="FK167" s="142"/>
      <c r="FL167" s="142"/>
      <c r="FM167" s="142"/>
      <c r="FN167" s="142"/>
      <c r="FO167" s="142"/>
      <c r="FP167" s="142"/>
      <c r="FQ167" s="142"/>
      <c r="FR167" s="142"/>
      <c r="FS167" s="142"/>
      <c r="FT167" s="142"/>
      <c r="FU167" s="142"/>
      <c r="FV167" s="142"/>
      <c r="FW167" s="142"/>
      <c r="FX167" s="142"/>
      <c r="FY167" s="142"/>
      <c r="FZ167" s="142"/>
      <c r="GA167" s="142"/>
      <c r="GB167" s="142"/>
      <c r="GC167" s="142"/>
      <c r="GD167" s="142"/>
      <c r="GE167" s="142"/>
      <c r="GF167" s="142"/>
      <c r="GG167" s="142"/>
      <c r="GH167" s="142"/>
      <c r="GI167" s="142"/>
      <c r="GJ167" s="142"/>
      <c r="GK167" s="142"/>
      <c r="GL167" s="142"/>
      <c r="GM167" s="142"/>
      <c r="GN167" s="142"/>
      <c r="GO167" s="142"/>
      <c r="GP167" s="142"/>
      <c r="GQ167" s="142"/>
      <c r="GR167" s="142"/>
      <c r="GS167" s="142"/>
      <c r="GT167" s="142"/>
      <c r="GU167" s="142"/>
      <c r="GV167" s="142"/>
      <c r="GW167" s="142"/>
      <c r="GX167" s="142"/>
      <c r="GY167" s="142"/>
      <c r="GZ167" s="142"/>
      <c r="HA167" s="142"/>
      <c r="HB167" s="142"/>
      <c r="HC167" s="142"/>
      <c r="HD167" s="142"/>
      <c r="HE167" s="142"/>
      <c r="HF167" s="142"/>
      <c r="HG167" s="142"/>
      <c r="HH167" s="142"/>
      <c r="HI167" s="142"/>
      <c r="HJ167" s="142"/>
      <c r="HK167" s="142"/>
      <c r="HL167" s="142"/>
      <c r="HM167" s="142"/>
      <c r="HN167" s="142"/>
      <c r="HO167" s="142"/>
      <c r="HP167" s="142"/>
      <c r="HQ167" s="142"/>
      <c r="HR167" s="142"/>
      <c r="HS167" s="142"/>
      <c r="HT167" s="142"/>
      <c r="HU167" s="142"/>
      <c r="HV167" s="142"/>
      <c r="HW167" s="142"/>
      <c r="HX167" s="142"/>
      <c r="HY167" s="142"/>
      <c r="HZ167" s="142"/>
      <c r="IA167" s="142"/>
      <c r="IB167" s="142"/>
      <c r="IC167" s="142"/>
      <c r="ID167" s="142"/>
      <c r="IE167" s="142"/>
      <c r="IF167" s="142"/>
      <c r="IG167" s="142"/>
      <c r="IH167" s="142"/>
      <c r="II167" s="142"/>
      <c r="IJ167" s="142"/>
      <c r="IK167" s="142"/>
      <c r="IL167" s="142"/>
      <c r="IM167" s="142"/>
      <c r="IN167" s="142"/>
      <c r="IO167" s="142"/>
      <c r="IP167" s="142"/>
      <c r="IQ167" s="142"/>
      <c r="IR167" s="142"/>
      <c r="IS167" s="142"/>
      <c r="IT167" s="142"/>
      <c r="IU167" s="142"/>
      <c r="IV167" s="142"/>
    </row>
    <row r="168" spans="1:256" s="194" customFormat="1" x14ac:dyDescent="0.25">
      <c r="A168" s="148" t="s">
        <v>4796</v>
      </c>
      <c r="B168" s="150"/>
      <c r="C168" s="146"/>
      <c r="D168" s="146"/>
      <c r="E168" s="146">
        <f t="shared" si="8"/>
        <v>1.0007250403765</v>
      </c>
      <c r="F168" s="432">
        <v>921.99599999999998</v>
      </c>
      <c r="G168" s="146">
        <f t="shared" si="9"/>
        <v>1.0086352848407072</v>
      </c>
      <c r="H168" s="432">
        <v>1043.76</v>
      </c>
      <c r="I168" s="142"/>
      <c r="J168" s="142"/>
      <c r="K168" s="142"/>
      <c r="L168" s="142"/>
      <c r="M168" s="142"/>
      <c r="N168" s="142"/>
      <c r="O168" s="142"/>
      <c r="P168" s="142"/>
      <c r="Q168" s="142"/>
      <c r="R168" s="142"/>
      <c r="S168" s="142"/>
      <c r="T168" s="142"/>
      <c r="U168" s="142"/>
      <c r="V168" s="142"/>
      <c r="W168" s="142"/>
      <c r="X168" s="142"/>
      <c r="Y168" s="142"/>
      <c r="Z168" s="142"/>
      <c r="AA168" s="142"/>
      <c r="AB168" s="142"/>
      <c r="AC168" s="142"/>
      <c r="AD168" s="142"/>
      <c r="AE168" s="142"/>
      <c r="AF168" s="142"/>
      <c r="AG168" s="142"/>
      <c r="AH168" s="142"/>
      <c r="AI168" s="142"/>
      <c r="AJ168" s="142"/>
      <c r="AK168" s="142"/>
      <c r="AL168" s="142"/>
      <c r="AM168" s="142"/>
      <c r="AN168" s="142"/>
      <c r="AO168" s="142"/>
      <c r="AP168" s="142"/>
      <c r="AQ168" s="142"/>
      <c r="AR168" s="142"/>
      <c r="AS168" s="142"/>
      <c r="AT168" s="142"/>
      <c r="AU168" s="142"/>
      <c r="AV168" s="142"/>
      <c r="AW168" s="142"/>
      <c r="AX168" s="142"/>
      <c r="AY168" s="142"/>
      <c r="AZ168" s="142"/>
      <c r="BA168" s="142"/>
      <c r="BB168" s="142"/>
      <c r="BC168" s="142"/>
      <c r="BD168" s="142"/>
      <c r="BE168" s="142"/>
      <c r="BF168" s="142"/>
      <c r="BG168" s="142"/>
      <c r="BH168" s="142"/>
      <c r="BI168" s="142"/>
      <c r="BJ168" s="142"/>
      <c r="BK168" s="142"/>
      <c r="BL168" s="142"/>
      <c r="BM168" s="142"/>
      <c r="BN168" s="142"/>
      <c r="BO168" s="142"/>
      <c r="BP168" s="142"/>
      <c r="BQ168" s="142"/>
      <c r="BR168" s="142"/>
      <c r="BS168" s="142"/>
      <c r="BT168" s="142"/>
      <c r="BU168" s="142"/>
      <c r="BV168" s="142"/>
      <c r="BW168" s="142"/>
      <c r="BX168" s="142"/>
      <c r="BY168" s="142"/>
      <c r="BZ168" s="142"/>
      <c r="CA168" s="142"/>
      <c r="CB168" s="142"/>
      <c r="CC168" s="142"/>
      <c r="CD168" s="142"/>
      <c r="CE168" s="142"/>
      <c r="CF168" s="142"/>
      <c r="CG168" s="142"/>
      <c r="CH168" s="142"/>
      <c r="CI168" s="142"/>
      <c r="CJ168" s="142"/>
      <c r="CK168" s="142"/>
      <c r="CL168" s="142"/>
      <c r="CM168" s="142"/>
      <c r="CN168" s="142"/>
      <c r="CO168" s="142"/>
      <c r="CP168" s="142"/>
      <c r="CQ168" s="142"/>
      <c r="CR168" s="142"/>
      <c r="CS168" s="142"/>
      <c r="CT168" s="142"/>
      <c r="CU168" s="142"/>
      <c r="CV168" s="142"/>
      <c r="CW168" s="142"/>
      <c r="CX168" s="142"/>
      <c r="CY168" s="142"/>
      <c r="CZ168" s="142"/>
      <c r="DA168" s="142"/>
      <c r="DB168" s="142"/>
      <c r="DC168" s="142"/>
      <c r="DD168" s="142"/>
      <c r="DE168" s="142"/>
      <c r="DF168" s="142"/>
      <c r="DG168" s="142"/>
      <c r="DH168" s="142"/>
      <c r="DI168" s="142"/>
      <c r="DJ168" s="142"/>
      <c r="DK168" s="142"/>
      <c r="DL168" s="142"/>
      <c r="DM168" s="142"/>
      <c r="DN168" s="142"/>
      <c r="DO168" s="142"/>
      <c r="DP168" s="142"/>
      <c r="DQ168" s="142"/>
      <c r="DR168" s="142"/>
      <c r="DS168" s="142"/>
      <c r="DT168" s="142"/>
      <c r="DU168" s="142"/>
      <c r="DV168" s="142"/>
      <c r="DW168" s="142"/>
      <c r="DX168" s="142"/>
      <c r="DY168" s="142"/>
      <c r="DZ168" s="142"/>
      <c r="EA168" s="142"/>
      <c r="EB168" s="142"/>
      <c r="EC168" s="142"/>
      <c r="ED168" s="142"/>
      <c r="EE168" s="142"/>
      <c r="EF168" s="142"/>
      <c r="EG168" s="142"/>
      <c r="EH168" s="142"/>
      <c r="EI168" s="142"/>
      <c r="EJ168" s="142"/>
      <c r="EK168" s="142"/>
      <c r="EL168" s="142"/>
      <c r="EM168" s="142"/>
      <c r="EN168" s="142"/>
      <c r="EO168" s="142"/>
      <c r="EP168" s="142"/>
      <c r="EQ168" s="142"/>
      <c r="ER168" s="142"/>
      <c r="ES168" s="142"/>
      <c r="ET168" s="142"/>
      <c r="EU168" s="142"/>
      <c r="EV168" s="142"/>
      <c r="EW168" s="142"/>
      <c r="EX168" s="142"/>
      <c r="EY168" s="142"/>
      <c r="EZ168" s="142"/>
      <c r="FA168" s="142"/>
      <c r="FB168" s="142"/>
      <c r="FC168" s="142"/>
      <c r="FD168" s="142"/>
      <c r="FE168" s="142"/>
      <c r="FF168" s="142"/>
      <c r="FG168" s="142"/>
      <c r="FH168" s="142"/>
      <c r="FI168" s="142"/>
      <c r="FJ168" s="142"/>
      <c r="FK168" s="142"/>
      <c r="FL168" s="142"/>
      <c r="FM168" s="142"/>
      <c r="FN168" s="142"/>
      <c r="FO168" s="142"/>
      <c r="FP168" s="142"/>
      <c r="FQ168" s="142"/>
      <c r="FR168" s="142"/>
      <c r="FS168" s="142"/>
      <c r="FT168" s="142"/>
      <c r="FU168" s="142"/>
      <c r="FV168" s="142"/>
      <c r="FW168" s="142"/>
      <c r="FX168" s="142"/>
      <c r="FY168" s="142"/>
      <c r="FZ168" s="142"/>
      <c r="GA168" s="142"/>
      <c r="GB168" s="142"/>
      <c r="GC168" s="142"/>
      <c r="GD168" s="142"/>
      <c r="GE168" s="142"/>
      <c r="GF168" s="142"/>
      <c r="GG168" s="142"/>
      <c r="GH168" s="142"/>
      <c r="GI168" s="142"/>
      <c r="GJ168" s="142"/>
      <c r="GK168" s="142"/>
      <c r="GL168" s="142"/>
      <c r="GM168" s="142"/>
      <c r="GN168" s="142"/>
      <c r="GO168" s="142"/>
      <c r="GP168" s="142"/>
      <c r="GQ168" s="142"/>
      <c r="GR168" s="142"/>
      <c r="GS168" s="142"/>
      <c r="GT168" s="142"/>
      <c r="GU168" s="142"/>
      <c r="GV168" s="142"/>
      <c r="GW168" s="142"/>
      <c r="GX168" s="142"/>
      <c r="GY168" s="142"/>
      <c r="GZ168" s="142"/>
      <c r="HA168" s="142"/>
      <c r="HB168" s="142"/>
      <c r="HC168" s="142"/>
      <c r="HD168" s="142"/>
      <c r="HE168" s="142"/>
      <c r="HF168" s="142"/>
      <c r="HG168" s="142"/>
      <c r="HH168" s="142"/>
      <c r="HI168" s="142"/>
      <c r="HJ168" s="142"/>
      <c r="HK168" s="142"/>
      <c r="HL168" s="142"/>
      <c r="HM168" s="142"/>
      <c r="HN168" s="142"/>
      <c r="HO168" s="142"/>
      <c r="HP168" s="142"/>
      <c r="HQ168" s="142"/>
      <c r="HR168" s="142"/>
      <c r="HS168" s="142"/>
      <c r="HT168" s="142"/>
      <c r="HU168" s="142"/>
      <c r="HV168" s="142"/>
      <c r="HW168" s="142"/>
      <c r="HX168" s="142"/>
      <c r="HY168" s="142"/>
      <c r="HZ168" s="142"/>
      <c r="IA168" s="142"/>
      <c r="IB168" s="142"/>
      <c r="IC168" s="142"/>
      <c r="ID168" s="142"/>
      <c r="IE168" s="142"/>
      <c r="IF168" s="142"/>
      <c r="IG168" s="142"/>
      <c r="IH168" s="142"/>
      <c r="II168" s="142"/>
      <c r="IJ168" s="142"/>
      <c r="IK168" s="142"/>
      <c r="IL168" s="142"/>
      <c r="IM168" s="142"/>
      <c r="IN168" s="142"/>
      <c r="IO168" s="142"/>
      <c r="IP168" s="142"/>
      <c r="IQ168" s="142"/>
      <c r="IR168" s="142"/>
      <c r="IS168" s="142"/>
      <c r="IT168" s="142"/>
      <c r="IU168" s="142"/>
      <c r="IV168" s="142"/>
    </row>
    <row r="169" spans="1:256" s="194" customFormat="1" x14ac:dyDescent="0.25">
      <c r="A169" s="148" t="s">
        <v>4797</v>
      </c>
      <c r="B169" s="150"/>
      <c r="C169" s="146"/>
      <c r="D169" s="146"/>
      <c r="E169" s="146">
        <f t="shared" si="8"/>
        <v>1.0057831053496977</v>
      </c>
      <c r="F169" s="432">
        <v>927.32799999999997</v>
      </c>
      <c r="G169" s="146">
        <f t="shared" si="9"/>
        <v>1.0008804706062697</v>
      </c>
      <c r="H169" s="432">
        <v>1044.6790000000001</v>
      </c>
      <c r="I169" s="142"/>
      <c r="J169" s="142"/>
      <c r="K169" s="142"/>
      <c r="L169" s="142"/>
      <c r="M169" s="142"/>
      <c r="N169" s="142"/>
      <c r="O169" s="142"/>
      <c r="P169" s="142"/>
      <c r="Q169" s="142"/>
      <c r="R169" s="142"/>
      <c r="S169" s="142"/>
      <c r="T169" s="142"/>
      <c r="U169" s="142"/>
      <c r="V169" s="142"/>
      <c r="W169" s="142"/>
      <c r="X169" s="142"/>
      <c r="Y169" s="142"/>
      <c r="Z169" s="142"/>
      <c r="AA169" s="142"/>
      <c r="AB169" s="142"/>
      <c r="AC169" s="142"/>
      <c r="AD169" s="142"/>
      <c r="AE169" s="142"/>
      <c r="AF169" s="142"/>
      <c r="AG169" s="142"/>
      <c r="AH169" s="142"/>
      <c r="AI169" s="142"/>
      <c r="AJ169" s="142"/>
      <c r="AK169" s="142"/>
      <c r="AL169" s="142"/>
      <c r="AM169" s="142"/>
      <c r="AN169" s="142"/>
      <c r="AO169" s="142"/>
      <c r="AP169" s="142"/>
      <c r="AQ169" s="142"/>
      <c r="AR169" s="142"/>
      <c r="AS169" s="142"/>
      <c r="AT169" s="142"/>
      <c r="AU169" s="142"/>
      <c r="AV169" s="142"/>
      <c r="AW169" s="142"/>
      <c r="AX169" s="142"/>
      <c r="AY169" s="142"/>
      <c r="AZ169" s="142"/>
      <c r="BA169" s="142"/>
      <c r="BB169" s="142"/>
      <c r="BC169" s="142"/>
      <c r="BD169" s="142"/>
      <c r="BE169" s="142"/>
      <c r="BF169" s="142"/>
      <c r="BG169" s="142"/>
      <c r="BH169" s="142"/>
      <c r="BI169" s="142"/>
      <c r="BJ169" s="142"/>
      <c r="BK169" s="142"/>
      <c r="BL169" s="142"/>
      <c r="BM169" s="142"/>
      <c r="BN169" s="142"/>
      <c r="BO169" s="142"/>
      <c r="BP169" s="142"/>
      <c r="BQ169" s="142"/>
      <c r="BR169" s="142"/>
      <c r="BS169" s="142"/>
      <c r="BT169" s="142"/>
      <c r="BU169" s="142"/>
      <c r="BV169" s="142"/>
      <c r="BW169" s="142"/>
      <c r="BX169" s="142"/>
      <c r="BY169" s="142"/>
      <c r="BZ169" s="142"/>
      <c r="CA169" s="142"/>
      <c r="CB169" s="142"/>
      <c r="CC169" s="142"/>
      <c r="CD169" s="142"/>
      <c r="CE169" s="142"/>
      <c r="CF169" s="142"/>
      <c r="CG169" s="142"/>
      <c r="CH169" s="142"/>
      <c r="CI169" s="142"/>
      <c r="CJ169" s="142"/>
      <c r="CK169" s="142"/>
      <c r="CL169" s="142"/>
      <c r="CM169" s="142"/>
      <c r="CN169" s="142"/>
      <c r="CO169" s="142"/>
      <c r="CP169" s="142"/>
      <c r="CQ169" s="142"/>
      <c r="CR169" s="142"/>
      <c r="CS169" s="142"/>
      <c r="CT169" s="142"/>
      <c r="CU169" s="142"/>
      <c r="CV169" s="142"/>
      <c r="CW169" s="142"/>
      <c r="CX169" s="142"/>
      <c r="CY169" s="142"/>
      <c r="CZ169" s="142"/>
      <c r="DA169" s="142"/>
      <c r="DB169" s="142"/>
      <c r="DC169" s="142"/>
      <c r="DD169" s="142"/>
      <c r="DE169" s="142"/>
      <c r="DF169" s="142"/>
      <c r="DG169" s="142"/>
      <c r="DH169" s="142"/>
      <c r="DI169" s="142"/>
      <c r="DJ169" s="142"/>
      <c r="DK169" s="142"/>
      <c r="DL169" s="142"/>
      <c r="DM169" s="142"/>
      <c r="DN169" s="142"/>
      <c r="DO169" s="142"/>
      <c r="DP169" s="142"/>
      <c r="DQ169" s="142"/>
      <c r="DR169" s="142"/>
      <c r="DS169" s="142"/>
      <c r="DT169" s="142"/>
      <c r="DU169" s="142"/>
      <c r="DV169" s="142"/>
      <c r="DW169" s="142"/>
      <c r="DX169" s="142"/>
      <c r="DY169" s="142"/>
      <c r="DZ169" s="142"/>
      <c r="EA169" s="142"/>
      <c r="EB169" s="142"/>
      <c r="EC169" s="142"/>
      <c r="ED169" s="142"/>
      <c r="EE169" s="142"/>
      <c r="EF169" s="142"/>
      <c r="EG169" s="142"/>
      <c r="EH169" s="142"/>
      <c r="EI169" s="142"/>
      <c r="EJ169" s="142"/>
      <c r="EK169" s="142"/>
      <c r="EL169" s="142"/>
      <c r="EM169" s="142"/>
      <c r="EN169" s="142"/>
      <c r="EO169" s="142"/>
      <c r="EP169" s="142"/>
      <c r="EQ169" s="142"/>
      <c r="ER169" s="142"/>
      <c r="ES169" s="142"/>
      <c r="ET169" s="142"/>
      <c r="EU169" s="142"/>
      <c r="EV169" s="142"/>
      <c r="EW169" s="142"/>
      <c r="EX169" s="142"/>
      <c r="EY169" s="142"/>
      <c r="EZ169" s="142"/>
      <c r="FA169" s="142"/>
      <c r="FB169" s="142"/>
      <c r="FC169" s="142"/>
      <c r="FD169" s="142"/>
      <c r="FE169" s="142"/>
      <c r="FF169" s="142"/>
      <c r="FG169" s="142"/>
      <c r="FH169" s="142"/>
      <c r="FI169" s="142"/>
      <c r="FJ169" s="142"/>
      <c r="FK169" s="142"/>
      <c r="FL169" s="142"/>
      <c r="FM169" s="142"/>
      <c r="FN169" s="142"/>
      <c r="FO169" s="142"/>
      <c r="FP169" s="142"/>
      <c r="FQ169" s="142"/>
      <c r="FR169" s="142"/>
      <c r="FS169" s="142"/>
      <c r="FT169" s="142"/>
      <c r="FU169" s="142"/>
      <c r="FV169" s="142"/>
      <c r="FW169" s="142"/>
      <c r="FX169" s="142"/>
      <c r="FY169" s="142"/>
      <c r="FZ169" s="142"/>
      <c r="GA169" s="142"/>
      <c r="GB169" s="142"/>
      <c r="GC169" s="142"/>
      <c r="GD169" s="142"/>
      <c r="GE169" s="142"/>
      <c r="GF169" s="142"/>
      <c r="GG169" s="142"/>
      <c r="GH169" s="142"/>
      <c r="GI169" s="142"/>
      <c r="GJ169" s="142"/>
      <c r="GK169" s="142"/>
      <c r="GL169" s="142"/>
      <c r="GM169" s="142"/>
      <c r="GN169" s="142"/>
      <c r="GO169" s="142"/>
      <c r="GP169" s="142"/>
      <c r="GQ169" s="142"/>
      <c r="GR169" s="142"/>
      <c r="GS169" s="142"/>
      <c r="GT169" s="142"/>
      <c r="GU169" s="142"/>
      <c r="GV169" s="142"/>
      <c r="GW169" s="142"/>
      <c r="GX169" s="142"/>
      <c r="GY169" s="142"/>
      <c r="GZ169" s="142"/>
      <c r="HA169" s="142"/>
      <c r="HB169" s="142"/>
      <c r="HC169" s="142"/>
      <c r="HD169" s="142"/>
      <c r="HE169" s="142"/>
      <c r="HF169" s="142"/>
      <c r="HG169" s="142"/>
      <c r="HH169" s="142"/>
      <c r="HI169" s="142"/>
      <c r="HJ169" s="142"/>
      <c r="HK169" s="142"/>
      <c r="HL169" s="142"/>
      <c r="HM169" s="142"/>
      <c r="HN169" s="142"/>
      <c r="HO169" s="142"/>
      <c r="HP169" s="142"/>
      <c r="HQ169" s="142"/>
      <c r="HR169" s="142"/>
      <c r="HS169" s="142"/>
      <c r="HT169" s="142"/>
      <c r="HU169" s="142"/>
      <c r="HV169" s="142"/>
      <c r="HW169" s="142"/>
      <c r="HX169" s="142"/>
      <c r="HY169" s="142"/>
      <c r="HZ169" s="142"/>
      <c r="IA169" s="142"/>
      <c r="IB169" s="142"/>
      <c r="IC169" s="142"/>
      <c r="ID169" s="142"/>
      <c r="IE169" s="142"/>
      <c r="IF169" s="142"/>
      <c r="IG169" s="142"/>
      <c r="IH169" s="142"/>
      <c r="II169" s="142"/>
      <c r="IJ169" s="142"/>
      <c r="IK169" s="142"/>
      <c r="IL169" s="142"/>
      <c r="IM169" s="142"/>
      <c r="IN169" s="142"/>
      <c r="IO169" s="142"/>
      <c r="IP169" s="142"/>
      <c r="IQ169" s="142"/>
      <c r="IR169" s="142"/>
      <c r="IS169" s="142"/>
      <c r="IT169" s="142"/>
      <c r="IU169" s="142"/>
      <c r="IV169" s="142"/>
    </row>
    <row r="170" spans="1:256" s="194" customFormat="1" x14ac:dyDescent="0.25">
      <c r="A170" s="148" t="s">
        <v>4798</v>
      </c>
      <c r="B170" s="150"/>
      <c r="C170" s="146"/>
      <c r="D170" s="146"/>
      <c r="E170" s="146">
        <f t="shared" si="8"/>
        <v>1.0008540667379826</v>
      </c>
      <c r="F170" s="432">
        <v>928.12</v>
      </c>
      <c r="G170" s="146">
        <f t="shared" si="9"/>
        <v>1.0008969262328427</v>
      </c>
      <c r="H170" s="432">
        <v>1045.616</v>
      </c>
      <c r="I170" s="142"/>
      <c r="J170" s="142"/>
      <c r="K170" s="142"/>
      <c r="L170" s="142"/>
      <c r="M170" s="142"/>
      <c r="N170" s="142"/>
      <c r="O170" s="142"/>
      <c r="P170" s="142"/>
      <c r="Q170" s="142"/>
      <c r="R170" s="142"/>
      <c r="S170" s="142"/>
      <c r="T170" s="142"/>
      <c r="U170" s="142"/>
      <c r="V170" s="142"/>
      <c r="W170" s="142"/>
      <c r="X170" s="142"/>
      <c r="Y170" s="142"/>
      <c r="Z170" s="142"/>
      <c r="AA170" s="142"/>
      <c r="AB170" s="142"/>
      <c r="AC170" s="142"/>
      <c r="AD170" s="142"/>
      <c r="AE170" s="142"/>
      <c r="AF170" s="142"/>
      <c r="AG170" s="142"/>
      <c r="AH170" s="142"/>
      <c r="AI170" s="142"/>
      <c r="AJ170" s="142"/>
      <c r="AK170" s="142"/>
      <c r="AL170" s="142"/>
      <c r="AM170" s="142"/>
      <c r="AN170" s="142"/>
      <c r="AO170" s="142"/>
      <c r="AP170" s="142"/>
      <c r="AQ170" s="142"/>
      <c r="AR170" s="142"/>
      <c r="AS170" s="142"/>
      <c r="AT170" s="142"/>
      <c r="AU170" s="142"/>
      <c r="AV170" s="142"/>
      <c r="AW170" s="142"/>
      <c r="AX170" s="142"/>
      <c r="AY170" s="142"/>
      <c r="AZ170" s="142"/>
      <c r="BA170" s="142"/>
      <c r="BB170" s="142"/>
      <c r="BC170" s="142"/>
      <c r="BD170" s="142"/>
      <c r="BE170" s="142"/>
      <c r="BF170" s="142"/>
      <c r="BG170" s="142"/>
      <c r="BH170" s="142"/>
      <c r="BI170" s="142"/>
      <c r="BJ170" s="142"/>
      <c r="BK170" s="142"/>
      <c r="BL170" s="142"/>
      <c r="BM170" s="142"/>
      <c r="BN170" s="142"/>
      <c r="BO170" s="142"/>
      <c r="BP170" s="142"/>
      <c r="BQ170" s="142"/>
      <c r="BR170" s="142"/>
      <c r="BS170" s="142"/>
      <c r="BT170" s="142"/>
      <c r="BU170" s="142"/>
      <c r="BV170" s="142"/>
      <c r="BW170" s="142"/>
      <c r="BX170" s="142"/>
      <c r="BY170" s="142"/>
      <c r="BZ170" s="142"/>
      <c r="CA170" s="142"/>
      <c r="CB170" s="142"/>
      <c r="CC170" s="142"/>
      <c r="CD170" s="142"/>
      <c r="CE170" s="142"/>
      <c r="CF170" s="142"/>
      <c r="CG170" s="142"/>
      <c r="CH170" s="142"/>
      <c r="CI170" s="142"/>
      <c r="CJ170" s="142"/>
      <c r="CK170" s="142"/>
      <c r="CL170" s="142"/>
      <c r="CM170" s="142"/>
      <c r="CN170" s="142"/>
      <c r="CO170" s="142"/>
      <c r="CP170" s="142"/>
      <c r="CQ170" s="142"/>
      <c r="CR170" s="142"/>
      <c r="CS170" s="142"/>
      <c r="CT170" s="142"/>
      <c r="CU170" s="142"/>
      <c r="CV170" s="142"/>
      <c r="CW170" s="142"/>
      <c r="CX170" s="142"/>
      <c r="CY170" s="142"/>
      <c r="CZ170" s="142"/>
      <c r="DA170" s="142"/>
      <c r="DB170" s="142"/>
      <c r="DC170" s="142"/>
      <c r="DD170" s="142"/>
      <c r="DE170" s="142"/>
      <c r="DF170" s="142"/>
      <c r="DG170" s="142"/>
      <c r="DH170" s="142"/>
      <c r="DI170" s="142"/>
      <c r="DJ170" s="142"/>
      <c r="DK170" s="142"/>
      <c r="DL170" s="142"/>
      <c r="DM170" s="142"/>
      <c r="DN170" s="142"/>
      <c r="DO170" s="142"/>
      <c r="DP170" s="142"/>
      <c r="DQ170" s="142"/>
      <c r="DR170" s="142"/>
      <c r="DS170" s="142"/>
      <c r="DT170" s="142"/>
      <c r="DU170" s="142"/>
      <c r="DV170" s="142"/>
      <c r="DW170" s="142"/>
      <c r="DX170" s="142"/>
      <c r="DY170" s="142"/>
      <c r="DZ170" s="142"/>
      <c r="EA170" s="142"/>
      <c r="EB170" s="142"/>
      <c r="EC170" s="142"/>
      <c r="ED170" s="142"/>
      <c r="EE170" s="142"/>
      <c r="EF170" s="142"/>
      <c r="EG170" s="142"/>
      <c r="EH170" s="142"/>
      <c r="EI170" s="142"/>
      <c r="EJ170" s="142"/>
      <c r="EK170" s="142"/>
      <c r="EL170" s="142"/>
      <c r="EM170" s="142"/>
      <c r="EN170" s="142"/>
      <c r="EO170" s="142"/>
      <c r="EP170" s="142"/>
      <c r="EQ170" s="142"/>
      <c r="ER170" s="142"/>
      <c r="ES170" s="142"/>
      <c r="ET170" s="142"/>
      <c r="EU170" s="142"/>
      <c r="EV170" s="142"/>
      <c r="EW170" s="142"/>
      <c r="EX170" s="142"/>
      <c r="EY170" s="142"/>
      <c r="EZ170" s="142"/>
      <c r="FA170" s="142"/>
      <c r="FB170" s="142"/>
      <c r="FC170" s="142"/>
      <c r="FD170" s="142"/>
      <c r="FE170" s="142"/>
      <c r="FF170" s="142"/>
      <c r="FG170" s="142"/>
      <c r="FH170" s="142"/>
      <c r="FI170" s="142"/>
      <c r="FJ170" s="142"/>
      <c r="FK170" s="142"/>
      <c r="FL170" s="142"/>
      <c r="FM170" s="142"/>
      <c r="FN170" s="142"/>
      <c r="FO170" s="142"/>
      <c r="FP170" s="142"/>
      <c r="FQ170" s="142"/>
      <c r="FR170" s="142"/>
      <c r="FS170" s="142"/>
      <c r="FT170" s="142"/>
      <c r="FU170" s="142"/>
      <c r="FV170" s="142"/>
      <c r="FW170" s="142"/>
      <c r="FX170" s="142"/>
      <c r="FY170" s="142"/>
      <c r="FZ170" s="142"/>
      <c r="GA170" s="142"/>
      <c r="GB170" s="142"/>
      <c r="GC170" s="142"/>
      <c r="GD170" s="142"/>
      <c r="GE170" s="142"/>
      <c r="GF170" s="142"/>
      <c r="GG170" s="142"/>
      <c r="GH170" s="142"/>
      <c r="GI170" s="142"/>
      <c r="GJ170" s="142"/>
      <c r="GK170" s="142"/>
      <c r="GL170" s="142"/>
      <c r="GM170" s="142"/>
      <c r="GN170" s="142"/>
      <c r="GO170" s="142"/>
      <c r="GP170" s="142"/>
      <c r="GQ170" s="142"/>
      <c r="GR170" s="142"/>
      <c r="GS170" s="142"/>
      <c r="GT170" s="142"/>
      <c r="GU170" s="142"/>
      <c r="GV170" s="142"/>
      <c r="GW170" s="142"/>
      <c r="GX170" s="142"/>
      <c r="GY170" s="142"/>
      <c r="GZ170" s="142"/>
      <c r="HA170" s="142"/>
      <c r="HB170" s="142"/>
      <c r="HC170" s="142"/>
      <c r="HD170" s="142"/>
      <c r="HE170" s="142"/>
      <c r="HF170" s="142"/>
      <c r="HG170" s="142"/>
      <c r="HH170" s="142"/>
      <c r="HI170" s="142"/>
      <c r="HJ170" s="142"/>
      <c r="HK170" s="142"/>
      <c r="HL170" s="142"/>
      <c r="HM170" s="142"/>
      <c r="HN170" s="142"/>
      <c r="HO170" s="142"/>
      <c r="HP170" s="142"/>
      <c r="HQ170" s="142"/>
      <c r="HR170" s="142"/>
      <c r="HS170" s="142"/>
      <c r="HT170" s="142"/>
      <c r="HU170" s="142"/>
      <c r="HV170" s="142"/>
      <c r="HW170" s="142"/>
      <c r="HX170" s="142"/>
      <c r="HY170" s="142"/>
      <c r="HZ170" s="142"/>
      <c r="IA170" s="142"/>
      <c r="IB170" s="142"/>
      <c r="IC170" s="142"/>
      <c r="ID170" s="142"/>
      <c r="IE170" s="142"/>
      <c r="IF170" s="142"/>
      <c r="IG170" s="142"/>
      <c r="IH170" s="142"/>
      <c r="II170" s="142"/>
      <c r="IJ170" s="142"/>
      <c r="IK170" s="142"/>
      <c r="IL170" s="142"/>
      <c r="IM170" s="142"/>
      <c r="IN170" s="142"/>
      <c r="IO170" s="142"/>
      <c r="IP170" s="142"/>
      <c r="IQ170" s="142"/>
      <c r="IR170" s="142"/>
      <c r="IS170" s="142"/>
      <c r="IT170" s="142"/>
      <c r="IU170" s="142"/>
      <c r="IV170" s="142"/>
    </row>
    <row r="171" spans="1:256" s="194" customFormat="1" x14ac:dyDescent="0.25">
      <c r="A171" s="148" t="s">
        <v>4799</v>
      </c>
      <c r="B171" s="150"/>
      <c r="C171" s="146"/>
      <c r="D171" s="146"/>
      <c r="E171" s="146">
        <f t="shared" si="8"/>
        <v>1.0000043097875275</v>
      </c>
      <c r="F171" s="432">
        <v>928.12400000000002</v>
      </c>
      <c r="G171" s="146">
        <f t="shared" si="9"/>
        <v>1.001224158773393</v>
      </c>
      <c r="H171" s="432">
        <v>1046.896</v>
      </c>
      <c r="I171" s="142"/>
      <c r="J171" s="142"/>
      <c r="K171" s="142"/>
      <c r="L171" s="142"/>
      <c r="M171" s="142"/>
      <c r="N171" s="142"/>
      <c r="O171" s="142"/>
      <c r="P171" s="142"/>
      <c r="Q171" s="142"/>
      <c r="R171" s="142"/>
      <c r="S171" s="142"/>
      <c r="T171" s="142"/>
      <c r="U171" s="142"/>
      <c r="V171" s="142"/>
      <c r="W171" s="142"/>
      <c r="X171" s="142"/>
      <c r="Y171" s="142"/>
      <c r="Z171" s="142"/>
      <c r="AA171" s="142"/>
      <c r="AB171" s="142"/>
      <c r="AC171" s="142"/>
      <c r="AD171" s="142"/>
      <c r="AE171" s="142"/>
      <c r="AF171" s="142"/>
      <c r="AG171" s="142"/>
      <c r="AH171" s="142"/>
      <c r="AI171" s="142"/>
      <c r="AJ171" s="142"/>
      <c r="AK171" s="142"/>
      <c r="AL171" s="142"/>
      <c r="AM171" s="142"/>
      <c r="AN171" s="142"/>
      <c r="AO171" s="142"/>
      <c r="AP171" s="142"/>
      <c r="AQ171" s="142"/>
      <c r="AR171" s="142"/>
      <c r="AS171" s="142"/>
      <c r="AT171" s="142"/>
      <c r="AU171" s="142"/>
      <c r="AV171" s="142"/>
      <c r="AW171" s="142"/>
      <c r="AX171" s="142"/>
      <c r="AY171" s="142"/>
      <c r="AZ171" s="142"/>
      <c r="BA171" s="142"/>
      <c r="BB171" s="142"/>
      <c r="BC171" s="142"/>
      <c r="BD171" s="142"/>
      <c r="BE171" s="142"/>
      <c r="BF171" s="142"/>
      <c r="BG171" s="142"/>
      <c r="BH171" s="142"/>
      <c r="BI171" s="142"/>
      <c r="BJ171" s="142"/>
      <c r="BK171" s="142"/>
      <c r="BL171" s="142"/>
      <c r="BM171" s="142"/>
      <c r="BN171" s="142"/>
      <c r="BO171" s="142"/>
      <c r="BP171" s="142"/>
      <c r="BQ171" s="142"/>
      <c r="BR171" s="142"/>
      <c r="BS171" s="142"/>
      <c r="BT171" s="142"/>
      <c r="BU171" s="142"/>
      <c r="BV171" s="142"/>
      <c r="BW171" s="142"/>
      <c r="BX171" s="142"/>
      <c r="BY171" s="142"/>
      <c r="BZ171" s="142"/>
      <c r="CA171" s="142"/>
      <c r="CB171" s="142"/>
      <c r="CC171" s="142"/>
      <c r="CD171" s="142"/>
      <c r="CE171" s="142"/>
      <c r="CF171" s="142"/>
      <c r="CG171" s="142"/>
      <c r="CH171" s="142"/>
      <c r="CI171" s="142"/>
      <c r="CJ171" s="142"/>
      <c r="CK171" s="142"/>
      <c r="CL171" s="142"/>
      <c r="CM171" s="142"/>
      <c r="CN171" s="142"/>
      <c r="CO171" s="142"/>
      <c r="CP171" s="142"/>
      <c r="CQ171" s="142"/>
      <c r="CR171" s="142"/>
      <c r="CS171" s="142"/>
      <c r="CT171" s="142"/>
      <c r="CU171" s="142"/>
      <c r="CV171" s="142"/>
      <c r="CW171" s="142"/>
      <c r="CX171" s="142"/>
      <c r="CY171" s="142"/>
      <c r="CZ171" s="142"/>
      <c r="DA171" s="142"/>
      <c r="DB171" s="142"/>
      <c r="DC171" s="142"/>
      <c r="DD171" s="142"/>
      <c r="DE171" s="142"/>
      <c r="DF171" s="142"/>
      <c r="DG171" s="142"/>
      <c r="DH171" s="142"/>
      <c r="DI171" s="142"/>
      <c r="DJ171" s="142"/>
      <c r="DK171" s="142"/>
      <c r="DL171" s="142"/>
      <c r="DM171" s="142"/>
      <c r="DN171" s="142"/>
      <c r="DO171" s="142"/>
      <c r="DP171" s="142"/>
      <c r="DQ171" s="142"/>
      <c r="DR171" s="142"/>
      <c r="DS171" s="142"/>
      <c r="DT171" s="142"/>
      <c r="DU171" s="142"/>
      <c r="DV171" s="142"/>
      <c r="DW171" s="142"/>
      <c r="DX171" s="142"/>
      <c r="DY171" s="142"/>
      <c r="DZ171" s="142"/>
      <c r="EA171" s="142"/>
      <c r="EB171" s="142"/>
      <c r="EC171" s="142"/>
      <c r="ED171" s="142"/>
      <c r="EE171" s="142"/>
      <c r="EF171" s="142"/>
      <c r="EG171" s="142"/>
      <c r="EH171" s="142"/>
      <c r="EI171" s="142"/>
      <c r="EJ171" s="142"/>
      <c r="EK171" s="142"/>
      <c r="EL171" s="142"/>
      <c r="EM171" s="142"/>
      <c r="EN171" s="142"/>
      <c r="EO171" s="142"/>
      <c r="EP171" s="142"/>
      <c r="EQ171" s="142"/>
      <c r="ER171" s="142"/>
      <c r="ES171" s="142"/>
      <c r="ET171" s="142"/>
      <c r="EU171" s="142"/>
      <c r="EV171" s="142"/>
      <c r="EW171" s="142"/>
      <c r="EX171" s="142"/>
      <c r="EY171" s="142"/>
      <c r="EZ171" s="142"/>
      <c r="FA171" s="142"/>
      <c r="FB171" s="142"/>
      <c r="FC171" s="142"/>
      <c r="FD171" s="142"/>
      <c r="FE171" s="142"/>
      <c r="FF171" s="142"/>
      <c r="FG171" s="142"/>
      <c r="FH171" s="142"/>
      <c r="FI171" s="142"/>
      <c r="FJ171" s="142"/>
      <c r="FK171" s="142"/>
      <c r="FL171" s="142"/>
      <c r="FM171" s="142"/>
      <c r="FN171" s="142"/>
      <c r="FO171" s="142"/>
      <c r="FP171" s="142"/>
      <c r="FQ171" s="142"/>
      <c r="FR171" s="142"/>
      <c r="FS171" s="142"/>
      <c r="FT171" s="142"/>
      <c r="FU171" s="142"/>
      <c r="FV171" s="142"/>
      <c r="FW171" s="142"/>
      <c r="FX171" s="142"/>
      <c r="FY171" s="142"/>
      <c r="FZ171" s="142"/>
      <c r="GA171" s="142"/>
      <c r="GB171" s="142"/>
      <c r="GC171" s="142"/>
      <c r="GD171" s="142"/>
      <c r="GE171" s="142"/>
      <c r="GF171" s="142"/>
      <c r="GG171" s="142"/>
      <c r="GH171" s="142"/>
      <c r="GI171" s="142"/>
      <c r="GJ171" s="142"/>
      <c r="GK171" s="142"/>
      <c r="GL171" s="142"/>
      <c r="GM171" s="142"/>
      <c r="GN171" s="142"/>
      <c r="GO171" s="142"/>
      <c r="GP171" s="142"/>
      <c r="GQ171" s="142"/>
      <c r="GR171" s="142"/>
      <c r="GS171" s="142"/>
      <c r="GT171" s="142"/>
      <c r="GU171" s="142"/>
      <c r="GV171" s="142"/>
      <c r="GW171" s="142"/>
      <c r="GX171" s="142"/>
      <c r="GY171" s="142"/>
      <c r="GZ171" s="142"/>
      <c r="HA171" s="142"/>
      <c r="HB171" s="142"/>
      <c r="HC171" s="142"/>
      <c r="HD171" s="142"/>
      <c r="HE171" s="142"/>
      <c r="HF171" s="142"/>
      <c r="HG171" s="142"/>
      <c r="HH171" s="142"/>
      <c r="HI171" s="142"/>
      <c r="HJ171" s="142"/>
      <c r="HK171" s="142"/>
      <c r="HL171" s="142"/>
      <c r="HM171" s="142"/>
      <c r="HN171" s="142"/>
      <c r="HO171" s="142"/>
      <c r="HP171" s="142"/>
      <c r="HQ171" s="142"/>
      <c r="HR171" s="142"/>
      <c r="HS171" s="142"/>
      <c r="HT171" s="142"/>
      <c r="HU171" s="142"/>
      <c r="HV171" s="142"/>
      <c r="HW171" s="142"/>
      <c r="HX171" s="142"/>
      <c r="HY171" s="142"/>
      <c r="HZ171" s="142"/>
      <c r="IA171" s="142"/>
      <c r="IB171" s="142"/>
      <c r="IC171" s="142"/>
      <c r="ID171" s="142"/>
      <c r="IE171" s="142"/>
      <c r="IF171" s="142"/>
      <c r="IG171" s="142"/>
      <c r="IH171" s="142"/>
      <c r="II171" s="142"/>
      <c r="IJ171" s="142"/>
      <c r="IK171" s="142"/>
      <c r="IL171" s="142"/>
      <c r="IM171" s="142"/>
      <c r="IN171" s="142"/>
      <c r="IO171" s="142"/>
      <c r="IP171" s="142"/>
      <c r="IQ171" s="142"/>
      <c r="IR171" s="142"/>
      <c r="IS171" s="142"/>
      <c r="IT171" s="142"/>
      <c r="IU171" s="142"/>
      <c r="IV171" s="142"/>
    </row>
    <row r="172" spans="1:256" s="194" customFormat="1" x14ac:dyDescent="0.25">
      <c r="A172" s="148" t="s">
        <v>4800</v>
      </c>
      <c r="B172" s="150"/>
      <c r="C172" s="146"/>
      <c r="D172" s="146"/>
      <c r="E172" s="146">
        <f t="shared" si="8"/>
        <v>1.0294658903336191</v>
      </c>
      <c r="F172" s="432">
        <v>955.47199999999998</v>
      </c>
      <c r="G172" s="146">
        <f t="shared" si="9"/>
        <v>1.0036345539576041</v>
      </c>
      <c r="H172" s="432">
        <v>1050.701</v>
      </c>
      <c r="I172" s="142"/>
      <c r="J172" s="142"/>
      <c r="K172" s="142"/>
      <c r="L172" s="142"/>
      <c r="M172" s="142"/>
      <c r="N172" s="142"/>
      <c r="O172" s="142"/>
      <c r="P172" s="142"/>
      <c r="Q172" s="142"/>
      <c r="R172" s="142"/>
      <c r="S172" s="142"/>
      <c r="T172" s="142"/>
      <c r="U172" s="142"/>
      <c r="V172" s="142"/>
      <c r="W172" s="142"/>
      <c r="X172" s="142"/>
      <c r="Y172" s="142"/>
      <c r="Z172" s="142"/>
      <c r="AA172" s="142"/>
      <c r="AB172" s="142"/>
      <c r="AC172" s="142"/>
      <c r="AD172" s="142"/>
      <c r="AE172" s="142"/>
      <c r="AF172" s="142"/>
      <c r="AG172" s="142"/>
      <c r="AH172" s="142"/>
      <c r="AI172" s="142"/>
      <c r="AJ172" s="142"/>
      <c r="AK172" s="142"/>
      <c r="AL172" s="142"/>
      <c r="AM172" s="142"/>
      <c r="AN172" s="142"/>
      <c r="AO172" s="142"/>
      <c r="AP172" s="142"/>
      <c r="AQ172" s="142"/>
      <c r="AR172" s="142"/>
      <c r="AS172" s="142"/>
      <c r="AT172" s="142"/>
      <c r="AU172" s="142"/>
      <c r="AV172" s="142"/>
      <c r="AW172" s="142"/>
      <c r="AX172" s="142"/>
      <c r="AY172" s="142"/>
      <c r="AZ172" s="142"/>
      <c r="BA172" s="142"/>
      <c r="BB172" s="142"/>
      <c r="BC172" s="142"/>
      <c r="BD172" s="142"/>
      <c r="BE172" s="142"/>
      <c r="BF172" s="142"/>
      <c r="BG172" s="142"/>
      <c r="BH172" s="142"/>
      <c r="BI172" s="142"/>
      <c r="BJ172" s="142"/>
      <c r="BK172" s="142"/>
      <c r="BL172" s="142"/>
      <c r="BM172" s="142"/>
      <c r="BN172" s="142"/>
      <c r="BO172" s="142"/>
      <c r="BP172" s="142"/>
      <c r="BQ172" s="142"/>
      <c r="BR172" s="142"/>
      <c r="BS172" s="142"/>
      <c r="BT172" s="142"/>
      <c r="BU172" s="142"/>
      <c r="BV172" s="142"/>
      <c r="BW172" s="142"/>
      <c r="BX172" s="142"/>
      <c r="BY172" s="142"/>
      <c r="BZ172" s="142"/>
      <c r="CA172" s="142"/>
      <c r="CB172" s="142"/>
      <c r="CC172" s="142"/>
      <c r="CD172" s="142"/>
      <c r="CE172" s="142"/>
      <c r="CF172" s="142"/>
      <c r="CG172" s="142"/>
      <c r="CH172" s="142"/>
      <c r="CI172" s="142"/>
      <c r="CJ172" s="142"/>
      <c r="CK172" s="142"/>
      <c r="CL172" s="142"/>
      <c r="CM172" s="142"/>
      <c r="CN172" s="142"/>
      <c r="CO172" s="142"/>
      <c r="CP172" s="142"/>
      <c r="CQ172" s="142"/>
      <c r="CR172" s="142"/>
      <c r="CS172" s="142"/>
      <c r="CT172" s="142"/>
      <c r="CU172" s="142"/>
      <c r="CV172" s="142"/>
      <c r="CW172" s="142"/>
      <c r="CX172" s="142"/>
      <c r="CY172" s="142"/>
      <c r="CZ172" s="142"/>
      <c r="DA172" s="142"/>
      <c r="DB172" s="142"/>
      <c r="DC172" s="142"/>
      <c r="DD172" s="142"/>
      <c r="DE172" s="142"/>
      <c r="DF172" s="142"/>
      <c r="DG172" s="142"/>
      <c r="DH172" s="142"/>
      <c r="DI172" s="142"/>
      <c r="DJ172" s="142"/>
      <c r="DK172" s="142"/>
      <c r="DL172" s="142"/>
      <c r="DM172" s="142"/>
      <c r="DN172" s="142"/>
      <c r="DO172" s="142"/>
      <c r="DP172" s="142"/>
      <c r="DQ172" s="142"/>
      <c r="DR172" s="142"/>
      <c r="DS172" s="142"/>
      <c r="DT172" s="142"/>
      <c r="DU172" s="142"/>
      <c r="DV172" s="142"/>
      <c r="DW172" s="142"/>
      <c r="DX172" s="142"/>
      <c r="DY172" s="142"/>
      <c r="DZ172" s="142"/>
      <c r="EA172" s="142"/>
      <c r="EB172" s="142"/>
      <c r="EC172" s="142"/>
      <c r="ED172" s="142"/>
      <c r="EE172" s="142"/>
      <c r="EF172" s="142"/>
      <c r="EG172" s="142"/>
      <c r="EH172" s="142"/>
      <c r="EI172" s="142"/>
      <c r="EJ172" s="142"/>
      <c r="EK172" s="142"/>
      <c r="EL172" s="142"/>
      <c r="EM172" s="142"/>
      <c r="EN172" s="142"/>
      <c r="EO172" s="142"/>
      <c r="EP172" s="142"/>
      <c r="EQ172" s="142"/>
      <c r="ER172" s="142"/>
      <c r="ES172" s="142"/>
      <c r="ET172" s="142"/>
      <c r="EU172" s="142"/>
      <c r="EV172" s="142"/>
      <c r="EW172" s="142"/>
      <c r="EX172" s="142"/>
      <c r="EY172" s="142"/>
      <c r="EZ172" s="142"/>
      <c r="FA172" s="142"/>
      <c r="FB172" s="142"/>
      <c r="FC172" s="142"/>
      <c r="FD172" s="142"/>
      <c r="FE172" s="142"/>
      <c r="FF172" s="142"/>
      <c r="FG172" s="142"/>
      <c r="FH172" s="142"/>
      <c r="FI172" s="142"/>
      <c r="FJ172" s="142"/>
      <c r="FK172" s="142"/>
      <c r="FL172" s="142"/>
      <c r="FM172" s="142"/>
      <c r="FN172" s="142"/>
      <c r="FO172" s="142"/>
      <c r="FP172" s="142"/>
      <c r="FQ172" s="142"/>
      <c r="FR172" s="142"/>
      <c r="FS172" s="142"/>
      <c r="FT172" s="142"/>
      <c r="FU172" s="142"/>
      <c r="FV172" s="142"/>
      <c r="FW172" s="142"/>
      <c r="FX172" s="142"/>
      <c r="FY172" s="142"/>
      <c r="FZ172" s="142"/>
      <c r="GA172" s="142"/>
      <c r="GB172" s="142"/>
      <c r="GC172" s="142"/>
      <c r="GD172" s="142"/>
      <c r="GE172" s="142"/>
      <c r="GF172" s="142"/>
      <c r="GG172" s="142"/>
      <c r="GH172" s="142"/>
      <c r="GI172" s="142"/>
      <c r="GJ172" s="142"/>
      <c r="GK172" s="142"/>
      <c r="GL172" s="142"/>
      <c r="GM172" s="142"/>
      <c r="GN172" s="142"/>
      <c r="GO172" s="142"/>
      <c r="GP172" s="142"/>
      <c r="GQ172" s="142"/>
      <c r="GR172" s="142"/>
      <c r="GS172" s="142"/>
      <c r="GT172" s="142"/>
      <c r="GU172" s="142"/>
      <c r="GV172" s="142"/>
      <c r="GW172" s="142"/>
      <c r="GX172" s="142"/>
      <c r="GY172" s="142"/>
      <c r="GZ172" s="142"/>
      <c r="HA172" s="142"/>
      <c r="HB172" s="142"/>
      <c r="HC172" s="142"/>
      <c r="HD172" s="142"/>
      <c r="HE172" s="142"/>
      <c r="HF172" s="142"/>
      <c r="HG172" s="142"/>
      <c r="HH172" s="142"/>
      <c r="HI172" s="142"/>
      <c r="HJ172" s="142"/>
      <c r="HK172" s="142"/>
      <c r="HL172" s="142"/>
      <c r="HM172" s="142"/>
      <c r="HN172" s="142"/>
      <c r="HO172" s="142"/>
      <c r="HP172" s="142"/>
      <c r="HQ172" s="142"/>
      <c r="HR172" s="142"/>
      <c r="HS172" s="142"/>
      <c r="HT172" s="142"/>
      <c r="HU172" s="142"/>
      <c r="HV172" s="142"/>
      <c r="HW172" s="142"/>
      <c r="HX172" s="142"/>
      <c r="HY172" s="142"/>
      <c r="HZ172" s="142"/>
      <c r="IA172" s="142"/>
      <c r="IB172" s="142"/>
      <c r="IC172" s="142"/>
      <c r="ID172" s="142"/>
      <c r="IE172" s="142"/>
      <c r="IF172" s="142"/>
      <c r="IG172" s="142"/>
      <c r="IH172" s="142"/>
      <c r="II172" s="142"/>
      <c r="IJ172" s="142"/>
      <c r="IK172" s="142"/>
      <c r="IL172" s="142"/>
      <c r="IM172" s="142"/>
      <c r="IN172" s="142"/>
      <c r="IO172" s="142"/>
      <c r="IP172" s="142"/>
      <c r="IQ172" s="142"/>
      <c r="IR172" s="142"/>
      <c r="IS172" s="142"/>
      <c r="IT172" s="142"/>
      <c r="IU172" s="142"/>
      <c r="IV172" s="142"/>
    </row>
    <row r="173" spans="1:256" s="194" customFormat="1" x14ac:dyDescent="0.25">
      <c r="A173" s="148" t="s">
        <v>4801</v>
      </c>
      <c r="B173" s="150"/>
      <c r="C173" s="146"/>
      <c r="D173" s="146"/>
      <c r="E173" s="146">
        <f t="shared" si="8"/>
        <v>1.0006038900145686</v>
      </c>
      <c r="F173" s="432">
        <v>956.04899999999998</v>
      </c>
      <c r="G173" s="146">
        <f t="shared" si="9"/>
        <v>1.0008860751060482</v>
      </c>
      <c r="H173" s="432">
        <v>1051.6320000000001</v>
      </c>
      <c r="I173" s="142"/>
      <c r="J173" s="142"/>
      <c r="K173" s="142"/>
      <c r="L173" s="142"/>
      <c r="M173" s="142"/>
      <c r="N173" s="142"/>
      <c r="O173" s="142"/>
      <c r="P173" s="142"/>
      <c r="Q173" s="142"/>
      <c r="R173" s="142"/>
      <c r="S173" s="142"/>
      <c r="T173" s="142"/>
      <c r="U173" s="142"/>
      <c r="V173" s="142"/>
      <c r="W173" s="142"/>
      <c r="X173" s="142"/>
      <c r="Y173" s="142"/>
      <c r="Z173" s="142"/>
      <c r="AA173" s="142"/>
      <c r="AB173" s="142"/>
      <c r="AC173" s="142"/>
      <c r="AD173" s="142"/>
      <c r="AE173" s="142"/>
      <c r="AF173" s="142"/>
      <c r="AG173" s="142"/>
      <c r="AH173" s="142"/>
      <c r="AI173" s="142"/>
      <c r="AJ173" s="142"/>
      <c r="AK173" s="142"/>
      <c r="AL173" s="142"/>
      <c r="AM173" s="142"/>
      <c r="AN173" s="142"/>
      <c r="AO173" s="142"/>
      <c r="AP173" s="142"/>
      <c r="AQ173" s="142"/>
      <c r="AR173" s="142"/>
      <c r="AS173" s="142"/>
      <c r="AT173" s="142"/>
      <c r="AU173" s="142"/>
      <c r="AV173" s="142"/>
      <c r="AW173" s="142"/>
      <c r="AX173" s="142"/>
      <c r="AY173" s="142"/>
      <c r="AZ173" s="142"/>
      <c r="BA173" s="142"/>
      <c r="BB173" s="142"/>
      <c r="BC173" s="142"/>
      <c r="BD173" s="142"/>
      <c r="BE173" s="142"/>
      <c r="BF173" s="142"/>
      <c r="BG173" s="142"/>
      <c r="BH173" s="142"/>
      <c r="BI173" s="142"/>
      <c r="BJ173" s="142"/>
      <c r="BK173" s="142"/>
      <c r="BL173" s="142"/>
      <c r="BM173" s="142"/>
      <c r="BN173" s="142"/>
      <c r="BO173" s="142"/>
      <c r="BP173" s="142"/>
      <c r="BQ173" s="142"/>
      <c r="BR173" s="142"/>
      <c r="BS173" s="142"/>
      <c r="BT173" s="142"/>
      <c r="BU173" s="142"/>
      <c r="BV173" s="142"/>
      <c r="BW173" s="142"/>
      <c r="BX173" s="142"/>
      <c r="BY173" s="142"/>
      <c r="BZ173" s="142"/>
      <c r="CA173" s="142"/>
      <c r="CB173" s="142"/>
      <c r="CC173" s="142"/>
      <c r="CD173" s="142"/>
      <c r="CE173" s="142"/>
      <c r="CF173" s="142"/>
      <c r="CG173" s="142"/>
      <c r="CH173" s="142"/>
      <c r="CI173" s="142"/>
      <c r="CJ173" s="142"/>
      <c r="CK173" s="142"/>
      <c r="CL173" s="142"/>
      <c r="CM173" s="142"/>
      <c r="CN173" s="142"/>
      <c r="CO173" s="142"/>
      <c r="CP173" s="142"/>
      <c r="CQ173" s="142"/>
      <c r="CR173" s="142"/>
      <c r="CS173" s="142"/>
      <c r="CT173" s="142"/>
      <c r="CU173" s="142"/>
      <c r="CV173" s="142"/>
      <c r="CW173" s="142"/>
      <c r="CX173" s="142"/>
      <c r="CY173" s="142"/>
      <c r="CZ173" s="142"/>
      <c r="DA173" s="142"/>
      <c r="DB173" s="142"/>
      <c r="DC173" s="142"/>
      <c r="DD173" s="142"/>
      <c r="DE173" s="142"/>
      <c r="DF173" s="142"/>
      <c r="DG173" s="142"/>
      <c r="DH173" s="142"/>
      <c r="DI173" s="142"/>
      <c r="DJ173" s="142"/>
      <c r="DK173" s="142"/>
      <c r="DL173" s="142"/>
      <c r="DM173" s="142"/>
      <c r="DN173" s="142"/>
      <c r="DO173" s="142"/>
      <c r="DP173" s="142"/>
      <c r="DQ173" s="142"/>
      <c r="DR173" s="142"/>
      <c r="DS173" s="142"/>
      <c r="DT173" s="142"/>
      <c r="DU173" s="142"/>
      <c r="DV173" s="142"/>
      <c r="DW173" s="142"/>
      <c r="DX173" s="142"/>
      <c r="DY173" s="142"/>
      <c r="DZ173" s="142"/>
      <c r="EA173" s="142"/>
      <c r="EB173" s="142"/>
      <c r="EC173" s="142"/>
      <c r="ED173" s="142"/>
      <c r="EE173" s="142"/>
      <c r="EF173" s="142"/>
      <c r="EG173" s="142"/>
      <c r="EH173" s="142"/>
      <c r="EI173" s="142"/>
      <c r="EJ173" s="142"/>
      <c r="EK173" s="142"/>
      <c r="EL173" s="142"/>
      <c r="EM173" s="142"/>
      <c r="EN173" s="142"/>
      <c r="EO173" s="142"/>
      <c r="EP173" s="142"/>
      <c r="EQ173" s="142"/>
      <c r="ER173" s="142"/>
      <c r="ES173" s="142"/>
      <c r="ET173" s="142"/>
      <c r="EU173" s="142"/>
      <c r="EV173" s="142"/>
      <c r="EW173" s="142"/>
      <c r="EX173" s="142"/>
      <c r="EY173" s="142"/>
      <c r="EZ173" s="142"/>
      <c r="FA173" s="142"/>
      <c r="FB173" s="142"/>
      <c r="FC173" s="142"/>
      <c r="FD173" s="142"/>
      <c r="FE173" s="142"/>
      <c r="FF173" s="142"/>
      <c r="FG173" s="142"/>
      <c r="FH173" s="142"/>
      <c r="FI173" s="142"/>
      <c r="FJ173" s="142"/>
      <c r="FK173" s="142"/>
      <c r="FL173" s="142"/>
      <c r="FM173" s="142"/>
      <c r="FN173" s="142"/>
      <c r="FO173" s="142"/>
      <c r="FP173" s="142"/>
      <c r="FQ173" s="142"/>
      <c r="FR173" s="142"/>
      <c r="FS173" s="142"/>
      <c r="FT173" s="142"/>
      <c r="FU173" s="142"/>
      <c r="FV173" s="142"/>
      <c r="FW173" s="142"/>
      <c r="FX173" s="142"/>
      <c r="FY173" s="142"/>
      <c r="FZ173" s="142"/>
      <c r="GA173" s="142"/>
      <c r="GB173" s="142"/>
      <c r="GC173" s="142"/>
      <c r="GD173" s="142"/>
      <c r="GE173" s="142"/>
      <c r="GF173" s="142"/>
      <c r="GG173" s="142"/>
      <c r="GH173" s="142"/>
      <c r="GI173" s="142"/>
      <c r="GJ173" s="142"/>
      <c r="GK173" s="142"/>
      <c r="GL173" s="142"/>
      <c r="GM173" s="142"/>
      <c r="GN173" s="142"/>
      <c r="GO173" s="142"/>
      <c r="GP173" s="142"/>
      <c r="GQ173" s="142"/>
      <c r="GR173" s="142"/>
      <c r="GS173" s="142"/>
      <c r="GT173" s="142"/>
      <c r="GU173" s="142"/>
      <c r="GV173" s="142"/>
      <c r="GW173" s="142"/>
      <c r="GX173" s="142"/>
      <c r="GY173" s="142"/>
      <c r="GZ173" s="142"/>
      <c r="HA173" s="142"/>
      <c r="HB173" s="142"/>
      <c r="HC173" s="142"/>
      <c r="HD173" s="142"/>
      <c r="HE173" s="142"/>
      <c r="HF173" s="142"/>
      <c r="HG173" s="142"/>
      <c r="HH173" s="142"/>
      <c r="HI173" s="142"/>
      <c r="HJ173" s="142"/>
      <c r="HK173" s="142"/>
      <c r="HL173" s="142"/>
      <c r="HM173" s="142"/>
      <c r="HN173" s="142"/>
      <c r="HO173" s="142"/>
      <c r="HP173" s="142"/>
      <c r="HQ173" s="142"/>
      <c r="HR173" s="142"/>
      <c r="HS173" s="142"/>
      <c r="HT173" s="142"/>
      <c r="HU173" s="142"/>
      <c r="HV173" s="142"/>
      <c r="HW173" s="142"/>
      <c r="HX173" s="142"/>
      <c r="HY173" s="142"/>
      <c r="HZ173" s="142"/>
      <c r="IA173" s="142"/>
      <c r="IB173" s="142"/>
      <c r="IC173" s="142"/>
      <c r="ID173" s="142"/>
      <c r="IE173" s="142"/>
      <c r="IF173" s="142"/>
      <c r="IG173" s="142"/>
      <c r="IH173" s="142"/>
      <c r="II173" s="142"/>
      <c r="IJ173" s="142"/>
      <c r="IK173" s="142"/>
      <c r="IL173" s="142"/>
      <c r="IM173" s="142"/>
      <c r="IN173" s="142"/>
      <c r="IO173" s="142"/>
      <c r="IP173" s="142"/>
      <c r="IQ173" s="142"/>
      <c r="IR173" s="142"/>
      <c r="IS173" s="142"/>
      <c r="IT173" s="142"/>
      <c r="IU173" s="142"/>
      <c r="IV173" s="142"/>
    </row>
    <row r="174" spans="1:256" s="194" customFormat="1" x14ac:dyDescent="0.25">
      <c r="A174" s="148" t="s">
        <v>4802</v>
      </c>
      <c r="B174" s="150"/>
      <c r="C174" s="146"/>
      <c r="D174" s="146"/>
      <c r="E174" s="146">
        <f t="shared" si="8"/>
        <v>0.99844359441827779</v>
      </c>
      <c r="F174" s="432">
        <v>954.56100000000004</v>
      </c>
      <c r="G174" s="146">
        <f t="shared" si="9"/>
        <v>1.0045510216501587</v>
      </c>
      <c r="H174" s="432">
        <v>1056.4179999999999</v>
      </c>
      <c r="I174" s="142"/>
      <c r="J174" s="142"/>
      <c r="K174" s="142"/>
      <c r="L174" s="142"/>
      <c r="M174" s="142"/>
      <c r="N174" s="142"/>
      <c r="O174" s="142"/>
      <c r="P174" s="142"/>
      <c r="Q174" s="142"/>
      <c r="R174" s="142"/>
      <c r="S174" s="142"/>
      <c r="T174" s="142"/>
      <c r="U174" s="142"/>
      <c r="V174" s="142"/>
      <c r="W174" s="142"/>
      <c r="X174" s="142"/>
      <c r="Y174" s="142"/>
      <c r="Z174" s="142"/>
      <c r="AA174" s="142"/>
      <c r="AB174" s="142"/>
      <c r="AC174" s="142"/>
      <c r="AD174" s="142"/>
      <c r="AE174" s="142"/>
      <c r="AF174" s="142"/>
      <c r="AG174" s="142"/>
      <c r="AH174" s="142"/>
      <c r="AI174" s="142"/>
      <c r="AJ174" s="142"/>
      <c r="AK174" s="142"/>
      <c r="AL174" s="142"/>
      <c r="AM174" s="142"/>
      <c r="AN174" s="142"/>
      <c r="AO174" s="142"/>
      <c r="AP174" s="142"/>
      <c r="AQ174" s="142"/>
      <c r="AR174" s="142"/>
      <c r="AS174" s="142"/>
      <c r="AT174" s="142"/>
      <c r="AU174" s="142"/>
      <c r="AV174" s="142"/>
      <c r="AW174" s="142"/>
      <c r="AX174" s="142"/>
      <c r="AY174" s="142"/>
      <c r="AZ174" s="142"/>
      <c r="BA174" s="142"/>
      <c r="BB174" s="142"/>
      <c r="BC174" s="142"/>
      <c r="BD174" s="142"/>
      <c r="BE174" s="142"/>
      <c r="BF174" s="142"/>
      <c r="BG174" s="142"/>
      <c r="BH174" s="142"/>
      <c r="BI174" s="142"/>
      <c r="BJ174" s="142"/>
      <c r="BK174" s="142"/>
      <c r="BL174" s="142"/>
      <c r="BM174" s="142"/>
      <c r="BN174" s="142"/>
      <c r="BO174" s="142"/>
      <c r="BP174" s="142"/>
      <c r="BQ174" s="142"/>
      <c r="BR174" s="142"/>
      <c r="BS174" s="142"/>
      <c r="BT174" s="142"/>
      <c r="BU174" s="142"/>
      <c r="BV174" s="142"/>
      <c r="BW174" s="142"/>
      <c r="BX174" s="142"/>
      <c r="BY174" s="142"/>
      <c r="BZ174" s="142"/>
      <c r="CA174" s="142"/>
      <c r="CB174" s="142"/>
      <c r="CC174" s="142"/>
      <c r="CD174" s="142"/>
      <c r="CE174" s="142"/>
      <c r="CF174" s="142"/>
      <c r="CG174" s="142"/>
      <c r="CH174" s="142"/>
      <c r="CI174" s="142"/>
      <c r="CJ174" s="142"/>
      <c r="CK174" s="142"/>
      <c r="CL174" s="142"/>
      <c r="CM174" s="142"/>
      <c r="CN174" s="142"/>
      <c r="CO174" s="142"/>
      <c r="CP174" s="142"/>
      <c r="CQ174" s="142"/>
      <c r="CR174" s="142"/>
      <c r="CS174" s="142"/>
      <c r="CT174" s="142"/>
      <c r="CU174" s="142"/>
      <c r="CV174" s="142"/>
      <c r="CW174" s="142"/>
      <c r="CX174" s="142"/>
      <c r="CY174" s="142"/>
      <c r="CZ174" s="142"/>
      <c r="DA174" s="142"/>
      <c r="DB174" s="142"/>
      <c r="DC174" s="142"/>
      <c r="DD174" s="142"/>
      <c r="DE174" s="142"/>
      <c r="DF174" s="142"/>
      <c r="DG174" s="142"/>
      <c r="DH174" s="142"/>
      <c r="DI174" s="142"/>
      <c r="DJ174" s="142"/>
      <c r="DK174" s="142"/>
      <c r="DL174" s="142"/>
      <c r="DM174" s="142"/>
      <c r="DN174" s="142"/>
      <c r="DO174" s="142"/>
      <c r="DP174" s="142"/>
      <c r="DQ174" s="142"/>
      <c r="DR174" s="142"/>
      <c r="DS174" s="142"/>
      <c r="DT174" s="142"/>
      <c r="DU174" s="142"/>
      <c r="DV174" s="142"/>
      <c r="DW174" s="142"/>
      <c r="DX174" s="142"/>
      <c r="DY174" s="142"/>
      <c r="DZ174" s="142"/>
      <c r="EA174" s="142"/>
      <c r="EB174" s="142"/>
      <c r="EC174" s="142"/>
      <c r="ED174" s="142"/>
      <c r="EE174" s="142"/>
      <c r="EF174" s="142"/>
      <c r="EG174" s="142"/>
      <c r="EH174" s="142"/>
      <c r="EI174" s="142"/>
      <c r="EJ174" s="142"/>
      <c r="EK174" s="142"/>
      <c r="EL174" s="142"/>
      <c r="EM174" s="142"/>
      <c r="EN174" s="142"/>
      <c r="EO174" s="142"/>
      <c r="EP174" s="142"/>
      <c r="EQ174" s="142"/>
      <c r="ER174" s="142"/>
      <c r="ES174" s="142"/>
      <c r="ET174" s="142"/>
      <c r="EU174" s="142"/>
      <c r="EV174" s="142"/>
      <c r="EW174" s="142"/>
      <c r="EX174" s="142"/>
      <c r="EY174" s="142"/>
      <c r="EZ174" s="142"/>
      <c r="FA174" s="142"/>
      <c r="FB174" s="142"/>
      <c r="FC174" s="142"/>
      <c r="FD174" s="142"/>
      <c r="FE174" s="142"/>
      <c r="FF174" s="142"/>
      <c r="FG174" s="142"/>
      <c r="FH174" s="142"/>
      <c r="FI174" s="142"/>
      <c r="FJ174" s="142"/>
      <c r="FK174" s="142"/>
      <c r="FL174" s="142"/>
      <c r="FM174" s="142"/>
      <c r="FN174" s="142"/>
      <c r="FO174" s="142"/>
      <c r="FP174" s="142"/>
      <c r="FQ174" s="142"/>
      <c r="FR174" s="142"/>
      <c r="FS174" s="142"/>
      <c r="FT174" s="142"/>
      <c r="FU174" s="142"/>
      <c r="FV174" s="142"/>
      <c r="FW174" s="142"/>
      <c r="FX174" s="142"/>
      <c r="FY174" s="142"/>
      <c r="FZ174" s="142"/>
      <c r="GA174" s="142"/>
      <c r="GB174" s="142"/>
      <c r="GC174" s="142"/>
      <c r="GD174" s="142"/>
      <c r="GE174" s="142"/>
      <c r="GF174" s="142"/>
      <c r="GG174" s="142"/>
      <c r="GH174" s="142"/>
      <c r="GI174" s="142"/>
      <c r="GJ174" s="142"/>
      <c r="GK174" s="142"/>
      <c r="GL174" s="142"/>
      <c r="GM174" s="142"/>
      <c r="GN174" s="142"/>
      <c r="GO174" s="142"/>
      <c r="GP174" s="142"/>
      <c r="GQ174" s="142"/>
      <c r="GR174" s="142"/>
      <c r="GS174" s="142"/>
      <c r="GT174" s="142"/>
      <c r="GU174" s="142"/>
      <c r="GV174" s="142"/>
      <c r="GW174" s="142"/>
      <c r="GX174" s="142"/>
      <c r="GY174" s="142"/>
      <c r="GZ174" s="142"/>
      <c r="HA174" s="142"/>
      <c r="HB174" s="142"/>
      <c r="HC174" s="142"/>
      <c r="HD174" s="142"/>
      <c r="HE174" s="142"/>
      <c r="HF174" s="142"/>
      <c r="HG174" s="142"/>
      <c r="HH174" s="142"/>
      <c r="HI174" s="142"/>
      <c r="HJ174" s="142"/>
      <c r="HK174" s="142"/>
      <c r="HL174" s="142"/>
      <c r="HM174" s="142"/>
      <c r="HN174" s="142"/>
      <c r="HO174" s="142"/>
      <c r="HP174" s="142"/>
      <c r="HQ174" s="142"/>
      <c r="HR174" s="142"/>
      <c r="HS174" s="142"/>
      <c r="HT174" s="142"/>
      <c r="HU174" s="142"/>
      <c r="HV174" s="142"/>
      <c r="HW174" s="142"/>
      <c r="HX174" s="142"/>
      <c r="HY174" s="142"/>
      <c r="HZ174" s="142"/>
      <c r="IA174" s="142"/>
      <c r="IB174" s="142"/>
      <c r="IC174" s="142"/>
      <c r="ID174" s="142"/>
      <c r="IE174" s="142"/>
      <c r="IF174" s="142"/>
      <c r="IG174" s="142"/>
      <c r="IH174" s="142"/>
      <c r="II174" s="142"/>
      <c r="IJ174" s="142"/>
      <c r="IK174" s="142"/>
      <c r="IL174" s="142"/>
      <c r="IM174" s="142"/>
      <c r="IN174" s="142"/>
      <c r="IO174" s="142"/>
      <c r="IP174" s="142"/>
      <c r="IQ174" s="142"/>
      <c r="IR174" s="142"/>
      <c r="IS174" s="142"/>
      <c r="IT174" s="142"/>
      <c r="IU174" s="142"/>
      <c r="IV174" s="142"/>
    </row>
    <row r="175" spans="1:256" s="194" customFormat="1" x14ac:dyDescent="0.25">
      <c r="A175" s="148" t="s">
        <v>4803</v>
      </c>
      <c r="B175" s="150"/>
      <c r="C175" s="146"/>
      <c r="D175" s="146"/>
      <c r="E175" s="146">
        <f t="shared" si="8"/>
        <v>1.0017327336859561</v>
      </c>
      <c r="F175" s="432">
        <v>956.21500000000003</v>
      </c>
      <c r="G175" s="146">
        <f t="shared" si="9"/>
        <v>1.0004524724114887</v>
      </c>
      <c r="H175" s="432">
        <v>1056.896</v>
      </c>
      <c r="I175" s="142"/>
      <c r="J175" s="142"/>
      <c r="K175" s="142"/>
      <c r="L175" s="142"/>
      <c r="M175" s="142"/>
      <c r="N175" s="142"/>
      <c r="O175" s="142"/>
      <c r="P175" s="142"/>
      <c r="Q175" s="142"/>
      <c r="R175" s="142"/>
      <c r="S175" s="142"/>
      <c r="T175" s="142"/>
      <c r="U175" s="142"/>
      <c r="V175" s="142"/>
      <c r="W175" s="142"/>
      <c r="X175" s="142"/>
      <c r="Y175" s="142"/>
      <c r="Z175" s="142"/>
      <c r="AA175" s="142"/>
      <c r="AB175" s="142"/>
      <c r="AC175" s="142"/>
      <c r="AD175" s="142"/>
      <c r="AE175" s="142"/>
      <c r="AF175" s="142"/>
      <c r="AG175" s="142"/>
      <c r="AH175" s="142"/>
      <c r="AI175" s="142"/>
      <c r="AJ175" s="142"/>
      <c r="AK175" s="142"/>
      <c r="AL175" s="142"/>
      <c r="AM175" s="142"/>
      <c r="AN175" s="142"/>
      <c r="AO175" s="142"/>
      <c r="AP175" s="142"/>
      <c r="AQ175" s="142"/>
      <c r="AR175" s="142"/>
      <c r="AS175" s="142"/>
      <c r="AT175" s="142"/>
      <c r="AU175" s="142"/>
      <c r="AV175" s="142"/>
      <c r="AW175" s="142"/>
      <c r="AX175" s="142"/>
      <c r="AY175" s="142"/>
      <c r="AZ175" s="142"/>
      <c r="BA175" s="142"/>
      <c r="BB175" s="142"/>
      <c r="BC175" s="142"/>
      <c r="BD175" s="142"/>
      <c r="BE175" s="142"/>
      <c r="BF175" s="142"/>
      <c r="BG175" s="142"/>
      <c r="BH175" s="142"/>
      <c r="BI175" s="142"/>
      <c r="BJ175" s="142"/>
      <c r="BK175" s="142"/>
      <c r="BL175" s="142"/>
      <c r="BM175" s="142"/>
      <c r="BN175" s="142"/>
      <c r="BO175" s="142"/>
      <c r="BP175" s="142"/>
      <c r="BQ175" s="142"/>
      <c r="BR175" s="142"/>
      <c r="BS175" s="142"/>
      <c r="BT175" s="142"/>
      <c r="BU175" s="142"/>
      <c r="BV175" s="142"/>
      <c r="BW175" s="142"/>
      <c r="BX175" s="142"/>
      <c r="BY175" s="142"/>
      <c r="BZ175" s="142"/>
      <c r="CA175" s="142"/>
      <c r="CB175" s="142"/>
      <c r="CC175" s="142"/>
      <c r="CD175" s="142"/>
      <c r="CE175" s="142"/>
      <c r="CF175" s="142"/>
      <c r="CG175" s="142"/>
      <c r="CH175" s="142"/>
      <c r="CI175" s="142"/>
      <c r="CJ175" s="142"/>
      <c r="CK175" s="142"/>
      <c r="CL175" s="142"/>
      <c r="CM175" s="142"/>
      <c r="CN175" s="142"/>
      <c r="CO175" s="142"/>
      <c r="CP175" s="142"/>
      <c r="CQ175" s="142"/>
      <c r="CR175" s="142"/>
      <c r="CS175" s="142"/>
      <c r="CT175" s="142"/>
      <c r="CU175" s="142"/>
      <c r="CV175" s="142"/>
      <c r="CW175" s="142"/>
      <c r="CX175" s="142"/>
      <c r="CY175" s="142"/>
      <c r="CZ175" s="142"/>
      <c r="DA175" s="142"/>
      <c r="DB175" s="142"/>
      <c r="DC175" s="142"/>
      <c r="DD175" s="142"/>
      <c r="DE175" s="142"/>
      <c r="DF175" s="142"/>
      <c r="DG175" s="142"/>
      <c r="DH175" s="142"/>
      <c r="DI175" s="142"/>
      <c r="DJ175" s="142"/>
      <c r="DK175" s="142"/>
      <c r="DL175" s="142"/>
      <c r="DM175" s="142"/>
      <c r="DN175" s="142"/>
      <c r="DO175" s="142"/>
      <c r="DP175" s="142"/>
      <c r="DQ175" s="142"/>
      <c r="DR175" s="142"/>
      <c r="DS175" s="142"/>
      <c r="DT175" s="142"/>
      <c r="DU175" s="142"/>
      <c r="DV175" s="142"/>
      <c r="DW175" s="142"/>
      <c r="DX175" s="142"/>
      <c r="DY175" s="142"/>
      <c r="DZ175" s="142"/>
      <c r="EA175" s="142"/>
      <c r="EB175" s="142"/>
      <c r="EC175" s="142"/>
      <c r="ED175" s="142"/>
      <c r="EE175" s="142"/>
      <c r="EF175" s="142"/>
      <c r="EG175" s="142"/>
      <c r="EH175" s="142"/>
      <c r="EI175" s="142"/>
      <c r="EJ175" s="142"/>
      <c r="EK175" s="142"/>
      <c r="EL175" s="142"/>
      <c r="EM175" s="142"/>
      <c r="EN175" s="142"/>
      <c r="EO175" s="142"/>
      <c r="EP175" s="142"/>
      <c r="EQ175" s="142"/>
      <c r="ER175" s="142"/>
      <c r="ES175" s="142"/>
      <c r="ET175" s="142"/>
      <c r="EU175" s="142"/>
      <c r="EV175" s="142"/>
      <c r="EW175" s="142"/>
      <c r="EX175" s="142"/>
      <c r="EY175" s="142"/>
      <c r="EZ175" s="142"/>
      <c r="FA175" s="142"/>
      <c r="FB175" s="142"/>
      <c r="FC175" s="142"/>
      <c r="FD175" s="142"/>
      <c r="FE175" s="142"/>
      <c r="FF175" s="142"/>
      <c r="FG175" s="142"/>
      <c r="FH175" s="142"/>
      <c r="FI175" s="142"/>
      <c r="FJ175" s="142"/>
      <c r="FK175" s="142"/>
      <c r="FL175" s="142"/>
      <c r="FM175" s="142"/>
      <c r="FN175" s="142"/>
      <c r="FO175" s="142"/>
      <c r="FP175" s="142"/>
      <c r="FQ175" s="142"/>
      <c r="FR175" s="142"/>
      <c r="FS175" s="142"/>
      <c r="FT175" s="142"/>
      <c r="FU175" s="142"/>
      <c r="FV175" s="142"/>
      <c r="FW175" s="142"/>
      <c r="FX175" s="142"/>
      <c r="FY175" s="142"/>
      <c r="FZ175" s="142"/>
      <c r="GA175" s="142"/>
      <c r="GB175" s="142"/>
      <c r="GC175" s="142"/>
      <c r="GD175" s="142"/>
      <c r="GE175" s="142"/>
      <c r="GF175" s="142"/>
      <c r="GG175" s="142"/>
      <c r="GH175" s="142"/>
      <c r="GI175" s="142"/>
      <c r="GJ175" s="142"/>
      <c r="GK175" s="142"/>
      <c r="GL175" s="142"/>
      <c r="GM175" s="142"/>
      <c r="GN175" s="142"/>
      <c r="GO175" s="142"/>
      <c r="GP175" s="142"/>
      <c r="GQ175" s="142"/>
      <c r="GR175" s="142"/>
      <c r="GS175" s="142"/>
      <c r="GT175" s="142"/>
      <c r="GU175" s="142"/>
      <c r="GV175" s="142"/>
      <c r="GW175" s="142"/>
      <c r="GX175" s="142"/>
      <c r="GY175" s="142"/>
      <c r="GZ175" s="142"/>
      <c r="HA175" s="142"/>
      <c r="HB175" s="142"/>
      <c r="HC175" s="142"/>
      <c r="HD175" s="142"/>
      <c r="HE175" s="142"/>
      <c r="HF175" s="142"/>
      <c r="HG175" s="142"/>
      <c r="HH175" s="142"/>
      <c r="HI175" s="142"/>
      <c r="HJ175" s="142"/>
      <c r="HK175" s="142"/>
      <c r="HL175" s="142"/>
      <c r="HM175" s="142"/>
      <c r="HN175" s="142"/>
      <c r="HO175" s="142"/>
      <c r="HP175" s="142"/>
      <c r="HQ175" s="142"/>
      <c r="HR175" s="142"/>
      <c r="HS175" s="142"/>
      <c r="HT175" s="142"/>
      <c r="HU175" s="142"/>
      <c r="HV175" s="142"/>
      <c r="HW175" s="142"/>
      <c r="HX175" s="142"/>
      <c r="HY175" s="142"/>
      <c r="HZ175" s="142"/>
      <c r="IA175" s="142"/>
      <c r="IB175" s="142"/>
      <c r="IC175" s="142"/>
      <c r="ID175" s="142"/>
      <c r="IE175" s="142"/>
      <c r="IF175" s="142"/>
      <c r="IG175" s="142"/>
      <c r="IH175" s="142"/>
      <c r="II175" s="142"/>
      <c r="IJ175" s="142"/>
      <c r="IK175" s="142"/>
      <c r="IL175" s="142"/>
      <c r="IM175" s="142"/>
      <c r="IN175" s="142"/>
      <c r="IO175" s="142"/>
      <c r="IP175" s="142"/>
      <c r="IQ175" s="142"/>
      <c r="IR175" s="142"/>
      <c r="IS175" s="142"/>
      <c r="IT175" s="142"/>
      <c r="IU175" s="142"/>
      <c r="IV175" s="142"/>
    </row>
    <row r="176" spans="1:256" s="194" customFormat="1" x14ac:dyDescent="0.25">
      <c r="A176" s="148" t="s">
        <v>4804</v>
      </c>
      <c r="B176" s="150"/>
      <c r="C176" s="146"/>
      <c r="D176" s="146"/>
      <c r="E176" s="146">
        <f t="shared" si="8"/>
        <v>1.0011796510199065</v>
      </c>
      <c r="F176" s="432">
        <v>957.34299999999996</v>
      </c>
      <c r="G176" s="146">
        <f t="shared" si="9"/>
        <v>1.0030466573816157</v>
      </c>
      <c r="H176" s="432">
        <v>1060.116</v>
      </c>
      <c r="I176" s="142"/>
      <c r="J176" s="142"/>
      <c r="K176" s="142"/>
      <c r="L176" s="142"/>
      <c r="M176" s="142"/>
      <c r="N176" s="142"/>
      <c r="O176" s="142"/>
      <c r="P176" s="142"/>
      <c r="Q176" s="142"/>
      <c r="R176" s="142"/>
      <c r="S176" s="142"/>
      <c r="T176" s="142"/>
      <c r="U176" s="142"/>
      <c r="V176" s="142"/>
      <c r="W176" s="142"/>
      <c r="X176" s="142"/>
      <c r="Y176" s="142"/>
      <c r="Z176" s="142"/>
      <c r="AA176" s="142"/>
      <c r="AB176" s="142"/>
      <c r="AC176" s="142"/>
      <c r="AD176" s="142"/>
      <c r="AE176" s="142"/>
      <c r="AF176" s="142"/>
      <c r="AG176" s="142"/>
      <c r="AH176" s="142"/>
      <c r="AI176" s="142"/>
      <c r="AJ176" s="142"/>
      <c r="AK176" s="142"/>
      <c r="AL176" s="142"/>
      <c r="AM176" s="142"/>
      <c r="AN176" s="142"/>
      <c r="AO176" s="142"/>
      <c r="AP176" s="142"/>
      <c r="AQ176" s="142"/>
      <c r="AR176" s="142"/>
      <c r="AS176" s="142"/>
      <c r="AT176" s="142"/>
      <c r="AU176" s="142"/>
      <c r="AV176" s="142"/>
      <c r="AW176" s="142"/>
      <c r="AX176" s="142"/>
      <c r="AY176" s="142"/>
      <c r="AZ176" s="142"/>
      <c r="BA176" s="142"/>
      <c r="BB176" s="142"/>
      <c r="BC176" s="142"/>
      <c r="BD176" s="142"/>
      <c r="BE176" s="142"/>
      <c r="BF176" s="142"/>
      <c r="BG176" s="142"/>
      <c r="BH176" s="142"/>
      <c r="BI176" s="142"/>
      <c r="BJ176" s="142"/>
      <c r="BK176" s="142"/>
      <c r="BL176" s="142"/>
      <c r="BM176" s="142"/>
      <c r="BN176" s="142"/>
      <c r="BO176" s="142"/>
      <c r="BP176" s="142"/>
      <c r="BQ176" s="142"/>
      <c r="BR176" s="142"/>
      <c r="BS176" s="142"/>
      <c r="BT176" s="142"/>
      <c r="BU176" s="142"/>
      <c r="BV176" s="142"/>
      <c r="BW176" s="142"/>
      <c r="BX176" s="142"/>
      <c r="BY176" s="142"/>
      <c r="BZ176" s="142"/>
      <c r="CA176" s="142"/>
      <c r="CB176" s="142"/>
      <c r="CC176" s="142"/>
      <c r="CD176" s="142"/>
      <c r="CE176" s="142"/>
      <c r="CF176" s="142"/>
      <c r="CG176" s="142"/>
      <c r="CH176" s="142"/>
      <c r="CI176" s="142"/>
      <c r="CJ176" s="142"/>
      <c r="CK176" s="142"/>
      <c r="CL176" s="142"/>
      <c r="CM176" s="142"/>
      <c r="CN176" s="142"/>
      <c r="CO176" s="142"/>
      <c r="CP176" s="142"/>
      <c r="CQ176" s="142"/>
      <c r="CR176" s="142"/>
      <c r="CS176" s="142"/>
      <c r="CT176" s="142"/>
      <c r="CU176" s="142"/>
      <c r="CV176" s="142"/>
      <c r="CW176" s="142"/>
      <c r="CX176" s="142"/>
      <c r="CY176" s="142"/>
      <c r="CZ176" s="142"/>
      <c r="DA176" s="142"/>
      <c r="DB176" s="142"/>
      <c r="DC176" s="142"/>
      <c r="DD176" s="142"/>
      <c r="DE176" s="142"/>
      <c r="DF176" s="142"/>
      <c r="DG176" s="142"/>
      <c r="DH176" s="142"/>
      <c r="DI176" s="142"/>
      <c r="DJ176" s="142"/>
      <c r="DK176" s="142"/>
      <c r="DL176" s="142"/>
      <c r="DM176" s="142"/>
      <c r="DN176" s="142"/>
      <c r="DO176" s="142"/>
      <c r="DP176" s="142"/>
      <c r="DQ176" s="142"/>
      <c r="DR176" s="142"/>
      <c r="DS176" s="142"/>
      <c r="DT176" s="142"/>
      <c r="DU176" s="142"/>
      <c r="DV176" s="142"/>
      <c r="DW176" s="142"/>
      <c r="DX176" s="142"/>
      <c r="DY176" s="142"/>
      <c r="DZ176" s="142"/>
      <c r="EA176" s="142"/>
      <c r="EB176" s="142"/>
      <c r="EC176" s="142"/>
      <c r="ED176" s="142"/>
      <c r="EE176" s="142"/>
      <c r="EF176" s="142"/>
      <c r="EG176" s="142"/>
      <c r="EH176" s="142"/>
      <c r="EI176" s="142"/>
      <c r="EJ176" s="142"/>
      <c r="EK176" s="142"/>
      <c r="EL176" s="142"/>
      <c r="EM176" s="142"/>
      <c r="EN176" s="142"/>
      <c r="EO176" s="142"/>
      <c r="EP176" s="142"/>
      <c r="EQ176" s="142"/>
      <c r="ER176" s="142"/>
      <c r="ES176" s="142"/>
      <c r="ET176" s="142"/>
      <c r="EU176" s="142"/>
      <c r="EV176" s="142"/>
      <c r="EW176" s="142"/>
      <c r="EX176" s="142"/>
      <c r="EY176" s="142"/>
      <c r="EZ176" s="142"/>
      <c r="FA176" s="142"/>
      <c r="FB176" s="142"/>
      <c r="FC176" s="142"/>
      <c r="FD176" s="142"/>
      <c r="FE176" s="142"/>
      <c r="FF176" s="142"/>
      <c r="FG176" s="142"/>
      <c r="FH176" s="142"/>
      <c r="FI176" s="142"/>
      <c r="FJ176" s="142"/>
      <c r="FK176" s="142"/>
      <c r="FL176" s="142"/>
      <c r="FM176" s="142"/>
      <c r="FN176" s="142"/>
      <c r="FO176" s="142"/>
      <c r="FP176" s="142"/>
      <c r="FQ176" s="142"/>
      <c r="FR176" s="142"/>
      <c r="FS176" s="142"/>
      <c r="FT176" s="142"/>
      <c r="FU176" s="142"/>
      <c r="FV176" s="142"/>
      <c r="FW176" s="142"/>
      <c r="FX176" s="142"/>
      <c r="FY176" s="142"/>
      <c r="FZ176" s="142"/>
      <c r="GA176" s="142"/>
      <c r="GB176" s="142"/>
      <c r="GC176" s="142"/>
      <c r="GD176" s="142"/>
      <c r="GE176" s="142"/>
      <c r="GF176" s="142"/>
      <c r="GG176" s="142"/>
      <c r="GH176" s="142"/>
      <c r="GI176" s="142"/>
      <c r="GJ176" s="142"/>
      <c r="GK176" s="142"/>
      <c r="GL176" s="142"/>
      <c r="GM176" s="142"/>
      <c r="GN176" s="142"/>
      <c r="GO176" s="142"/>
      <c r="GP176" s="142"/>
      <c r="GQ176" s="142"/>
      <c r="GR176" s="142"/>
      <c r="GS176" s="142"/>
      <c r="GT176" s="142"/>
      <c r="GU176" s="142"/>
      <c r="GV176" s="142"/>
      <c r="GW176" s="142"/>
      <c r="GX176" s="142"/>
      <c r="GY176" s="142"/>
      <c r="GZ176" s="142"/>
      <c r="HA176" s="142"/>
      <c r="HB176" s="142"/>
      <c r="HC176" s="142"/>
      <c r="HD176" s="142"/>
      <c r="HE176" s="142"/>
      <c r="HF176" s="142"/>
      <c r="HG176" s="142"/>
      <c r="HH176" s="142"/>
      <c r="HI176" s="142"/>
      <c r="HJ176" s="142"/>
      <c r="HK176" s="142"/>
      <c r="HL176" s="142"/>
      <c r="HM176" s="142"/>
      <c r="HN176" s="142"/>
      <c r="HO176" s="142"/>
      <c r="HP176" s="142"/>
      <c r="HQ176" s="142"/>
      <c r="HR176" s="142"/>
      <c r="HS176" s="142"/>
      <c r="HT176" s="142"/>
      <c r="HU176" s="142"/>
      <c r="HV176" s="142"/>
      <c r="HW176" s="142"/>
      <c r="HX176" s="142"/>
      <c r="HY176" s="142"/>
      <c r="HZ176" s="142"/>
      <c r="IA176" s="142"/>
      <c r="IB176" s="142"/>
      <c r="IC176" s="142"/>
      <c r="ID176" s="142"/>
      <c r="IE176" s="142"/>
      <c r="IF176" s="142"/>
      <c r="IG176" s="142"/>
      <c r="IH176" s="142"/>
      <c r="II176" s="142"/>
      <c r="IJ176" s="142"/>
      <c r="IK176" s="142"/>
      <c r="IL176" s="142"/>
      <c r="IM176" s="142"/>
      <c r="IN176" s="142"/>
      <c r="IO176" s="142"/>
      <c r="IP176" s="142"/>
      <c r="IQ176" s="142"/>
      <c r="IR176" s="142"/>
      <c r="IS176" s="142"/>
      <c r="IT176" s="142"/>
      <c r="IU176" s="142"/>
      <c r="IV176" s="142"/>
    </row>
    <row r="177" spans="1:256" s="194" customFormat="1" x14ac:dyDescent="0.25">
      <c r="A177" s="148" t="s">
        <v>4805</v>
      </c>
      <c r="B177" s="150"/>
      <c r="C177" s="146"/>
      <c r="D177" s="146"/>
      <c r="E177" s="146">
        <f t="shared" si="8"/>
        <v>1.0013788161609789</v>
      </c>
      <c r="F177" s="432">
        <v>958.66300000000001</v>
      </c>
      <c r="G177" s="146">
        <f t="shared" si="9"/>
        <v>1.0014328620641515</v>
      </c>
      <c r="H177" s="432">
        <v>1061.635</v>
      </c>
      <c r="I177" s="142"/>
      <c r="J177" s="142"/>
      <c r="K177" s="142"/>
      <c r="L177" s="142"/>
      <c r="M177" s="142"/>
      <c r="N177" s="142"/>
      <c r="O177" s="142"/>
      <c r="P177" s="142"/>
      <c r="Q177" s="142"/>
      <c r="R177" s="142"/>
      <c r="S177" s="142"/>
      <c r="T177" s="142"/>
      <c r="U177" s="142"/>
      <c r="V177" s="142"/>
      <c r="W177" s="142"/>
      <c r="X177" s="142"/>
      <c r="Y177" s="142"/>
      <c r="Z177" s="142"/>
      <c r="AA177" s="142"/>
      <c r="AB177" s="142"/>
      <c r="AC177" s="142"/>
      <c r="AD177" s="142"/>
      <c r="AE177" s="142"/>
      <c r="AF177" s="142"/>
      <c r="AG177" s="142"/>
      <c r="AH177" s="142"/>
      <c r="AI177" s="142"/>
      <c r="AJ177" s="142"/>
      <c r="AK177" s="142"/>
      <c r="AL177" s="142"/>
      <c r="AM177" s="142"/>
      <c r="AN177" s="142"/>
      <c r="AO177" s="142"/>
      <c r="AP177" s="142"/>
      <c r="AQ177" s="142"/>
      <c r="AR177" s="142"/>
      <c r="AS177" s="142"/>
      <c r="AT177" s="142"/>
      <c r="AU177" s="142"/>
      <c r="AV177" s="142"/>
      <c r="AW177" s="142"/>
      <c r="AX177" s="142"/>
      <c r="AY177" s="142"/>
      <c r="AZ177" s="142"/>
      <c r="BA177" s="142"/>
      <c r="BB177" s="142"/>
      <c r="BC177" s="142"/>
      <c r="BD177" s="142"/>
      <c r="BE177" s="142"/>
      <c r="BF177" s="142"/>
      <c r="BG177" s="142"/>
      <c r="BH177" s="142"/>
      <c r="BI177" s="142"/>
      <c r="BJ177" s="142"/>
      <c r="BK177" s="142"/>
      <c r="BL177" s="142"/>
      <c r="BM177" s="142"/>
      <c r="BN177" s="142"/>
      <c r="BO177" s="142"/>
      <c r="BP177" s="142"/>
      <c r="BQ177" s="142"/>
      <c r="BR177" s="142"/>
      <c r="BS177" s="142"/>
      <c r="BT177" s="142"/>
      <c r="BU177" s="142"/>
      <c r="BV177" s="142"/>
      <c r="BW177" s="142"/>
      <c r="BX177" s="142"/>
      <c r="BY177" s="142"/>
      <c r="BZ177" s="142"/>
      <c r="CA177" s="142"/>
      <c r="CB177" s="142"/>
      <c r="CC177" s="142"/>
      <c r="CD177" s="142"/>
      <c r="CE177" s="142"/>
      <c r="CF177" s="142"/>
      <c r="CG177" s="142"/>
      <c r="CH177" s="142"/>
      <c r="CI177" s="142"/>
      <c r="CJ177" s="142"/>
      <c r="CK177" s="142"/>
      <c r="CL177" s="142"/>
      <c r="CM177" s="142"/>
      <c r="CN177" s="142"/>
      <c r="CO177" s="142"/>
      <c r="CP177" s="142"/>
      <c r="CQ177" s="142"/>
      <c r="CR177" s="142"/>
      <c r="CS177" s="142"/>
      <c r="CT177" s="142"/>
      <c r="CU177" s="142"/>
      <c r="CV177" s="142"/>
      <c r="CW177" s="142"/>
      <c r="CX177" s="142"/>
      <c r="CY177" s="142"/>
      <c r="CZ177" s="142"/>
      <c r="DA177" s="142"/>
      <c r="DB177" s="142"/>
      <c r="DC177" s="142"/>
      <c r="DD177" s="142"/>
      <c r="DE177" s="142"/>
      <c r="DF177" s="142"/>
      <c r="DG177" s="142"/>
      <c r="DH177" s="142"/>
      <c r="DI177" s="142"/>
      <c r="DJ177" s="142"/>
      <c r="DK177" s="142"/>
      <c r="DL177" s="142"/>
      <c r="DM177" s="142"/>
      <c r="DN177" s="142"/>
      <c r="DO177" s="142"/>
      <c r="DP177" s="142"/>
      <c r="DQ177" s="142"/>
      <c r="DR177" s="142"/>
      <c r="DS177" s="142"/>
      <c r="DT177" s="142"/>
      <c r="DU177" s="142"/>
      <c r="DV177" s="142"/>
      <c r="DW177" s="142"/>
      <c r="DX177" s="142"/>
      <c r="DY177" s="142"/>
      <c r="DZ177" s="142"/>
      <c r="EA177" s="142"/>
      <c r="EB177" s="142"/>
      <c r="EC177" s="142"/>
      <c r="ED177" s="142"/>
      <c r="EE177" s="142"/>
      <c r="EF177" s="142"/>
      <c r="EG177" s="142"/>
      <c r="EH177" s="142"/>
      <c r="EI177" s="142"/>
      <c r="EJ177" s="142"/>
      <c r="EK177" s="142"/>
      <c r="EL177" s="142"/>
      <c r="EM177" s="142"/>
      <c r="EN177" s="142"/>
      <c r="EO177" s="142"/>
      <c r="EP177" s="142"/>
      <c r="EQ177" s="142"/>
      <c r="ER177" s="142"/>
      <c r="ES177" s="142"/>
      <c r="ET177" s="142"/>
      <c r="EU177" s="142"/>
      <c r="EV177" s="142"/>
      <c r="EW177" s="142"/>
      <c r="EX177" s="142"/>
      <c r="EY177" s="142"/>
      <c r="EZ177" s="142"/>
      <c r="FA177" s="142"/>
      <c r="FB177" s="142"/>
      <c r="FC177" s="142"/>
      <c r="FD177" s="142"/>
      <c r="FE177" s="142"/>
      <c r="FF177" s="142"/>
      <c r="FG177" s="142"/>
      <c r="FH177" s="142"/>
      <c r="FI177" s="142"/>
      <c r="FJ177" s="142"/>
      <c r="FK177" s="142"/>
      <c r="FL177" s="142"/>
      <c r="FM177" s="142"/>
      <c r="FN177" s="142"/>
      <c r="FO177" s="142"/>
      <c r="FP177" s="142"/>
      <c r="FQ177" s="142"/>
      <c r="FR177" s="142"/>
      <c r="FS177" s="142"/>
      <c r="FT177" s="142"/>
      <c r="FU177" s="142"/>
      <c r="FV177" s="142"/>
      <c r="FW177" s="142"/>
      <c r="FX177" s="142"/>
      <c r="FY177" s="142"/>
      <c r="FZ177" s="142"/>
      <c r="GA177" s="142"/>
      <c r="GB177" s="142"/>
      <c r="GC177" s="142"/>
      <c r="GD177" s="142"/>
      <c r="GE177" s="142"/>
      <c r="GF177" s="142"/>
      <c r="GG177" s="142"/>
      <c r="GH177" s="142"/>
      <c r="GI177" s="142"/>
      <c r="GJ177" s="142"/>
      <c r="GK177" s="142"/>
      <c r="GL177" s="142"/>
      <c r="GM177" s="142"/>
      <c r="GN177" s="142"/>
      <c r="GO177" s="142"/>
      <c r="GP177" s="142"/>
      <c r="GQ177" s="142"/>
      <c r="GR177" s="142"/>
      <c r="GS177" s="142"/>
      <c r="GT177" s="142"/>
      <c r="GU177" s="142"/>
      <c r="GV177" s="142"/>
      <c r="GW177" s="142"/>
      <c r="GX177" s="142"/>
      <c r="GY177" s="142"/>
      <c r="GZ177" s="142"/>
      <c r="HA177" s="142"/>
      <c r="HB177" s="142"/>
      <c r="HC177" s="142"/>
      <c r="HD177" s="142"/>
      <c r="HE177" s="142"/>
      <c r="HF177" s="142"/>
      <c r="HG177" s="142"/>
      <c r="HH177" s="142"/>
      <c r="HI177" s="142"/>
      <c r="HJ177" s="142"/>
      <c r="HK177" s="142"/>
      <c r="HL177" s="142"/>
      <c r="HM177" s="142"/>
      <c r="HN177" s="142"/>
      <c r="HO177" s="142"/>
      <c r="HP177" s="142"/>
      <c r="HQ177" s="142"/>
      <c r="HR177" s="142"/>
      <c r="HS177" s="142"/>
      <c r="HT177" s="142"/>
      <c r="HU177" s="142"/>
      <c r="HV177" s="142"/>
      <c r="HW177" s="142"/>
      <c r="HX177" s="142"/>
      <c r="HY177" s="142"/>
      <c r="HZ177" s="142"/>
      <c r="IA177" s="142"/>
      <c r="IB177" s="142"/>
      <c r="IC177" s="142"/>
      <c r="ID177" s="142"/>
      <c r="IE177" s="142"/>
      <c r="IF177" s="142"/>
      <c r="IG177" s="142"/>
      <c r="IH177" s="142"/>
      <c r="II177" s="142"/>
      <c r="IJ177" s="142"/>
      <c r="IK177" s="142"/>
      <c r="IL177" s="142"/>
      <c r="IM177" s="142"/>
      <c r="IN177" s="142"/>
      <c r="IO177" s="142"/>
      <c r="IP177" s="142"/>
      <c r="IQ177" s="142"/>
      <c r="IR177" s="142"/>
      <c r="IS177" s="142"/>
      <c r="IT177" s="142"/>
      <c r="IU177" s="142"/>
      <c r="IV177" s="142"/>
    </row>
    <row r="178" spans="1:256" s="194" customFormat="1" x14ac:dyDescent="0.25">
      <c r="A178" s="148" t="s">
        <v>4806</v>
      </c>
      <c r="B178" s="150"/>
      <c r="C178" s="146"/>
      <c r="D178" s="146"/>
      <c r="E178" s="146">
        <f t="shared" si="8"/>
        <v>1.0060532220394445</v>
      </c>
      <c r="F178" s="432">
        <v>964.46600000000001</v>
      </c>
      <c r="G178" s="146">
        <f t="shared" si="9"/>
        <v>1.0059191718434304</v>
      </c>
      <c r="H178" s="432">
        <v>1067.9190000000001</v>
      </c>
      <c r="I178" s="142"/>
      <c r="J178" s="142"/>
      <c r="K178" s="142"/>
      <c r="L178" s="142"/>
      <c r="M178" s="142"/>
      <c r="N178" s="142"/>
      <c r="O178" s="142"/>
      <c r="P178" s="142"/>
      <c r="Q178" s="142"/>
      <c r="R178" s="142"/>
      <c r="S178" s="142"/>
      <c r="T178" s="142"/>
      <c r="U178" s="142"/>
      <c r="V178" s="142"/>
      <c r="W178" s="142"/>
      <c r="X178" s="142"/>
      <c r="Y178" s="142"/>
      <c r="Z178" s="142"/>
      <c r="AA178" s="142"/>
      <c r="AB178" s="142"/>
      <c r="AC178" s="142"/>
      <c r="AD178" s="142"/>
      <c r="AE178" s="142"/>
      <c r="AF178" s="142"/>
      <c r="AG178" s="142"/>
      <c r="AH178" s="142"/>
      <c r="AI178" s="142"/>
      <c r="AJ178" s="142"/>
      <c r="AK178" s="142"/>
      <c r="AL178" s="142"/>
      <c r="AM178" s="142"/>
      <c r="AN178" s="142"/>
      <c r="AO178" s="142"/>
      <c r="AP178" s="142"/>
      <c r="AQ178" s="142"/>
      <c r="AR178" s="142"/>
      <c r="AS178" s="142"/>
      <c r="AT178" s="142"/>
      <c r="AU178" s="142"/>
      <c r="AV178" s="142"/>
      <c r="AW178" s="142"/>
      <c r="AX178" s="142"/>
      <c r="AY178" s="142"/>
      <c r="AZ178" s="142"/>
      <c r="BA178" s="142"/>
      <c r="BB178" s="142"/>
      <c r="BC178" s="142"/>
      <c r="BD178" s="142"/>
      <c r="BE178" s="142"/>
      <c r="BF178" s="142"/>
      <c r="BG178" s="142"/>
      <c r="BH178" s="142"/>
      <c r="BI178" s="142"/>
      <c r="BJ178" s="142"/>
      <c r="BK178" s="142"/>
      <c r="BL178" s="142"/>
      <c r="BM178" s="142"/>
      <c r="BN178" s="142"/>
      <c r="BO178" s="142"/>
      <c r="BP178" s="142"/>
      <c r="BQ178" s="142"/>
      <c r="BR178" s="142"/>
      <c r="BS178" s="142"/>
      <c r="BT178" s="142"/>
      <c r="BU178" s="142"/>
      <c r="BV178" s="142"/>
      <c r="BW178" s="142"/>
      <c r="BX178" s="142"/>
      <c r="BY178" s="142"/>
      <c r="BZ178" s="142"/>
      <c r="CA178" s="142"/>
      <c r="CB178" s="142"/>
      <c r="CC178" s="142"/>
      <c r="CD178" s="142"/>
      <c r="CE178" s="142"/>
      <c r="CF178" s="142"/>
      <c r="CG178" s="142"/>
      <c r="CH178" s="142"/>
      <c r="CI178" s="142"/>
      <c r="CJ178" s="142"/>
      <c r="CK178" s="142"/>
      <c r="CL178" s="142"/>
      <c r="CM178" s="142"/>
      <c r="CN178" s="142"/>
      <c r="CO178" s="142"/>
      <c r="CP178" s="142"/>
      <c r="CQ178" s="142"/>
      <c r="CR178" s="142"/>
      <c r="CS178" s="142"/>
      <c r="CT178" s="142"/>
      <c r="CU178" s="142"/>
      <c r="CV178" s="142"/>
      <c r="CW178" s="142"/>
      <c r="CX178" s="142"/>
      <c r="CY178" s="142"/>
      <c r="CZ178" s="142"/>
      <c r="DA178" s="142"/>
      <c r="DB178" s="142"/>
      <c r="DC178" s="142"/>
      <c r="DD178" s="142"/>
      <c r="DE178" s="142"/>
      <c r="DF178" s="142"/>
      <c r="DG178" s="142"/>
      <c r="DH178" s="142"/>
      <c r="DI178" s="142"/>
      <c r="DJ178" s="142"/>
      <c r="DK178" s="142"/>
      <c r="DL178" s="142"/>
      <c r="DM178" s="142"/>
      <c r="DN178" s="142"/>
      <c r="DO178" s="142"/>
      <c r="DP178" s="142"/>
      <c r="DQ178" s="142"/>
      <c r="DR178" s="142"/>
      <c r="DS178" s="142"/>
      <c r="DT178" s="142"/>
      <c r="DU178" s="142"/>
      <c r="DV178" s="142"/>
      <c r="DW178" s="142"/>
      <c r="DX178" s="142"/>
      <c r="DY178" s="142"/>
      <c r="DZ178" s="142"/>
      <c r="EA178" s="142"/>
      <c r="EB178" s="142"/>
      <c r="EC178" s="142"/>
      <c r="ED178" s="142"/>
      <c r="EE178" s="142"/>
      <c r="EF178" s="142"/>
      <c r="EG178" s="142"/>
      <c r="EH178" s="142"/>
      <c r="EI178" s="142"/>
      <c r="EJ178" s="142"/>
      <c r="EK178" s="142"/>
      <c r="EL178" s="142"/>
      <c r="EM178" s="142"/>
      <c r="EN178" s="142"/>
      <c r="EO178" s="142"/>
      <c r="EP178" s="142"/>
      <c r="EQ178" s="142"/>
      <c r="ER178" s="142"/>
      <c r="ES178" s="142"/>
      <c r="ET178" s="142"/>
      <c r="EU178" s="142"/>
      <c r="EV178" s="142"/>
      <c r="EW178" s="142"/>
      <c r="EX178" s="142"/>
      <c r="EY178" s="142"/>
      <c r="EZ178" s="142"/>
      <c r="FA178" s="142"/>
      <c r="FB178" s="142"/>
      <c r="FC178" s="142"/>
      <c r="FD178" s="142"/>
      <c r="FE178" s="142"/>
      <c r="FF178" s="142"/>
      <c r="FG178" s="142"/>
      <c r="FH178" s="142"/>
      <c r="FI178" s="142"/>
      <c r="FJ178" s="142"/>
      <c r="FK178" s="142"/>
      <c r="FL178" s="142"/>
      <c r="FM178" s="142"/>
      <c r="FN178" s="142"/>
      <c r="FO178" s="142"/>
      <c r="FP178" s="142"/>
      <c r="FQ178" s="142"/>
      <c r="FR178" s="142"/>
      <c r="FS178" s="142"/>
      <c r="FT178" s="142"/>
      <c r="FU178" s="142"/>
      <c r="FV178" s="142"/>
      <c r="FW178" s="142"/>
      <c r="FX178" s="142"/>
      <c r="FY178" s="142"/>
      <c r="FZ178" s="142"/>
      <c r="GA178" s="142"/>
      <c r="GB178" s="142"/>
      <c r="GC178" s="142"/>
      <c r="GD178" s="142"/>
      <c r="GE178" s="142"/>
      <c r="GF178" s="142"/>
      <c r="GG178" s="142"/>
      <c r="GH178" s="142"/>
      <c r="GI178" s="142"/>
      <c r="GJ178" s="142"/>
      <c r="GK178" s="142"/>
      <c r="GL178" s="142"/>
      <c r="GM178" s="142"/>
      <c r="GN178" s="142"/>
      <c r="GO178" s="142"/>
      <c r="GP178" s="142"/>
      <c r="GQ178" s="142"/>
      <c r="GR178" s="142"/>
      <c r="GS178" s="142"/>
      <c r="GT178" s="142"/>
      <c r="GU178" s="142"/>
      <c r="GV178" s="142"/>
      <c r="GW178" s="142"/>
      <c r="GX178" s="142"/>
      <c r="GY178" s="142"/>
      <c r="GZ178" s="142"/>
      <c r="HA178" s="142"/>
      <c r="HB178" s="142"/>
      <c r="HC178" s="142"/>
      <c r="HD178" s="142"/>
      <c r="HE178" s="142"/>
      <c r="HF178" s="142"/>
      <c r="HG178" s="142"/>
      <c r="HH178" s="142"/>
      <c r="HI178" s="142"/>
      <c r="HJ178" s="142"/>
      <c r="HK178" s="142"/>
      <c r="HL178" s="142"/>
      <c r="HM178" s="142"/>
      <c r="HN178" s="142"/>
      <c r="HO178" s="142"/>
      <c r="HP178" s="142"/>
      <c r="HQ178" s="142"/>
      <c r="HR178" s="142"/>
      <c r="HS178" s="142"/>
      <c r="HT178" s="142"/>
      <c r="HU178" s="142"/>
      <c r="HV178" s="142"/>
      <c r="HW178" s="142"/>
      <c r="HX178" s="142"/>
      <c r="HY178" s="142"/>
      <c r="HZ178" s="142"/>
      <c r="IA178" s="142"/>
      <c r="IB178" s="142"/>
      <c r="IC178" s="142"/>
      <c r="ID178" s="142"/>
      <c r="IE178" s="142"/>
      <c r="IF178" s="142"/>
      <c r="IG178" s="142"/>
      <c r="IH178" s="142"/>
      <c r="II178" s="142"/>
      <c r="IJ178" s="142"/>
      <c r="IK178" s="142"/>
      <c r="IL178" s="142"/>
      <c r="IM178" s="142"/>
      <c r="IN178" s="142"/>
      <c r="IO178" s="142"/>
      <c r="IP178" s="142"/>
      <c r="IQ178" s="142"/>
      <c r="IR178" s="142"/>
      <c r="IS178" s="142"/>
      <c r="IT178" s="142"/>
      <c r="IU178" s="142"/>
      <c r="IV178" s="142"/>
    </row>
    <row r="179" spans="1:256" s="194" customFormat="1" x14ac:dyDescent="0.25">
      <c r="A179" s="148" t="s">
        <v>4807</v>
      </c>
      <c r="B179" s="150"/>
      <c r="C179" s="146"/>
      <c r="D179" s="146"/>
      <c r="E179" s="146">
        <f t="shared" si="8"/>
        <v>1.014584236250941</v>
      </c>
      <c r="F179" s="432">
        <v>978.53200000000004</v>
      </c>
      <c r="G179" s="146">
        <f t="shared" si="9"/>
        <v>1.0071363090271825</v>
      </c>
      <c r="H179" s="432">
        <v>1075.54</v>
      </c>
      <c r="I179" s="142"/>
      <c r="J179" s="142"/>
      <c r="K179" s="142"/>
      <c r="L179" s="142"/>
      <c r="M179" s="142"/>
      <c r="N179" s="142"/>
      <c r="O179" s="142"/>
      <c r="P179" s="142"/>
      <c r="Q179" s="142"/>
      <c r="R179" s="142"/>
      <c r="S179" s="142"/>
      <c r="T179" s="142"/>
      <c r="U179" s="142"/>
      <c r="V179" s="142"/>
      <c r="W179" s="142"/>
      <c r="X179" s="142"/>
      <c r="Y179" s="142"/>
      <c r="Z179" s="142"/>
      <c r="AA179" s="142"/>
      <c r="AB179" s="142"/>
      <c r="AC179" s="142"/>
      <c r="AD179" s="142"/>
      <c r="AE179" s="142"/>
      <c r="AF179" s="142"/>
      <c r="AG179" s="142"/>
      <c r="AH179" s="142"/>
      <c r="AI179" s="142"/>
      <c r="AJ179" s="142"/>
      <c r="AK179" s="142"/>
      <c r="AL179" s="142"/>
      <c r="AM179" s="142"/>
      <c r="AN179" s="142"/>
      <c r="AO179" s="142"/>
      <c r="AP179" s="142"/>
      <c r="AQ179" s="142"/>
      <c r="AR179" s="142"/>
      <c r="AS179" s="142"/>
      <c r="AT179" s="142"/>
      <c r="AU179" s="142"/>
      <c r="AV179" s="142"/>
      <c r="AW179" s="142"/>
      <c r="AX179" s="142"/>
      <c r="AY179" s="142"/>
      <c r="AZ179" s="142"/>
      <c r="BA179" s="142"/>
      <c r="BB179" s="142"/>
      <c r="BC179" s="142"/>
      <c r="BD179" s="142"/>
      <c r="BE179" s="142"/>
      <c r="BF179" s="142"/>
      <c r="BG179" s="142"/>
      <c r="BH179" s="142"/>
      <c r="BI179" s="142"/>
      <c r="BJ179" s="142"/>
      <c r="BK179" s="142"/>
      <c r="BL179" s="142"/>
      <c r="BM179" s="142"/>
      <c r="BN179" s="142"/>
      <c r="BO179" s="142"/>
      <c r="BP179" s="142"/>
      <c r="BQ179" s="142"/>
      <c r="BR179" s="142"/>
      <c r="BS179" s="142"/>
      <c r="BT179" s="142"/>
      <c r="BU179" s="142"/>
      <c r="BV179" s="142"/>
      <c r="BW179" s="142"/>
      <c r="BX179" s="142"/>
      <c r="BY179" s="142"/>
      <c r="BZ179" s="142"/>
      <c r="CA179" s="142"/>
      <c r="CB179" s="142"/>
      <c r="CC179" s="142"/>
      <c r="CD179" s="142"/>
      <c r="CE179" s="142"/>
      <c r="CF179" s="142"/>
      <c r="CG179" s="142"/>
      <c r="CH179" s="142"/>
      <c r="CI179" s="142"/>
      <c r="CJ179" s="142"/>
      <c r="CK179" s="142"/>
      <c r="CL179" s="142"/>
      <c r="CM179" s="142"/>
      <c r="CN179" s="142"/>
      <c r="CO179" s="142"/>
      <c r="CP179" s="142"/>
      <c r="CQ179" s="142"/>
      <c r="CR179" s="142"/>
      <c r="CS179" s="142"/>
      <c r="CT179" s="142"/>
      <c r="CU179" s="142"/>
      <c r="CV179" s="142"/>
      <c r="CW179" s="142"/>
      <c r="CX179" s="142"/>
      <c r="CY179" s="142"/>
      <c r="CZ179" s="142"/>
      <c r="DA179" s="142"/>
      <c r="DB179" s="142"/>
      <c r="DC179" s="142"/>
      <c r="DD179" s="142"/>
      <c r="DE179" s="142"/>
      <c r="DF179" s="142"/>
      <c r="DG179" s="142"/>
      <c r="DH179" s="142"/>
      <c r="DI179" s="142"/>
      <c r="DJ179" s="142"/>
      <c r="DK179" s="142"/>
      <c r="DL179" s="142"/>
      <c r="DM179" s="142"/>
      <c r="DN179" s="142"/>
      <c r="DO179" s="142"/>
      <c r="DP179" s="142"/>
      <c r="DQ179" s="142"/>
      <c r="DR179" s="142"/>
      <c r="DS179" s="142"/>
      <c r="DT179" s="142"/>
      <c r="DU179" s="142"/>
      <c r="DV179" s="142"/>
      <c r="DW179" s="142"/>
      <c r="DX179" s="142"/>
      <c r="DY179" s="142"/>
      <c r="DZ179" s="142"/>
      <c r="EA179" s="142"/>
      <c r="EB179" s="142"/>
      <c r="EC179" s="142"/>
      <c r="ED179" s="142"/>
      <c r="EE179" s="142"/>
      <c r="EF179" s="142"/>
      <c r="EG179" s="142"/>
      <c r="EH179" s="142"/>
      <c r="EI179" s="142"/>
      <c r="EJ179" s="142"/>
      <c r="EK179" s="142"/>
      <c r="EL179" s="142"/>
      <c r="EM179" s="142"/>
      <c r="EN179" s="142"/>
      <c r="EO179" s="142"/>
      <c r="EP179" s="142"/>
      <c r="EQ179" s="142"/>
      <c r="ER179" s="142"/>
      <c r="ES179" s="142"/>
      <c r="ET179" s="142"/>
      <c r="EU179" s="142"/>
      <c r="EV179" s="142"/>
      <c r="EW179" s="142"/>
      <c r="EX179" s="142"/>
      <c r="EY179" s="142"/>
      <c r="EZ179" s="142"/>
      <c r="FA179" s="142"/>
      <c r="FB179" s="142"/>
      <c r="FC179" s="142"/>
      <c r="FD179" s="142"/>
      <c r="FE179" s="142"/>
      <c r="FF179" s="142"/>
      <c r="FG179" s="142"/>
      <c r="FH179" s="142"/>
      <c r="FI179" s="142"/>
      <c r="FJ179" s="142"/>
      <c r="FK179" s="142"/>
      <c r="FL179" s="142"/>
      <c r="FM179" s="142"/>
      <c r="FN179" s="142"/>
      <c r="FO179" s="142"/>
      <c r="FP179" s="142"/>
      <c r="FQ179" s="142"/>
      <c r="FR179" s="142"/>
      <c r="FS179" s="142"/>
      <c r="FT179" s="142"/>
      <c r="FU179" s="142"/>
      <c r="FV179" s="142"/>
      <c r="FW179" s="142"/>
      <c r="FX179" s="142"/>
      <c r="FY179" s="142"/>
      <c r="FZ179" s="142"/>
      <c r="GA179" s="142"/>
      <c r="GB179" s="142"/>
      <c r="GC179" s="142"/>
      <c r="GD179" s="142"/>
      <c r="GE179" s="142"/>
      <c r="GF179" s="142"/>
      <c r="GG179" s="142"/>
      <c r="GH179" s="142"/>
      <c r="GI179" s="142"/>
      <c r="GJ179" s="142"/>
      <c r="GK179" s="142"/>
      <c r="GL179" s="142"/>
      <c r="GM179" s="142"/>
      <c r="GN179" s="142"/>
      <c r="GO179" s="142"/>
      <c r="GP179" s="142"/>
      <c r="GQ179" s="142"/>
      <c r="GR179" s="142"/>
      <c r="GS179" s="142"/>
      <c r="GT179" s="142"/>
      <c r="GU179" s="142"/>
      <c r="GV179" s="142"/>
      <c r="GW179" s="142"/>
      <c r="GX179" s="142"/>
      <c r="GY179" s="142"/>
      <c r="GZ179" s="142"/>
      <c r="HA179" s="142"/>
      <c r="HB179" s="142"/>
      <c r="HC179" s="142"/>
      <c r="HD179" s="142"/>
      <c r="HE179" s="142"/>
      <c r="HF179" s="142"/>
      <c r="HG179" s="142"/>
      <c r="HH179" s="142"/>
      <c r="HI179" s="142"/>
      <c r="HJ179" s="142"/>
      <c r="HK179" s="142"/>
      <c r="HL179" s="142"/>
      <c r="HM179" s="142"/>
      <c r="HN179" s="142"/>
      <c r="HO179" s="142"/>
      <c r="HP179" s="142"/>
      <c r="HQ179" s="142"/>
      <c r="HR179" s="142"/>
      <c r="HS179" s="142"/>
      <c r="HT179" s="142"/>
      <c r="HU179" s="142"/>
      <c r="HV179" s="142"/>
      <c r="HW179" s="142"/>
      <c r="HX179" s="142"/>
      <c r="HY179" s="142"/>
      <c r="HZ179" s="142"/>
      <c r="IA179" s="142"/>
      <c r="IB179" s="142"/>
      <c r="IC179" s="142"/>
      <c r="ID179" s="142"/>
      <c r="IE179" s="142"/>
      <c r="IF179" s="142"/>
      <c r="IG179" s="142"/>
      <c r="IH179" s="142"/>
      <c r="II179" s="142"/>
      <c r="IJ179" s="142"/>
      <c r="IK179" s="142"/>
      <c r="IL179" s="142"/>
      <c r="IM179" s="142"/>
      <c r="IN179" s="142"/>
      <c r="IO179" s="142"/>
      <c r="IP179" s="142"/>
      <c r="IQ179" s="142"/>
      <c r="IR179" s="142"/>
      <c r="IS179" s="142"/>
      <c r="IT179" s="142"/>
      <c r="IU179" s="142"/>
      <c r="IV179" s="142"/>
    </row>
    <row r="180" spans="1:256" s="194" customFormat="1" x14ac:dyDescent="0.25">
      <c r="A180" s="148" t="s">
        <v>4808</v>
      </c>
      <c r="B180" s="150"/>
      <c r="C180" s="146"/>
      <c r="D180" s="146"/>
      <c r="E180" s="146">
        <f t="shared" si="8"/>
        <v>0.99977006372811517</v>
      </c>
      <c r="F180" s="432">
        <v>978.30700000000002</v>
      </c>
      <c r="G180" s="146">
        <f t="shared" si="9"/>
        <v>1.0010097253472674</v>
      </c>
      <c r="H180" s="432">
        <v>1076.626</v>
      </c>
      <c r="I180" s="142"/>
      <c r="J180" s="142"/>
      <c r="K180" s="142"/>
      <c r="L180" s="142"/>
      <c r="M180" s="142"/>
      <c r="N180" s="142"/>
      <c r="O180" s="142"/>
      <c r="P180" s="142"/>
      <c r="Q180" s="142"/>
      <c r="R180" s="142"/>
      <c r="S180" s="142"/>
      <c r="T180" s="142"/>
      <c r="U180" s="142"/>
      <c r="V180" s="142"/>
      <c r="W180" s="142"/>
      <c r="X180" s="142"/>
      <c r="Y180" s="142"/>
      <c r="Z180" s="142"/>
      <c r="AA180" s="142"/>
      <c r="AB180" s="142"/>
      <c r="AC180" s="142"/>
      <c r="AD180" s="142"/>
      <c r="AE180" s="142"/>
      <c r="AF180" s="142"/>
      <c r="AG180" s="142"/>
      <c r="AH180" s="142"/>
      <c r="AI180" s="142"/>
      <c r="AJ180" s="142"/>
      <c r="AK180" s="142"/>
      <c r="AL180" s="142"/>
      <c r="AM180" s="142"/>
      <c r="AN180" s="142"/>
      <c r="AO180" s="142"/>
      <c r="AP180" s="142"/>
      <c r="AQ180" s="142"/>
      <c r="AR180" s="142"/>
      <c r="AS180" s="142"/>
      <c r="AT180" s="142"/>
      <c r="AU180" s="142"/>
      <c r="AV180" s="142"/>
      <c r="AW180" s="142"/>
      <c r="AX180" s="142"/>
      <c r="AY180" s="142"/>
      <c r="AZ180" s="142"/>
      <c r="BA180" s="142"/>
      <c r="BB180" s="142"/>
      <c r="BC180" s="142"/>
      <c r="BD180" s="142"/>
      <c r="BE180" s="142"/>
      <c r="BF180" s="142"/>
      <c r="BG180" s="142"/>
      <c r="BH180" s="142"/>
      <c r="BI180" s="142"/>
      <c r="BJ180" s="142"/>
      <c r="BK180" s="142"/>
      <c r="BL180" s="142"/>
      <c r="BM180" s="142"/>
      <c r="BN180" s="142"/>
      <c r="BO180" s="142"/>
      <c r="BP180" s="142"/>
      <c r="BQ180" s="142"/>
      <c r="BR180" s="142"/>
      <c r="BS180" s="142"/>
      <c r="BT180" s="142"/>
      <c r="BU180" s="142"/>
      <c r="BV180" s="142"/>
      <c r="BW180" s="142"/>
      <c r="BX180" s="142"/>
      <c r="BY180" s="142"/>
      <c r="BZ180" s="142"/>
      <c r="CA180" s="142"/>
      <c r="CB180" s="142"/>
      <c r="CC180" s="142"/>
      <c r="CD180" s="142"/>
      <c r="CE180" s="142"/>
      <c r="CF180" s="142"/>
      <c r="CG180" s="142"/>
      <c r="CH180" s="142"/>
      <c r="CI180" s="142"/>
      <c r="CJ180" s="142"/>
      <c r="CK180" s="142"/>
      <c r="CL180" s="142"/>
      <c r="CM180" s="142"/>
      <c r="CN180" s="142"/>
      <c r="CO180" s="142"/>
      <c r="CP180" s="142"/>
      <c r="CQ180" s="142"/>
      <c r="CR180" s="142"/>
      <c r="CS180" s="142"/>
      <c r="CT180" s="142"/>
      <c r="CU180" s="142"/>
      <c r="CV180" s="142"/>
      <c r="CW180" s="142"/>
      <c r="CX180" s="142"/>
      <c r="CY180" s="142"/>
      <c r="CZ180" s="142"/>
      <c r="DA180" s="142"/>
      <c r="DB180" s="142"/>
      <c r="DC180" s="142"/>
      <c r="DD180" s="142"/>
      <c r="DE180" s="142"/>
      <c r="DF180" s="142"/>
      <c r="DG180" s="142"/>
      <c r="DH180" s="142"/>
      <c r="DI180" s="142"/>
      <c r="DJ180" s="142"/>
      <c r="DK180" s="142"/>
      <c r="DL180" s="142"/>
      <c r="DM180" s="142"/>
      <c r="DN180" s="142"/>
      <c r="DO180" s="142"/>
      <c r="DP180" s="142"/>
      <c r="DQ180" s="142"/>
      <c r="DR180" s="142"/>
      <c r="DS180" s="142"/>
      <c r="DT180" s="142"/>
      <c r="DU180" s="142"/>
      <c r="DV180" s="142"/>
      <c r="DW180" s="142"/>
      <c r="DX180" s="142"/>
      <c r="DY180" s="142"/>
      <c r="DZ180" s="142"/>
      <c r="EA180" s="142"/>
      <c r="EB180" s="142"/>
      <c r="EC180" s="142"/>
      <c r="ED180" s="142"/>
      <c r="EE180" s="142"/>
      <c r="EF180" s="142"/>
      <c r="EG180" s="142"/>
      <c r="EH180" s="142"/>
      <c r="EI180" s="142"/>
      <c r="EJ180" s="142"/>
      <c r="EK180" s="142"/>
      <c r="EL180" s="142"/>
      <c r="EM180" s="142"/>
      <c r="EN180" s="142"/>
      <c r="EO180" s="142"/>
      <c r="EP180" s="142"/>
      <c r="EQ180" s="142"/>
      <c r="ER180" s="142"/>
      <c r="ES180" s="142"/>
      <c r="ET180" s="142"/>
      <c r="EU180" s="142"/>
      <c r="EV180" s="142"/>
      <c r="EW180" s="142"/>
      <c r="EX180" s="142"/>
      <c r="EY180" s="142"/>
      <c r="EZ180" s="142"/>
      <c r="FA180" s="142"/>
      <c r="FB180" s="142"/>
      <c r="FC180" s="142"/>
      <c r="FD180" s="142"/>
      <c r="FE180" s="142"/>
      <c r="FF180" s="142"/>
      <c r="FG180" s="142"/>
      <c r="FH180" s="142"/>
      <c r="FI180" s="142"/>
      <c r="FJ180" s="142"/>
      <c r="FK180" s="142"/>
      <c r="FL180" s="142"/>
      <c r="FM180" s="142"/>
      <c r="FN180" s="142"/>
      <c r="FO180" s="142"/>
      <c r="FP180" s="142"/>
      <c r="FQ180" s="142"/>
      <c r="FR180" s="142"/>
      <c r="FS180" s="142"/>
      <c r="FT180" s="142"/>
      <c r="FU180" s="142"/>
      <c r="FV180" s="142"/>
      <c r="FW180" s="142"/>
      <c r="FX180" s="142"/>
      <c r="FY180" s="142"/>
      <c r="FZ180" s="142"/>
      <c r="GA180" s="142"/>
      <c r="GB180" s="142"/>
      <c r="GC180" s="142"/>
      <c r="GD180" s="142"/>
      <c r="GE180" s="142"/>
      <c r="GF180" s="142"/>
      <c r="GG180" s="142"/>
      <c r="GH180" s="142"/>
      <c r="GI180" s="142"/>
      <c r="GJ180" s="142"/>
      <c r="GK180" s="142"/>
      <c r="GL180" s="142"/>
      <c r="GM180" s="142"/>
      <c r="GN180" s="142"/>
      <c r="GO180" s="142"/>
      <c r="GP180" s="142"/>
      <c r="GQ180" s="142"/>
      <c r="GR180" s="142"/>
      <c r="GS180" s="142"/>
      <c r="GT180" s="142"/>
      <c r="GU180" s="142"/>
      <c r="GV180" s="142"/>
      <c r="GW180" s="142"/>
      <c r="GX180" s="142"/>
      <c r="GY180" s="142"/>
      <c r="GZ180" s="142"/>
      <c r="HA180" s="142"/>
      <c r="HB180" s="142"/>
      <c r="HC180" s="142"/>
      <c r="HD180" s="142"/>
      <c r="HE180" s="142"/>
      <c r="HF180" s="142"/>
      <c r="HG180" s="142"/>
      <c r="HH180" s="142"/>
      <c r="HI180" s="142"/>
      <c r="HJ180" s="142"/>
      <c r="HK180" s="142"/>
      <c r="HL180" s="142"/>
      <c r="HM180" s="142"/>
      <c r="HN180" s="142"/>
      <c r="HO180" s="142"/>
      <c r="HP180" s="142"/>
      <c r="HQ180" s="142"/>
      <c r="HR180" s="142"/>
      <c r="HS180" s="142"/>
      <c r="HT180" s="142"/>
      <c r="HU180" s="142"/>
      <c r="HV180" s="142"/>
      <c r="HW180" s="142"/>
      <c r="HX180" s="142"/>
      <c r="HY180" s="142"/>
      <c r="HZ180" s="142"/>
      <c r="IA180" s="142"/>
      <c r="IB180" s="142"/>
      <c r="IC180" s="142"/>
      <c r="ID180" s="142"/>
      <c r="IE180" s="142"/>
      <c r="IF180" s="142"/>
      <c r="IG180" s="142"/>
      <c r="IH180" s="142"/>
      <c r="II180" s="142"/>
      <c r="IJ180" s="142"/>
      <c r="IK180" s="142"/>
      <c r="IL180" s="142"/>
      <c r="IM180" s="142"/>
      <c r="IN180" s="142"/>
      <c r="IO180" s="142"/>
      <c r="IP180" s="142"/>
      <c r="IQ180" s="142"/>
      <c r="IR180" s="142"/>
      <c r="IS180" s="142"/>
      <c r="IT180" s="142"/>
      <c r="IU180" s="142"/>
      <c r="IV180" s="142"/>
    </row>
    <row r="181" spans="1:256" s="194" customFormat="1" x14ac:dyDescent="0.25">
      <c r="A181" s="148" t="s">
        <v>4809</v>
      </c>
      <c r="B181" s="150"/>
      <c r="C181" s="146"/>
      <c r="D181" s="146"/>
      <c r="E181" s="146">
        <f t="shared" si="8"/>
        <v>1.0021148780495284</v>
      </c>
      <c r="F181" s="432">
        <v>980.37599999999998</v>
      </c>
      <c r="G181" s="146">
        <f t="shared" si="9"/>
        <v>1.0016588861870326</v>
      </c>
      <c r="H181" s="432">
        <v>1078.412</v>
      </c>
      <c r="I181" s="142"/>
      <c r="J181" s="142"/>
      <c r="K181" s="142"/>
      <c r="L181" s="142"/>
      <c r="M181" s="142"/>
      <c r="N181" s="142"/>
      <c r="O181" s="142"/>
      <c r="P181" s="142"/>
      <c r="Q181" s="142"/>
      <c r="R181" s="142"/>
      <c r="S181" s="142"/>
      <c r="T181" s="142"/>
      <c r="U181" s="142"/>
      <c r="V181" s="142"/>
      <c r="W181" s="142"/>
      <c r="X181" s="142"/>
      <c r="Y181" s="142"/>
      <c r="Z181" s="142"/>
      <c r="AA181" s="142"/>
      <c r="AB181" s="142"/>
      <c r="AC181" s="142"/>
      <c r="AD181" s="142"/>
      <c r="AE181" s="142"/>
      <c r="AF181" s="142"/>
      <c r="AG181" s="142"/>
      <c r="AH181" s="142"/>
      <c r="AI181" s="142"/>
      <c r="AJ181" s="142"/>
      <c r="AK181" s="142"/>
      <c r="AL181" s="142"/>
      <c r="AM181" s="142"/>
      <c r="AN181" s="142"/>
      <c r="AO181" s="142"/>
      <c r="AP181" s="142"/>
      <c r="AQ181" s="142"/>
      <c r="AR181" s="142"/>
      <c r="AS181" s="142"/>
      <c r="AT181" s="142"/>
      <c r="AU181" s="142"/>
      <c r="AV181" s="142"/>
      <c r="AW181" s="142"/>
      <c r="AX181" s="142"/>
      <c r="AY181" s="142"/>
      <c r="AZ181" s="142"/>
      <c r="BA181" s="142"/>
      <c r="BB181" s="142"/>
      <c r="BC181" s="142"/>
      <c r="BD181" s="142"/>
      <c r="BE181" s="142"/>
      <c r="BF181" s="142"/>
      <c r="BG181" s="142"/>
      <c r="BH181" s="142"/>
      <c r="BI181" s="142"/>
      <c r="BJ181" s="142"/>
      <c r="BK181" s="142"/>
      <c r="BL181" s="142"/>
      <c r="BM181" s="142"/>
      <c r="BN181" s="142"/>
      <c r="BO181" s="142"/>
      <c r="BP181" s="142"/>
      <c r="BQ181" s="142"/>
      <c r="BR181" s="142"/>
      <c r="BS181" s="142"/>
      <c r="BT181" s="142"/>
      <c r="BU181" s="142"/>
      <c r="BV181" s="142"/>
      <c r="BW181" s="142"/>
      <c r="BX181" s="142"/>
      <c r="BY181" s="142"/>
      <c r="BZ181" s="142"/>
      <c r="CA181" s="142"/>
      <c r="CB181" s="142"/>
      <c r="CC181" s="142"/>
      <c r="CD181" s="142"/>
      <c r="CE181" s="142"/>
      <c r="CF181" s="142"/>
      <c r="CG181" s="142"/>
      <c r="CH181" s="142"/>
      <c r="CI181" s="142"/>
      <c r="CJ181" s="142"/>
      <c r="CK181" s="142"/>
      <c r="CL181" s="142"/>
      <c r="CM181" s="142"/>
      <c r="CN181" s="142"/>
      <c r="CO181" s="142"/>
      <c r="CP181" s="142"/>
      <c r="CQ181" s="142"/>
      <c r="CR181" s="142"/>
      <c r="CS181" s="142"/>
      <c r="CT181" s="142"/>
      <c r="CU181" s="142"/>
      <c r="CV181" s="142"/>
      <c r="CW181" s="142"/>
      <c r="CX181" s="142"/>
      <c r="CY181" s="142"/>
      <c r="CZ181" s="142"/>
      <c r="DA181" s="142"/>
      <c r="DB181" s="142"/>
      <c r="DC181" s="142"/>
      <c r="DD181" s="142"/>
      <c r="DE181" s="142"/>
      <c r="DF181" s="142"/>
      <c r="DG181" s="142"/>
      <c r="DH181" s="142"/>
      <c r="DI181" s="142"/>
      <c r="DJ181" s="142"/>
      <c r="DK181" s="142"/>
      <c r="DL181" s="142"/>
      <c r="DM181" s="142"/>
      <c r="DN181" s="142"/>
      <c r="DO181" s="142"/>
      <c r="DP181" s="142"/>
      <c r="DQ181" s="142"/>
      <c r="DR181" s="142"/>
      <c r="DS181" s="142"/>
      <c r="DT181" s="142"/>
      <c r="DU181" s="142"/>
      <c r="DV181" s="142"/>
      <c r="DW181" s="142"/>
      <c r="DX181" s="142"/>
      <c r="DY181" s="142"/>
      <c r="DZ181" s="142"/>
      <c r="EA181" s="142"/>
      <c r="EB181" s="142"/>
      <c r="EC181" s="142"/>
      <c r="ED181" s="142"/>
      <c r="EE181" s="142"/>
      <c r="EF181" s="142"/>
      <c r="EG181" s="142"/>
      <c r="EH181" s="142"/>
      <c r="EI181" s="142"/>
      <c r="EJ181" s="142"/>
      <c r="EK181" s="142"/>
      <c r="EL181" s="142"/>
      <c r="EM181" s="142"/>
      <c r="EN181" s="142"/>
      <c r="EO181" s="142"/>
      <c r="EP181" s="142"/>
      <c r="EQ181" s="142"/>
      <c r="ER181" s="142"/>
      <c r="ES181" s="142"/>
      <c r="ET181" s="142"/>
      <c r="EU181" s="142"/>
      <c r="EV181" s="142"/>
      <c r="EW181" s="142"/>
      <c r="EX181" s="142"/>
      <c r="EY181" s="142"/>
      <c r="EZ181" s="142"/>
      <c r="FA181" s="142"/>
      <c r="FB181" s="142"/>
      <c r="FC181" s="142"/>
      <c r="FD181" s="142"/>
      <c r="FE181" s="142"/>
      <c r="FF181" s="142"/>
      <c r="FG181" s="142"/>
      <c r="FH181" s="142"/>
      <c r="FI181" s="142"/>
      <c r="FJ181" s="142"/>
      <c r="FK181" s="142"/>
      <c r="FL181" s="142"/>
      <c r="FM181" s="142"/>
      <c r="FN181" s="142"/>
      <c r="FO181" s="142"/>
      <c r="FP181" s="142"/>
      <c r="FQ181" s="142"/>
      <c r="FR181" s="142"/>
      <c r="FS181" s="142"/>
      <c r="FT181" s="142"/>
      <c r="FU181" s="142"/>
      <c r="FV181" s="142"/>
      <c r="FW181" s="142"/>
      <c r="FX181" s="142"/>
      <c r="FY181" s="142"/>
      <c r="FZ181" s="142"/>
      <c r="GA181" s="142"/>
      <c r="GB181" s="142"/>
      <c r="GC181" s="142"/>
      <c r="GD181" s="142"/>
      <c r="GE181" s="142"/>
      <c r="GF181" s="142"/>
      <c r="GG181" s="142"/>
      <c r="GH181" s="142"/>
      <c r="GI181" s="142"/>
      <c r="GJ181" s="142"/>
      <c r="GK181" s="142"/>
      <c r="GL181" s="142"/>
      <c r="GM181" s="142"/>
      <c r="GN181" s="142"/>
      <c r="GO181" s="142"/>
      <c r="GP181" s="142"/>
      <c r="GQ181" s="142"/>
      <c r="GR181" s="142"/>
      <c r="GS181" s="142"/>
      <c r="GT181" s="142"/>
      <c r="GU181" s="142"/>
      <c r="GV181" s="142"/>
      <c r="GW181" s="142"/>
      <c r="GX181" s="142"/>
      <c r="GY181" s="142"/>
      <c r="GZ181" s="142"/>
      <c r="HA181" s="142"/>
      <c r="HB181" s="142"/>
      <c r="HC181" s="142"/>
      <c r="HD181" s="142"/>
      <c r="HE181" s="142"/>
      <c r="HF181" s="142"/>
      <c r="HG181" s="142"/>
      <c r="HH181" s="142"/>
      <c r="HI181" s="142"/>
      <c r="HJ181" s="142"/>
      <c r="HK181" s="142"/>
      <c r="HL181" s="142"/>
      <c r="HM181" s="142"/>
      <c r="HN181" s="142"/>
      <c r="HO181" s="142"/>
      <c r="HP181" s="142"/>
      <c r="HQ181" s="142"/>
      <c r="HR181" s="142"/>
      <c r="HS181" s="142"/>
      <c r="HT181" s="142"/>
      <c r="HU181" s="142"/>
      <c r="HV181" s="142"/>
      <c r="HW181" s="142"/>
      <c r="HX181" s="142"/>
      <c r="HY181" s="142"/>
      <c r="HZ181" s="142"/>
      <c r="IA181" s="142"/>
      <c r="IB181" s="142"/>
      <c r="IC181" s="142"/>
      <c r="ID181" s="142"/>
      <c r="IE181" s="142"/>
      <c r="IF181" s="142"/>
      <c r="IG181" s="142"/>
      <c r="IH181" s="142"/>
      <c r="II181" s="142"/>
      <c r="IJ181" s="142"/>
      <c r="IK181" s="142"/>
      <c r="IL181" s="142"/>
      <c r="IM181" s="142"/>
      <c r="IN181" s="142"/>
      <c r="IO181" s="142"/>
      <c r="IP181" s="142"/>
      <c r="IQ181" s="142"/>
      <c r="IR181" s="142"/>
      <c r="IS181" s="142"/>
      <c r="IT181" s="142"/>
      <c r="IU181" s="142"/>
      <c r="IV181" s="142"/>
    </row>
    <row r="182" spans="1:256" s="194" customFormat="1" x14ac:dyDescent="0.25">
      <c r="A182" s="148" t="s">
        <v>4810</v>
      </c>
      <c r="B182" s="150"/>
      <c r="C182" s="146"/>
      <c r="D182" s="146"/>
      <c r="E182" s="146">
        <f t="shared" si="8"/>
        <v>1.0049419814438543</v>
      </c>
      <c r="F182" s="432">
        <v>985.221</v>
      </c>
      <c r="G182" s="146">
        <f t="shared" si="9"/>
        <v>1.0034235524085415</v>
      </c>
      <c r="H182" s="432">
        <v>1082.104</v>
      </c>
      <c r="I182" s="142"/>
      <c r="J182" s="142"/>
      <c r="K182" s="142"/>
      <c r="L182" s="142"/>
      <c r="M182" s="142"/>
      <c r="N182" s="142"/>
      <c r="O182" s="142"/>
      <c r="P182" s="142"/>
      <c r="Q182" s="142"/>
      <c r="R182" s="142"/>
      <c r="S182" s="142"/>
      <c r="T182" s="142"/>
      <c r="U182" s="142"/>
      <c r="V182" s="142"/>
      <c r="W182" s="142"/>
      <c r="X182" s="142"/>
      <c r="Y182" s="142"/>
      <c r="Z182" s="142"/>
      <c r="AA182" s="142"/>
      <c r="AB182" s="142"/>
      <c r="AC182" s="142"/>
      <c r="AD182" s="142"/>
      <c r="AE182" s="142"/>
      <c r="AF182" s="142"/>
      <c r="AG182" s="142"/>
      <c r="AH182" s="142"/>
      <c r="AI182" s="142"/>
      <c r="AJ182" s="142"/>
      <c r="AK182" s="142"/>
      <c r="AL182" s="142"/>
      <c r="AM182" s="142"/>
      <c r="AN182" s="142"/>
      <c r="AO182" s="142"/>
      <c r="AP182" s="142"/>
      <c r="AQ182" s="142"/>
      <c r="AR182" s="142"/>
      <c r="AS182" s="142"/>
      <c r="AT182" s="142"/>
      <c r="AU182" s="142"/>
      <c r="AV182" s="142"/>
      <c r="AW182" s="142"/>
      <c r="AX182" s="142"/>
      <c r="AY182" s="142"/>
      <c r="AZ182" s="142"/>
      <c r="BA182" s="142"/>
      <c r="BB182" s="142"/>
      <c r="BC182" s="142"/>
      <c r="BD182" s="142"/>
      <c r="BE182" s="142"/>
      <c r="BF182" s="142"/>
      <c r="BG182" s="142"/>
      <c r="BH182" s="142"/>
      <c r="BI182" s="142"/>
      <c r="BJ182" s="142"/>
      <c r="BK182" s="142"/>
      <c r="BL182" s="142"/>
      <c r="BM182" s="142"/>
      <c r="BN182" s="142"/>
      <c r="BO182" s="142"/>
      <c r="BP182" s="142"/>
      <c r="BQ182" s="142"/>
      <c r="BR182" s="142"/>
      <c r="BS182" s="142"/>
      <c r="BT182" s="142"/>
      <c r="BU182" s="142"/>
      <c r="BV182" s="142"/>
      <c r="BW182" s="142"/>
      <c r="BX182" s="142"/>
      <c r="BY182" s="142"/>
      <c r="BZ182" s="142"/>
      <c r="CA182" s="142"/>
      <c r="CB182" s="142"/>
      <c r="CC182" s="142"/>
      <c r="CD182" s="142"/>
      <c r="CE182" s="142"/>
      <c r="CF182" s="142"/>
      <c r="CG182" s="142"/>
      <c r="CH182" s="142"/>
      <c r="CI182" s="142"/>
      <c r="CJ182" s="142"/>
      <c r="CK182" s="142"/>
      <c r="CL182" s="142"/>
      <c r="CM182" s="142"/>
      <c r="CN182" s="142"/>
      <c r="CO182" s="142"/>
      <c r="CP182" s="142"/>
      <c r="CQ182" s="142"/>
      <c r="CR182" s="142"/>
      <c r="CS182" s="142"/>
      <c r="CT182" s="142"/>
      <c r="CU182" s="142"/>
      <c r="CV182" s="142"/>
      <c r="CW182" s="142"/>
      <c r="CX182" s="142"/>
      <c r="CY182" s="142"/>
      <c r="CZ182" s="142"/>
      <c r="DA182" s="142"/>
      <c r="DB182" s="142"/>
      <c r="DC182" s="142"/>
      <c r="DD182" s="142"/>
      <c r="DE182" s="142"/>
      <c r="DF182" s="142"/>
      <c r="DG182" s="142"/>
      <c r="DH182" s="142"/>
      <c r="DI182" s="142"/>
      <c r="DJ182" s="142"/>
      <c r="DK182" s="142"/>
      <c r="DL182" s="142"/>
      <c r="DM182" s="142"/>
      <c r="DN182" s="142"/>
      <c r="DO182" s="142"/>
      <c r="DP182" s="142"/>
      <c r="DQ182" s="142"/>
      <c r="DR182" s="142"/>
      <c r="DS182" s="142"/>
      <c r="DT182" s="142"/>
      <c r="DU182" s="142"/>
      <c r="DV182" s="142"/>
      <c r="DW182" s="142"/>
      <c r="DX182" s="142"/>
      <c r="DY182" s="142"/>
      <c r="DZ182" s="142"/>
      <c r="EA182" s="142"/>
      <c r="EB182" s="142"/>
      <c r="EC182" s="142"/>
      <c r="ED182" s="142"/>
      <c r="EE182" s="142"/>
      <c r="EF182" s="142"/>
      <c r="EG182" s="142"/>
      <c r="EH182" s="142"/>
      <c r="EI182" s="142"/>
      <c r="EJ182" s="142"/>
      <c r="EK182" s="142"/>
      <c r="EL182" s="142"/>
      <c r="EM182" s="142"/>
      <c r="EN182" s="142"/>
      <c r="EO182" s="142"/>
      <c r="EP182" s="142"/>
      <c r="EQ182" s="142"/>
      <c r="ER182" s="142"/>
      <c r="ES182" s="142"/>
      <c r="ET182" s="142"/>
      <c r="EU182" s="142"/>
      <c r="EV182" s="142"/>
      <c r="EW182" s="142"/>
      <c r="EX182" s="142"/>
      <c r="EY182" s="142"/>
      <c r="EZ182" s="142"/>
      <c r="FA182" s="142"/>
      <c r="FB182" s="142"/>
      <c r="FC182" s="142"/>
      <c r="FD182" s="142"/>
      <c r="FE182" s="142"/>
      <c r="FF182" s="142"/>
      <c r="FG182" s="142"/>
      <c r="FH182" s="142"/>
      <c r="FI182" s="142"/>
      <c r="FJ182" s="142"/>
      <c r="FK182" s="142"/>
      <c r="FL182" s="142"/>
      <c r="FM182" s="142"/>
      <c r="FN182" s="142"/>
      <c r="FO182" s="142"/>
      <c r="FP182" s="142"/>
      <c r="FQ182" s="142"/>
      <c r="FR182" s="142"/>
      <c r="FS182" s="142"/>
      <c r="FT182" s="142"/>
      <c r="FU182" s="142"/>
      <c r="FV182" s="142"/>
      <c r="FW182" s="142"/>
      <c r="FX182" s="142"/>
      <c r="FY182" s="142"/>
      <c r="FZ182" s="142"/>
      <c r="GA182" s="142"/>
      <c r="GB182" s="142"/>
      <c r="GC182" s="142"/>
      <c r="GD182" s="142"/>
      <c r="GE182" s="142"/>
      <c r="GF182" s="142"/>
      <c r="GG182" s="142"/>
      <c r="GH182" s="142"/>
      <c r="GI182" s="142"/>
      <c r="GJ182" s="142"/>
      <c r="GK182" s="142"/>
      <c r="GL182" s="142"/>
      <c r="GM182" s="142"/>
      <c r="GN182" s="142"/>
      <c r="GO182" s="142"/>
      <c r="GP182" s="142"/>
      <c r="GQ182" s="142"/>
      <c r="GR182" s="142"/>
      <c r="GS182" s="142"/>
      <c r="GT182" s="142"/>
      <c r="GU182" s="142"/>
      <c r="GV182" s="142"/>
      <c r="GW182" s="142"/>
      <c r="GX182" s="142"/>
      <c r="GY182" s="142"/>
      <c r="GZ182" s="142"/>
      <c r="HA182" s="142"/>
      <c r="HB182" s="142"/>
      <c r="HC182" s="142"/>
      <c r="HD182" s="142"/>
      <c r="HE182" s="142"/>
      <c r="HF182" s="142"/>
      <c r="HG182" s="142"/>
      <c r="HH182" s="142"/>
      <c r="HI182" s="142"/>
      <c r="HJ182" s="142"/>
      <c r="HK182" s="142"/>
      <c r="HL182" s="142"/>
      <c r="HM182" s="142"/>
      <c r="HN182" s="142"/>
      <c r="HO182" s="142"/>
      <c r="HP182" s="142"/>
      <c r="HQ182" s="142"/>
      <c r="HR182" s="142"/>
      <c r="HS182" s="142"/>
      <c r="HT182" s="142"/>
      <c r="HU182" s="142"/>
      <c r="HV182" s="142"/>
      <c r="HW182" s="142"/>
      <c r="HX182" s="142"/>
      <c r="HY182" s="142"/>
      <c r="HZ182" s="142"/>
      <c r="IA182" s="142"/>
      <c r="IB182" s="142"/>
      <c r="IC182" s="142"/>
      <c r="ID182" s="142"/>
      <c r="IE182" s="142"/>
      <c r="IF182" s="142"/>
      <c r="IG182" s="142"/>
      <c r="IH182" s="142"/>
      <c r="II182" s="142"/>
      <c r="IJ182" s="142"/>
      <c r="IK182" s="142"/>
      <c r="IL182" s="142"/>
      <c r="IM182" s="142"/>
      <c r="IN182" s="142"/>
      <c r="IO182" s="142"/>
      <c r="IP182" s="142"/>
      <c r="IQ182" s="142"/>
      <c r="IR182" s="142"/>
      <c r="IS182" s="142"/>
      <c r="IT182" s="142"/>
      <c r="IU182" s="142"/>
      <c r="IV182" s="142"/>
    </row>
    <row r="183" spans="1:256" s="194" customFormat="1" x14ac:dyDescent="0.25">
      <c r="A183" s="148" t="s">
        <v>4811</v>
      </c>
      <c r="B183" s="150"/>
      <c r="C183" s="146"/>
      <c r="D183" s="146"/>
      <c r="E183" s="146">
        <f t="shared" si="8"/>
        <v>1.0023070965803611</v>
      </c>
      <c r="F183" s="432">
        <v>987.49400000000003</v>
      </c>
      <c r="G183" s="146">
        <f t="shared" si="9"/>
        <v>1.0019757805164753</v>
      </c>
      <c r="H183" s="432">
        <v>1084.242</v>
      </c>
      <c r="I183" s="142"/>
      <c r="J183" s="142"/>
      <c r="K183" s="142"/>
      <c r="L183" s="142"/>
      <c r="M183" s="142"/>
      <c r="N183" s="142"/>
      <c r="O183" s="142"/>
      <c r="P183" s="142"/>
      <c r="Q183" s="142"/>
      <c r="R183" s="142"/>
      <c r="S183" s="142"/>
      <c r="T183" s="142"/>
      <c r="U183" s="142"/>
      <c r="V183" s="142"/>
      <c r="W183" s="142"/>
      <c r="X183" s="142"/>
      <c r="Y183" s="142"/>
      <c r="Z183" s="142"/>
      <c r="AA183" s="142"/>
      <c r="AB183" s="142"/>
      <c r="AC183" s="142"/>
      <c r="AD183" s="142"/>
      <c r="AE183" s="142"/>
      <c r="AF183" s="142"/>
      <c r="AG183" s="142"/>
      <c r="AH183" s="142"/>
      <c r="AI183" s="142"/>
      <c r="AJ183" s="142"/>
      <c r="AK183" s="142"/>
      <c r="AL183" s="142"/>
      <c r="AM183" s="142"/>
      <c r="AN183" s="142"/>
      <c r="AO183" s="142"/>
      <c r="AP183" s="142"/>
      <c r="AQ183" s="142"/>
      <c r="AR183" s="142"/>
      <c r="AS183" s="142"/>
      <c r="AT183" s="142"/>
      <c r="AU183" s="142"/>
      <c r="AV183" s="142"/>
      <c r="AW183" s="142"/>
      <c r="AX183" s="142"/>
      <c r="AY183" s="142"/>
      <c r="AZ183" s="142"/>
      <c r="BA183" s="142"/>
      <c r="BB183" s="142"/>
      <c r="BC183" s="142"/>
      <c r="BD183" s="142"/>
      <c r="BE183" s="142"/>
      <c r="BF183" s="142"/>
      <c r="BG183" s="142"/>
      <c r="BH183" s="142"/>
      <c r="BI183" s="142"/>
      <c r="BJ183" s="142"/>
      <c r="BK183" s="142"/>
      <c r="BL183" s="142"/>
      <c r="BM183" s="142"/>
      <c r="BN183" s="142"/>
      <c r="BO183" s="142"/>
      <c r="BP183" s="142"/>
      <c r="BQ183" s="142"/>
      <c r="BR183" s="142"/>
      <c r="BS183" s="142"/>
      <c r="BT183" s="142"/>
      <c r="BU183" s="142"/>
      <c r="BV183" s="142"/>
      <c r="BW183" s="142"/>
      <c r="BX183" s="142"/>
      <c r="BY183" s="142"/>
      <c r="BZ183" s="142"/>
      <c r="CA183" s="142"/>
      <c r="CB183" s="142"/>
      <c r="CC183" s="142"/>
      <c r="CD183" s="142"/>
      <c r="CE183" s="142"/>
      <c r="CF183" s="142"/>
      <c r="CG183" s="142"/>
      <c r="CH183" s="142"/>
      <c r="CI183" s="142"/>
      <c r="CJ183" s="142"/>
      <c r="CK183" s="142"/>
      <c r="CL183" s="142"/>
      <c r="CM183" s="142"/>
      <c r="CN183" s="142"/>
      <c r="CO183" s="142"/>
      <c r="CP183" s="142"/>
      <c r="CQ183" s="142"/>
      <c r="CR183" s="142"/>
      <c r="CS183" s="142"/>
      <c r="CT183" s="142"/>
      <c r="CU183" s="142"/>
      <c r="CV183" s="142"/>
      <c r="CW183" s="142"/>
      <c r="CX183" s="142"/>
      <c r="CY183" s="142"/>
      <c r="CZ183" s="142"/>
      <c r="DA183" s="142"/>
      <c r="DB183" s="142"/>
      <c r="DC183" s="142"/>
      <c r="DD183" s="142"/>
      <c r="DE183" s="142"/>
      <c r="DF183" s="142"/>
      <c r="DG183" s="142"/>
      <c r="DH183" s="142"/>
      <c r="DI183" s="142"/>
      <c r="DJ183" s="142"/>
      <c r="DK183" s="142"/>
      <c r="DL183" s="142"/>
      <c r="DM183" s="142"/>
      <c r="DN183" s="142"/>
      <c r="DO183" s="142"/>
      <c r="DP183" s="142"/>
      <c r="DQ183" s="142"/>
      <c r="DR183" s="142"/>
      <c r="DS183" s="142"/>
      <c r="DT183" s="142"/>
      <c r="DU183" s="142"/>
      <c r="DV183" s="142"/>
      <c r="DW183" s="142"/>
      <c r="DX183" s="142"/>
      <c r="DY183" s="142"/>
      <c r="DZ183" s="142"/>
      <c r="EA183" s="142"/>
      <c r="EB183" s="142"/>
      <c r="EC183" s="142"/>
      <c r="ED183" s="142"/>
      <c r="EE183" s="142"/>
      <c r="EF183" s="142"/>
      <c r="EG183" s="142"/>
      <c r="EH183" s="142"/>
      <c r="EI183" s="142"/>
      <c r="EJ183" s="142"/>
      <c r="EK183" s="142"/>
      <c r="EL183" s="142"/>
      <c r="EM183" s="142"/>
      <c r="EN183" s="142"/>
      <c r="EO183" s="142"/>
      <c r="EP183" s="142"/>
      <c r="EQ183" s="142"/>
      <c r="ER183" s="142"/>
      <c r="ES183" s="142"/>
      <c r="ET183" s="142"/>
      <c r="EU183" s="142"/>
      <c r="EV183" s="142"/>
      <c r="EW183" s="142"/>
      <c r="EX183" s="142"/>
      <c r="EY183" s="142"/>
      <c r="EZ183" s="142"/>
      <c r="FA183" s="142"/>
      <c r="FB183" s="142"/>
      <c r="FC183" s="142"/>
      <c r="FD183" s="142"/>
      <c r="FE183" s="142"/>
      <c r="FF183" s="142"/>
      <c r="FG183" s="142"/>
      <c r="FH183" s="142"/>
      <c r="FI183" s="142"/>
      <c r="FJ183" s="142"/>
      <c r="FK183" s="142"/>
      <c r="FL183" s="142"/>
      <c r="FM183" s="142"/>
      <c r="FN183" s="142"/>
      <c r="FO183" s="142"/>
      <c r="FP183" s="142"/>
      <c r="FQ183" s="142"/>
      <c r="FR183" s="142"/>
      <c r="FS183" s="142"/>
      <c r="FT183" s="142"/>
      <c r="FU183" s="142"/>
      <c r="FV183" s="142"/>
      <c r="FW183" s="142"/>
      <c r="FX183" s="142"/>
      <c r="FY183" s="142"/>
      <c r="FZ183" s="142"/>
      <c r="GA183" s="142"/>
      <c r="GB183" s="142"/>
      <c r="GC183" s="142"/>
      <c r="GD183" s="142"/>
      <c r="GE183" s="142"/>
      <c r="GF183" s="142"/>
      <c r="GG183" s="142"/>
      <c r="GH183" s="142"/>
      <c r="GI183" s="142"/>
      <c r="GJ183" s="142"/>
      <c r="GK183" s="142"/>
      <c r="GL183" s="142"/>
      <c r="GM183" s="142"/>
      <c r="GN183" s="142"/>
      <c r="GO183" s="142"/>
      <c r="GP183" s="142"/>
      <c r="GQ183" s="142"/>
      <c r="GR183" s="142"/>
      <c r="GS183" s="142"/>
      <c r="GT183" s="142"/>
      <c r="GU183" s="142"/>
      <c r="GV183" s="142"/>
      <c r="GW183" s="142"/>
      <c r="GX183" s="142"/>
      <c r="GY183" s="142"/>
      <c r="GZ183" s="142"/>
      <c r="HA183" s="142"/>
      <c r="HB183" s="142"/>
      <c r="HC183" s="142"/>
      <c r="HD183" s="142"/>
      <c r="HE183" s="142"/>
      <c r="HF183" s="142"/>
      <c r="HG183" s="142"/>
      <c r="HH183" s="142"/>
      <c r="HI183" s="142"/>
      <c r="HJ183" s="142"/>
      <c r="HK183" s="142"/>
      <c r="HL183" s="142"/>
      <c r="HM183" s="142"/>
      <c r="HN183" s="142"/>
      <c r="HO183" s="142"/>
      <c r="HP183" s="142"/>
      <c r="HQ183" s="142"/>
      <c r="HR183" s="142"/>
      <c r="HS183" s="142"/>
      <c r="HT183" s="142"/>
      <c r="HU183" s="142"/>
      <c r="HV183" s="142"/>
      <c r="HW183" s="142"/>
      <c r="HX183" s="142"/>
      <c r="HY183" s="142"/>
      <c r="HZ183" s="142"/>
      <c r="IA183" s="142"/>
      <c r="IB183" s="142"/>
      <c r="IC183" s="142"/>
      <c r="ID183" s="142"/>
      <c r="IE183" s="142"/>
      <c r="IF183" s="142"/>
      <c r="IG183" s="142"/>
      <c r="IH183" s="142"/>
      <c r="II183" s="142"/>
      <c r="IJ183" s="142"/>
      <c r="IK183" s="142"/>
      <c r="IL183" s="142"/>
      <c r="IM183" s="142"/>
      <c r="IN183" s="142"/>
      <c r="IO183" s="142"/>
      <c r="IP183" s="142"/>
      <c r="IQ183" s="142"/>
      <c r="IR183" s="142"/>
      <c r="IS183" s="142"/>
      <c r="IT183" s="142"/>
      <c r="IU183" s="142"/>
      <c r="IV183" s="142"/>
    </row>
    <row r="184" spans="1:256" s="194" customFormat="1" ht="15.75" thickBot="1" x14ac:dyDescent="0.3">
      <c r="A184" s="448"/>
      <c r="B184" s="449"/>
      <c r="C184" s="151"/>
      <c r="D184" s="151"/>
      <c r="E184" s="151"/>
      <c r="F184" s="151"/>
      <c r="G184" s="151"/>
      <c r="H184" s="151"/>
      <c r="I184" s="142"/>
      <c r="J184" s="142"/>
      <c r="K184" s="142"/>
      <c r="L184" s="142"/>
      <c r="M184" s="142"/>
      <c r="N184" s="142"/>
      <c r="O184" s="142"/>
      <c r="P184" s="142"/>
      <c r="Q184" s="142"/>
      <c r="R184" s="142"/>
      <c r="S184" s="142"/>
      <c r="T184" s="142"/>
      <c r="U184" s="142"/>
      <c r="V184" s="142"/>
      <c r="W184" s="142"/>
      <c r="X184" s="142"/>
      <c r="Y184" s="142"/>
      <c r="Z184" s="142"/>
      <c r="AA184" s="142"/>
      <c r="AB184" s="142"/>
      <c r="AC184" s="142"/>
      <c r="AD184" s="142"/>
      <c r="AE184" s="142"/>
      <c r="AF184" s="142"/>
      <c r="AG184" s="142"/>
      <c r="AH184" s="142"/>
      <c r="AI184" s="142"/>
      <c r="AJ184" s="142"/>
      <c r="AK184" s="142"/>
      <c r="AL184" s="142"/>
      <c r="AM184" s="142"/>
      <c r="AN184" s="142"/>
      <c r="AO184" s="142"/>
      <c r="AP184" s="142"/>
      <c r="AQ184" s="142"/>
      <c r="AR184" s="142"/>
      <c r="AS184" s="142"/>
      <c r="AT184" s="142"/>
      <c r="AU184" s="142"/>
      <c r="AV184" s="142"/>
      <c r="AW184" s="142"/>
      <c r="AX184" s="142"/>
      <c r="AY184" s="142"/>
      <c r="AZ184" s="142"/>
      <c r="BA184" s="142"/>
      <c r="BB184" s="142"/>
      <c r="BC184" s="142"/>
      <c r="BD184" s="142"/>
      <c r="BE184" s="142"/>
      <c r="BF184" s="142"/>
      <c r="BG184" s="142"/>
      <c r="BH184" s="142"/>
      <c r="BI184" s="142"/>
      <c r="BJ184" s="142"/>
      <c r="BK184" s="142"/>
      <c r="BL184" s="142"/>
      <c r="BM184" s="142"/>
      <c r="BN184" s="142"/>
      <c r="BO184" s="142"/>
      <c r="BP184" s="142"/>
      <c r="BQ184" s="142"/>
      <c r="BR184" s="142"/>
      <c r="BS184" s="142"/>
      <c r="BT184" s="142"/>
      <c r="BU184" s="142"/>
      <c r="BV184" s="142"/>
      <c r="BW184" s="142"/>
      <c r="BX184" s="142"/>
      <c r="BY184" s="142"/>
      <c r="BZ184" s="142"/>
      <c r="CA184" s="142"/>
      <c r="CB184" s="142"/>
      <c r="CC184" s="142"/>
      <c r="CD184" s="142"/>
      <c r="CE184" s="142"/>
      <c r="CF184" s="142"/>
      <c r="CG184" s="142"/>
      <c r="CH184" s="142"/>
      <c r="CI184" s="142"/>
      <c r="CJ184" s="142"/>
      <c r="CK184" s="142"/>
      <c r="CL184" s="142"/>
      <c r="CM184" s="142"/>
      <c r="CN184" s="142"/>
      <c r="CO184" s="142"/>
      <c r="CP184" s="142"/>
      <c r="CQ184" s="142"/>
      <c r="CR184" s="142"/>
      <c r="CS184" s="142"/>
      <c r="CT184" s="142"/>
      <c r="CU184" s="142"/>
      <c r="CV184" s="142"/>
      <c r="CW184" s="142"/>
      <c r="CX184" s="142"/>
      <c r="CY184" s="142"/>
      <c r="CZ184" s="142"/>
      <c r="DA184" s="142"/>
      <c r="DB184" s="142"/>
      <c r="DC184" s="142"/>
      <c r="DD184" s="142"/>
      <c r="DE184" s="142"/>
      <c r="DF184" s="142"/>
      <c r="DG184" s="142"/>
      <c r="DH184" s="142"/>
      <c r="DI184" s="142"/>
      <c r="DJ184" s="142"/>
      <c r="DK184" s="142"/>
      <c r="DL184" s="142"/>
      <c r="DM184" s="142"/>
      <c r="DN184" s="142"/>
      <c r="DO184" s="142"/>
      <c r="DP184" s="142"/>
      <c r="DQ184" s="142"/>
      <c r="DR184" s="142"/>
      <c r="DS184" s="142"/>
      <c r="DT184" s="142"/>
      <c r="DU184" s="142"/>
      <c r="DV184" s="142"/>
      <c r="DW184" s="142"/>
      <c r="DX184" s="142"/>
      <c r="DY184" s="142"/>
      <c r="DZ184" s="142"/>
      <c r="EA184" s="142"/>
      <c r="EB184" s="142"/>
      <c r="EC184" s="142"/>
      <c r="ED184" s="142"/>
      <c r="EE184" s="142"/>
      <c r="EF184" s="142"/>
      <c r="EG184" s="142"/>
      <c r="EH184" s="142"/>
      <c r="EI184" s="142"/>
      <c r="EJ184" s="142"/>
      <c r="EK184" s="142"/>
      <c r="EL184" s="142"/>
      <c r="EM184" s="142"/>
      <c r="EN184" s="142"/>
      <c r="EO184" s="142"/>
      <c r="EP184" s="142"/>
      <c r="EQ184" s="142"/>
      <c r="ER184" s="142"/>
      <c r="ES184" s="142"/>
      <c r="ET184" s="142"/>
      <c r="EU184" s="142"/>
      <c r="EV184" s="142"/>
      <c r="EW184" s="142"/>
      <c r="EX184" s="142"/>
      <c r="EY184" s="142"/>
      <c r="EZ184" s="142"/>
      <c r="FA184" s="142"/>
      <c r="FB184" s="142"/>
      <c r="FC184" s="142"/>
      <c r="FD184" s="142"/>
      <c r="FE184" s="142"/>
      <c r="FF184" s="142"/>
      <c r="FG184" s="142"/>
      <c r="FH184" s="142"/>
      <c r="FI184" s="142"/>
      <c r="FJ184" s="142"/>
      <c r="FK184" s="142"/>
      <c r="FL184" s="142"/>
      <c r="FM184" s="142"/>
      <c r="FN184" s="142"/>
      <c r="FO184" s="142"/>
      <c r="FP184" s="142"/>
      <c r="FQ184" s="142"/>
      <c r="FR184" s="142"/>
      <c r="FS184" s="142"/>
      <c r="FT184" s="142"/>
      <c r="FU184" s="142"/>
      <c r="FV184" s="142"/>
      <c r="FW184" s="142"/>
      <c r="FX184" s="142"/>
      <c r="FY184" s="142"/>
      <c r="FZ184" s="142"/>
      <c r="GA184" s="142"/>
      <c r="GB184" s="142"/>
      <c r="GC184" s="142"/>
      <c r="GD184" s="142"/>
      <c r="GE184" s="142"/>
      <c r="GF184" s="142"/>
      <c r="GG184" s="142"/>
      <c r="GH184" s="142"/>
      <c r="GI184" s="142"/>
      <c r="GJ184" s="142"/>
      <c r="GK184" s="142"/>
      <c r="GL184" s="142"/>
      <c r="GM184" s="142"/>
      <c r="GN184" s="142"/>
      <c r="GO184" s="142"/>
      <c r="GP184" s="142"/>
      <c r="GQ184" s="142"/>
      <c r="GR184" s="142"/>
      <c r="GS184" s="142"/>
      <c r="GT184" s="142"/>
      <c r="GU184" s="142"/>
      <c r="GV184" s="142"/>
      <c r="GW184" s="142"/>
      <c r="GX184" s="142"/>
      <c r="GY184" s="142"/>
      <c r="GZ184" s="142"/>
      <c r="HA184" s="142"/>
      <c r="HB184" s="142"/>
      <c r="HC184" s="142"/>
      <c r="HD184" s="142"/>
      <c r="HE184" s="142"/>
      <c r="HF184" s="142"/>
      <c r="HG184" s="142"/>
      <c r="HH184" s="142"/>
      <c r="HI184" s="142"/>
      <c r="HJ184" s="142"/>
      <c r="HK184" s="142"/>
      <c r="HL184" s="142"/>
      <c r="HM184" s="142"/>
      <c r="HN184" s="142"/>
      <c r="HO184" s="142"/>
      <c r="HP184" s="142"/>
      <c r="HQ184" s="142"/>
      <c r="HR184" s="142"/>
      <c r="HS184" s="142"/>
      <c r="HT184" s="142"/>
      <c r="HU184" s="142"/>
      <c r="HV184" s="142"/>
      <c r="HW184" s="142"/>
      <c r="HX184" s="142"/>
      <c r="HY184" s="142"/>
      <c r="HZ184" s="142"/>
      <c r="IA184" s="142"/>
      <c r="IB184" s="142"/>
      <c r="IC184" s="142"/>
      <c r="ID184" s="142"/>
      <c r="IE184" s="142"/>
      <c r="IF184" s="142"/>
      <c r="IG184" s="142"/>
      <c r="IH184" s="142"/>
      <c r="II184" s="142"/>
      <c r="IJ184" s="142"/>
      <c r="IK184" s="142"/>
      <c r="IL184" s="142"/>
      <c r="IM184" s="142"/>
      <c r="IN184" s="142"/>
      <c r="IO184" s="142"/>
      <c r="IP184" s="142"/>
      <c r="IQ184" s="142"/>
      <c r="IR184" s="142"/>
      <c r="IS184" s="142"/>
      <c r="IT184" s="142"/>
      <c r="IU184" s="142"/>
      <c r="IV184" s="142"/>
    </row>
    <row r="185" spans="1:256" ht="15.75" thickBot="1" x14ac:dyDescent="0.3">
      <c r="A185" s="649" t="s">
        <v>1968</v>
      </c>
      <c r="B185" s="650"/>
      <c r="C185" s="649" t="s">
        <v>11</v>
      </c>
      <c r="D185" s="650"/>
      <c r="E185" s="649" t="s">
        <v>1120</v>
      </c>
      <c r="F185" s="650"/>
      <c r="G185" s="649" t="s">
        <v>1969</v>
      </c>
      <c r="H185" s="650"/>
    </row>
    <row r="186" spans="1:256" ht="28.5" x14ac:dyDescent="0.25">
      <c r="A186" s="152" t="s">
        <v>1970</v>
      </c>
      <c r="B186" s="153" t="s">
        <v>1971</v>
      </c>
      <c r="C186" s="152" t="s">
        <v>1970</v>
      </c>
      <c r="D186" s="153" t="s">
        <v>1971</v>
      </c>
      <c r="E186" s="152" t="s">
        <v>1970</v>
      </c>
      <c r="F186" s="153" t="s">
        <v>1971</v>
      </c>
      <c r="G186" s="152" t="s">
        <v>1970</v>
      </c>
      <c r="H186" s="153" t="s">
        <v>1971</v>
      </c>
    </row>
    <row r="187" spans="1:256" x14ac:dyDescent="0.25">
      <c r="A187" s="154"/>
      <c r="B187" s="155"/>
      <c r="C187" s="154"/>
      <c r="D187" s="155"/>
      <c r="E187" s="156"/>
      <c r="F187" s="155"/>
      <c r="G187" s="156">
        <f>PRODUCT(G163:G183)</f>
        <v>1.1187163634562682</v>
      </c>
      <c r="H187" s="155"/>
    </row>
    <row r="188" spans="1:256" x14ac:dyDescent="0.25">
      <c r="A188" s="154"/>
      <c r="B188" s="155"/>
      <c r="C188" s="154"/>
      <c r="D188" s="155"/>
      <c r="E188" s="154"/>
      <c r="F188" s="155"/>
      <c r="G188" s="154"/>
      <c r="H188" s="155">
        <f>G190-G187</f>
        <v>0</v>
      </c>
    </row>
    <row r="189" spans="1:256" ht="28.5" x14ac:dyDescent="0.25">
      <c r="A189" s="157" t="s">
        <v>1972</v>
      </c>
      <c r="B189" s="153" t="s">
        <v>1973</v>
      </c>
      <c r="C189" s="157" t="s">
        <v>1972</v>
      </c>
      <c r="D189" s="153" t="s">
        <v>1973</v>
      </c>
      <c r="E189" s="157" t="s">
        <v>1972</v>
      </c>
      <c r="F189" s="153" t="s">
        <v>1973</v>
      </c>
      <c r="G189" s="157" t="s">
        <v>1972</v>
      </c>
      <c r="H189" s="153" t="s">
        <v>1973</v>
      </c>
      <c r="I189" s="158"/>
    </row>
    <row r="190" spans="1:256" x14ac:dyDescent="0.25">
      <c r="A190" s="159"/>
      <c r="B190" s="155" t="s">
        <v>4812</v>
      </c>
      <c r="C190" s="159"/>
      <c r="D190" s="155" t="s">
        <v>4813</v>
      </c>
      <c r="E190" s="159"/>
      <c r="F190" s="155" t="s">
        <v>4814</v>
      </c>
      <c r="G190" s="159">
        <f>H183/H162</f>
        <v>1.1187163634562685</v>
      </c>
      <c r="H190" s="155" t="s">
        <v>4818</v>
      </c>
      <c r="I190" s="159"/>
      <c r="J190" s="450"/>
    </row>
    <row r="191" spans="1:256" ht="15.75" thickBot="1" x14ac:dyDescent="0.3">
      <c r="A191" s="653" t="s">
        <v>1974</v>
      </c>
      <c r="B191" s="654"/>
      <c r="C191" s="653" t="s">
        <v>1975</v>
      </c>
      <c r="D191" s="654"/>
      <c r="E191" s="653" t="s">
        <v>1976</v>
      </c>
      <c r="F191" s="654"/>
      <c r="G191" s="653" t="s">
        <v>1977</v>
      </c>
      <c r="H191" s="654"/>
      <c r="J191" s="158"/>
    </row>
    <row r="192" spans="1:256" s="194" customFormat="1" x14ac:dyDescent="0.25">
      <c r="A192" s="448"/>
      <c r="B192" s="449"/>
      <c r="C192" s="151"/>
      <c r="D192" s="151"/>
      <c r="E192" s="151"/>
      <c r="F192" s="151"/>
      <c r="G192" s="151"/>
      <c r="H192" s="151"/>
      <c r="I192" s="142"/>
      <c r="J192" s="142"/>
      <c r="K192" s="142"/>
      <c r="L192" s="142"/>
      <c r="M192" s="142"/>
      <c r="N192" s="142"/>
      <c r="O192" s="142"/>
      <c r="P192" s="142"/>
      <c r="Q192" s="142"/>
      <c r="R192" s="142"/>
      <c r="S192" s="142"/>
      <c r="T192" s="142"/>
      <c r="U192" s="142"/>
      <c r="V192" s="142"/>
      <c r="W192" s="142"/>
      <c r="X192" s="142"/>
      <c r="Y192" s="142"/>
      <c r="Z192" s="142"/>
      <c r="AA192" s="142"/>
      <c r="AB192" s="142"/>
      <c r="AC192" s="142"/>
      <c r="AD192" s="142"/>
      <c r="AE192" s="142"/>
      <c r="AF192" s="142"/>
      <c r="AG192" s="142"/>
      <c r="AH192" s="142"/>
      <c r="AI192" s="142"/>
      <c r="AJ192" s="142"/>
      <c r="AK192" s="142"/>
      <c r="AL192" s="142"/>
      <c r="AM192" s="142"/>
      <c r="AN192" s="142"/>
      <c r="AO192" s="142"/>
      <c r="AP192" s="142"/>
      <c r="AQ192" s="142"/>
      <c r="AR192" s="142"/>
      <c r="AS192" s="142"/>
      <c r="AT192" s="142"/>
      <c r="AU192" s="142"/>
      <c r="AV192" s="142"/>
      <c r="AW192" s="142"/>
      <c r="AX192" s="142"/>
      <c r="AY192" s="142"/>
      <c r="AZ192" s="142"/>
      <c r="BA192" s="142"/>
      <c r="BB192" s="142"/>
      <c r="BC192" s="142"/>
      <c r="BD192" s="142"/>
      <c r="BE192" s="142"/>
      <c r="BF192" s="142"/>
      <c r="BG192" s="142"/>
      <c r="BH192" s="142"/>
      <c r="BI192" s="142"/>
      <c r="BJ192" s="142"/>
      <c r="BK192" s="142"/>
      <c r="BL192" s="142"/>
      <c r="BM192" s="142"/>
      <c r="BN192" s="142"/>
      <c r="BO192" s="142"/>
      <c r="BP192" s="142"/>
      <c r="BQ192" s="142"/>
      <c r="BR192" s="142"/>
      <c r="BS192" s="142"/>
      <c r="BT192" s="142"/>
      <c r="BU192" s="142"/>
      <c r="BV192" s="142"/>
      <c r="BW192" s="142"/>
      <c r="BX192" s="142"/>
      <c r="BY192" s="142"/>
      <c r="BZ192" s="142"/>
      <c r="CA192" s="142"/>
      <c r="CB192" s="142"/>
      <c r="CC192" s="142"/>
      <c r="CD192" s="142"/>
      <c r="CE192" s="142"/>
      <c r="CF192" s="142"/>
      <c r="CG192" s="142"/>
      <c r="CH192" s="142"/>
      <c r="CI192" s="142"/>
      <c r="CJ192" s="142"/>
      <c r="CK192" s="142"/>
      <c r="CL192" s="142"/>
      <c r="CM192" s="142"/>
      <c r="CN192" s="142"/>
      <c r="CO192" s="142"/>
      <c r="CP192" s="142"/>
      <c r="CQ192" s="142"/>
      <c r="CR192" s="142"/>
      <c r="CS192" s="142"/>
      <c r="CT192" s="142"/>
      <c r="CU192" s="142"/>
      <c r="CV192" s="142"/>
      <c r="CW192" s="142"/>
      <c r="CX192" s="142"/>
      <c r="CY192" s="142"/>
      <c r="CZ192" s="142"/>
      <c r="DA192" s="142"/>
      <c r="DB192" s="142"/>
      <c r="DC192" s="142"/>
      <c r="DD192" s="142"/>
      <c r="DE192" s="142"/>
      <c r="DF192" s="142"/>
      <c r="DG192" s="142"/>
      <c r="DH192" s="142"/>
      <c r="DI192" s="142"/>
      <c r="DJ192" s="142"/>
      <c r="DK192" s="142"/>
      <c r="DL192" s="142"/>
      <c r="DM192" s="142"/>
      <c r="DN192" s="142"/>
      <c r="DO192" s="142"/>
      <c r="DP192" s="142"/>
      <c r="DQ192" s="142"/>
      <c r="DR192" s="142"/>
      <c r="DS192" s="142"/>
      <c r="DT192" s="142"/>
      <c r="DU192" s="142"/>
      <c r="DV192" s="142"/>
      <c r="DW192" s="142"/>
      <c r="DX192" s="142"/>
      <c r="DY192" s="142"/>
      <c r="DZ192" s="142"/>
      <c r="EA192" s="142"/>
      <c r="EB192" s="142"/>
      <c r="EC192" s="142"/>
      <c r="ED192" s="142"/>
      <c r="EE192" s="142"/>
      <c r="EF192" s="142"/>
      <c r="EG192" s="142"/>
      <c r="EH192" s="142"/>
      <c r="EI192" s="142"/>
      <c r="EJ192" s="142"/>
      <c r="EK192" s="142"/>
      <c r="EL192" s="142"/>
      <c r="EM192" s="142"/>
      <c r="EN192" s="142"/>
      <c r="EO192" s="142"/>
      <c r="EP192" s="142"/>
      <c r="EQ192" s="142"/>
      <c r="ER192" s="142"/>
      <c r="ES192" s="142"/>
      <c r="ET192" s="142"/>
      <c r="EU192" s="142"/>
      <c r="EV192" s="142"/>
      <c r="EW192" s="142"/>
      <c r="EX192" s="142"/>
      <c r="EY192" s="142"/>
      <c r="EZ192" s="142"/>
      <c r="FA192" s="142"/>
      <c r="FB192" s="142"/>
      <c r="FC192" s="142"/>
      <c r="FD192" s="142"/>
      <c r="FE192" s="142"/>
      <c r="FF192" s="142"/>
      <c r="FG192" s="142"/>
      <c r="FH192" s="142"/>
      <c r="FI192" s="142"/>
      <c r="FJ192" s="142"/>
      <c r="FK192" s="142"/>
      <c r="FL192" s="142"/>
      <c r="FM192" s="142"/>
      <c r="FN192" s="142"/>
      <c r="FO192" s="142"/>
      <c r="FP192" s="142"/>
      <c r="FQ192" s="142"/>
      <c r="FR192" s="142"/>
      <c r="FS192" s="142"/>
      <c r="FT192" s="142"/>
      <c r="FU192" s="142"/>
      <c r="FV192" s="142"/>
      <c r="FW192" s="142"/>
      <c r="FX192" s="142"/>
      <c r="FY192" s="142"/>
      <c r="FZ192" s="142"/>
      <c r="GA192" s="142"/>
      <c r="GB192" s="142"/>
      <c r="GC192" s="142"/>
      <c r="GD192" s="142"/>
      <c r="GE192" s="142"/>
      <c r="GF192" s="142"/>
      <c r="GG192" s="142"/>
      <c r="GH192" s="142"/>
      <c r="GI192" s="142"/>
      <c r="GJ192" s="142"/>
      <c r="GK192" s="142"/>
      <c r="GL192" s="142"/>
      <c r="GM192" s="142"/>
      <c r="GN192" s="142"/>
      <c r="GO192" s="142"/>
      <c r="GP192" s="142"/>
      <c r="GQ192" s="142"/>
      <c r="GR192" s="142"/>
      <c r="GS192" s="142"/>
      <c r="GT192" s="142"/>
      <c r="GU192" s="142"/>
      <c r="GV192" s="142"/>
      <c r="GW192" s="142"/>
      <c r="GX192" s="142"/>
      <c r="GY192" s="142"/>
      <c r="GZ192" s="142"/>
      <c r="HA192" s="142"/>
      <c r="HB192" s="142"/>
      <c r="HC192" s="142"/>
      <c r="HD192" s="142"/>
      <c r="HE192" s="142"/>
      <c r="HF192" s="142"/>
      <c r="HG192" s="142"/>
      <c r="HH192" s="142"/>
      <c r="HI192" s="142"/>
      <c r="HJ192" s="142"/>
      <c r="HK192" s="142"/>
      <c r="HL192" s="142"/>
      <c r="HM192" s="142"/>
      <c r="HN192" s="142"/>
      <c r="HO192" s="142"/>
      <c r="HP192" s="142"/>
      <c r="HQ192" s="142"/>
      <c r="HR192" s="142"/>
      <c r="HS192" s="142"/>
      <c r="HT192" s="142"/>
      <c r="HU192" s="142"/>
      <c r="HV192" s="142"/>
      <c r="HW192" s="142"/>
      <c r="HX192" s="142"/>
      <c r="HY192" s="142"/>
      <c r="HZ192" s="142"/>
      <c r="IA192" s="142"/>
      <c r="IB192" s="142"/>
      <c r="IC192" s="142"/>
      <c r="ID192" s="142"/>
      <c r="IE192" s="142"/>
      <c r="IF192" s="142"/>
      <c r="IG192" s="142"/>
      <c r="IH192" s="142"/>
      <c r="II192" s="142"/>
      <c r="IJ192" s="142"/>
      <c r="IK192" s="142"/>
      <c r="IL192" s="142"/>
      <c r="IM192" s="142"/>
      <c r="IN192" s="142"/>
      <c r="IO192" s="142"/>
      <c r="IP192" s="142"/>
      <c r="IQ192" s="142"/>
      <c r="IR192" s="142"/>
      <c r="IS192" s="142"/>
      <c r="IT192" s="142"/>
      <c r="IU192" s="142"/>
      <c r="IV192" s="142"/>
    </row>
    <row r="193" spans="1:10" ht="15.75" hidden="1" thickBot="1" x14ac:dyDescent="0.3">
      <c r="A193" s="649" t="s">
        <v>1968</v>
      </c>
      <c r="B193" s="650"/>
      <c r="C193" s="649" t="s">
        <v>11</v>
      </c>
      <c r="D193" s="650"/>
      <c r="E193" s="649" t="s">
        <v>1120</v>
      </c>
      <c r="F193" s="650"/>
      <c r="G193" s="649" t="s">
        <v>1969</v>
      </c>
      <c r="H193" s="650"/>
    </row>
    <row r="194" spans="1:10" ht="28.5" hidden="1" x14ac:dyDescent="0.25">
      <c r="A194" s="152" t="s">
        <v>1970</v>
      </c>
      <c r="B194" s="153" t="s">
        <v>1971</v>
      </c>
      <c r="C194" s="152" t="s">
        <v>1970</v>
      </c>
      <c r="D194" s="153" t="s">
        <v>1971</v>
      </c>
      <c r="E194" s="152" t="s">
        <v>1970</v>
      </c>
      <c r="F194" s="153" t="s">
        <v>1971</v>
      </c>
      <c r="G194" s="152" t="s">
        <v>1970</v>
      </c>
      <c r="H194" s="153" t="s">
        <v>1971</v>
      </c>
    </row>
    <row r="195" spans="1:10" s="454" customFormat="1" hidden="1" x14ac:dyDescent="0.25">
      <c r="A195" s="451"/>
      <c r="B195" s="452"/>
      <c r="C195" s="451"/>
      <c r="D195" s="452"/>
      <c r="E195" s="453"/>
      <c r="F195" s="452"/>
      <c r="G195" s="453" t="e">
        <f>PRODUCT(#REF!)</f>
        <v>#REF!</v>
      </c>
      <c r="H195" s="452"/>
    </row>
    <row r="196" spans="1:10" hidden="1" x14ac:dyDescent="0.25">
      <c r="A196" s="154"/>
      <c r="B196" s="155"/>
      <c r="C196" s="154"/>
      <c r="D196" s="155"/>
      <c r="E196" s="154"/>
      <c r="F196" s="155"/>
      <c r="G196" s="154"/>
      <c r="H196" s="155"/>
    </row>
    <row r="197" spans="1:10" ht="28.5" hidden="1" x14ac:dyDescent="0.25">
      <c r="A197" s="157" t="s">
        <v>1972</v>
      </c>
      <c r="B197" s="153" t="s">
        <v>1973</v>
      </c>
      <c r="C197" s="157" t="s">
        <v>1972</v>
      </c>
      <c r="D197" s="153" t="s">
        <v>1973</v>
      </c>
      <c r="E197" s="157" t="s">
        <v>1972</v>
      </c>
      <c r="F197" s="153" t="s">
        <v>1973</v>
      </c>
      <c r="G197" s="157" t="s">
        <v>1972</v>
      </c>
      <c r="H197" s="153" t="s">
        <v>1973</v>
      </c>
      <c r="I197" s="158"/>
    </row>
    <row r="198" spans="1:10" s="454" customFormat="1" hidden="1" x14ac:dyDescent="0.25">
      <c r="A198" s="455"/>
      <c r="B198" s="452" t="s">
        <v>4812</v>
      </c>
      <c r="C198" s="455"/>
      <c r="D198" s="452" t="s">
        <v>4813</v>
      </c>
      <c r="E198" s="455"/>
      <c r="F198" s="452" t="s">
        <v>4814</v>
      </c>
      <c r="G198" s="455" t="e">
        <f>#REF!/#REF!</f>
        <v>#REF!</v>
      </c>
      <c r="H198" s="452" t="s">
        <v>4815</v>
      </c>
      <c r="I198" s="455"/>
      <c r="J198" s="456"/>
    </row>
    <row r="199" spans="1:10" ht="15.75" hidden="1" thickBot="1" x14ac:dyDescent="0.3">
      <c r="A199" s="653" t="s">
        <v>1974</v>
      </c>
      <c r="B199" s="654"/>
      <c r="C199" s="653" t="s">
        <v>1975</v>
      </c>
      <c r="D199" s="654"/>
      <c r="E199" s="653" t="s">
        <v>1976</v>
      </c>
      <c r="F199" s="654"/>
      <c r="G199" s="653" t="s">
        <v>1977</v>
      </c>
      <c r="H199" s="654"/>
      <c r="J199" s="158"/>
    </row>
    <row r="200" spans="1:10" hidden="1" x14ac:dyDescent="0.25">
      <c r="D200" s="160"/>
      <c r="H200" s="158"/>
      <c r="I200" s="457"/>
    </row>
    <row r="201" spans="1:10" x14ac:dyDescent="0.25">
      <c r="A201" s="447" t="s">
        <v>4816</v>
      </c>
      <c r="B201" s="447"/>
      <c r="C201" s="458" t="s">
        <v>4817</v>
      </c>
    </row>
  </sheetData>
  <mergeCells count="18">
    <mergeCell ref="A1:H1"/>
    <mergeCell ref="A2:F2"/>
    <mergeCell ref="A185:B185"/>
    <mergeCell ref="C185:D185"/>
    <mergeCell ref="E185:F185"/>
    <mergeCell ref="G185:H185"/>
    <mergeCell ref="A199:B199"/>
    <mergeCell ref="C199:D199"/>
    <mergeCell ref="E199:F199"/>
    <mergeCell ref="G199:H199"/>
    <mergeCell ref="A191:B191"/>
    <mergeCell ref="C191:D191"/>
    <mergeCell ref="E191:F191"/>
    <mergeCell ref="G191:H191"/>
    <mergeCell ref="A193:B193"/>
    <mergeCell ref="C193:D193"/>
    <mergeCell ref="E193:F193"/>
    <mergeCell ref="G193:H193"/>
  </mergeCells>
  <hyperlinks>
    <hyperlink ref="C201" r:id="rId1" xr:uid="{00000000-0004-0000-0B00-000000000000}"/>
  </hyperlinks>
  <pageMargins left="0.511811024" right="0.511811024" top="0.78740157499999996" bottom="0.78740157499999996" header="0.31496062000000002" footer="0.31496062000000002"/>
  <pageSetup paperSize="9" scale="64" orientation="portrait" r:id="rId2"/>
  <drawing r:id="rId3"/>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sheetPr>
  <dimension ref="A1:I56"/>
  <sheetViews>
    <sheetView showGridLines="0" view="pageBreakPreview" topLeftCell="A20" zoomScale="140" zoomScaleNormal="100" zoomScaleSheetLayoutView="140" workbookViewId="0">
      <selection activeCell="P13" sqref="P13"/>
    </sheetView>
  </sheetViews>
  <sheetFormatPr defaultRowHeight="14.25" x14ac:dyDescent="0.2"/>
  <cols>
    <col min="1" max="1" width="3.140625" style="107" customWidth="1"/>
    <col min="2" max="2" width="9.140625" style="107"/>
    <col min="3" max="3" width="4.42578125" style="107" customWidth="1"/>
    <col min="4" max="4" width="38" style="107" customWidth="1"/>
    <col min="5" max="5" width="2.42578125" style="107" customWidth="1"/>
    <col min="6" max="6" width="4.140625" style="107" customWidth="1"/>
    <col min="7" max="7" width="4" style="107" customWidth="1"/>
    <col min="8" max="8" width="11.42578125" style="107" customWidth="1"/>
    <col min="9" max="9" width="3.140625" style="107" customWidth="1"/>
    <col min="10" max="16384" width="9.140625" style="107"/>
  </cols>
  <sheetData>
    <row r="1" spans="1:9" ht="60.75" customHeight="1" x14ac:dyDescent="0.2">
      <c r="A1" s="106"/>
      <c r="B1" s="106"/>
      <c r="C1" s="106"/>
      <c r="D1" s="106"/>
      <c r="E1" s="106"/>
      <c r="F1" s="106"/>
      <c r="G1" s="106"/>
      <c r="H1" s="106"/>
      <c r="I1" s="106"/>
    </row>
    <row r="2" spans="1:9" ht="15" x14ac:dyDescent="0.2">
      <c r="A2" s="106"/>
      <c r="B2" s="684" t="s">
        <v>31</v>
      </c>
      <c r="C2" s="684"/>
      <c r="D2" s="684"/>
      <c r="E2" s="684"/>
      <c r="F2" s="684"/>
      <c r="G2" s="684"/>
      <c r="H2" s="684"/>
      <c r="I2" s="106"/>
    </row>
    <row r="3" spans="1:9" ht="28.5" customHeight="1" x14ac:dyDescent="0.2">
      <c r="A3" s="106"/>
      <c r="B3" s="685" t="s">
        <v>12735</v>
      </c>
      <c r="C3" s="685"/>
      <c r="D3" s="685"/>
      <c r="E3" s="685"/>
      <c r="F3" s="685"/>
      <c r="G3" s="685"/>
      <c r="H3" s="685"/>
      <c r="I3" s="106"/>
    </row>
    <row r="4" spans="1:9" x14ac:dyDescent="0.2">
      <c r="A4" s="106"/>
      <c r="B4" s="686" t="s">
        <v>1158</v>
      </c>
      <c r="C4" s="686"/>
      <c r="D4" s="686"/>
      <c r="E4" s="686"/>
      <c r="F4" s="686"/>
      <c r="G4" s="686"/>
      <c r="H4" s="686"/>
      <c r="I4" s="106"/>
    </row>
    <row r="5" spans="1:9" ht="15" customHeight="1" thickBot="1" x14ac:dyDescent="0.25">
      <c r="A5" s="106"/>
      <c r="B5" s="108"/>
      <c r="C5" s="108"/>
      <c r="D5" s="108"/>
      <c r="E5" s="108"/>
      <c r="F5" s="108"/>
      <c r="G5" s="108"/>
      <c r="H5" s="109" t="s">
        <v>1179</v>
      </c>
      <c r="I5" s="106"/>
    </row>
    <row r="6" spans="1:9" ht="15" thickBot="1" x14ac:dyDescent="0.25">
      <c r="A6" s="106"/>
      <c r="B6" s="110" t="s">
        <v>1160</v>
      </c>
      <c r="C6" s="518" t="s">
        <v>1161</v>
      </c>
      <c r="D6" s="519"/>
      <c r="E6" s="519"/>
      <c r="F6" s="519"/>
      <c r="G6" s="520"/>
      <c r="H6" s="111" t="s">
        <v>1162</v>
      </c>
      <c r="I6" s="106"/>
    </row>
    <row r="7" spans="1:9" ht="15" thickTop="1" x14ac:dyDescent="0.2">
      <c r="A7" s="106"/>
      <c r="B7" s="521" t="s">
        <v>1163</v>
      </c>
      <c r="C7" s="522"/>
      <c r="D7" s="522"/>
      <c r="E7" s="522"/>
      <c r="F7" s="522"/>
      <c r="G7" s="522"/>
      <c r="H7" s="523"/>
      <c r="I7" s="106"/>
    </row>
    <row r="8" spans="1:9" x14ac:dyDescent="0.2">
      <c r="A8" s="106"/>
      <c r="B8" s="687" t="s">
        <v>32</v>
      </c>
      <c r="C8" s="524" t="s">
        <v>33</v>
      </c>
      <c r="D8" s="525"/>
      <c r="E8" s="525"/>
      <c r="F8" s="525"/>
      <c r="G8" s="526"/>
      <c r="H8" s="112">
        <v>0.03</v>
      </c>
      <c r="I8" s="106"/>
    </row>
    <row r="9" spans="1:9" x14ac:dyDescent="0.2">
      <c r="A9" s="106"/>
      <c r="B9" s="688"/>
      <c r="C9" s="527" t="s">
        <v>34</v>
      </c>
      <c r="D9" s="528"/>
      <c r="E9" s="528"/>
      <c r="F9" s="528"/>
      <c r="G9" s="529"/>
      <c r="H9" s="112">
        <v>3.3999999999999998E-3</v>
      </c>
      <c r="I9" s="106"/>
    </row>
    <row r="10" spans="1:9" x14ac:dyDescent="0.2">
      <c r="A10" s="106"/>
      <c r="B10" s="688"/>
      <c r="C10" s="527" t="s">
        <v>35</v>
      </c>
      <c r="D10" s="528"/>
      <c r="E10" s="528"/>
      <c r="F10" s="528"/>
      <c r="G10" s="529"/>
      <c r="H10" s="112">
        <v>5.1999999999999998E-3</v>
      </c>
      <c r="I10" s="106"/>
    </row>
    <row r="11" spans="1:9" x14ac:dyDescent="0.2">
      <c r="A11" s="106"/>
      <c r="B11" s="689"/>
      <c r="C11" s="530" t="s">
        <v>36</v>
      </c>
      <c r="D11" s="531"/>
      <c r="E11" s="531"/>
      <c r="F11" s="531"/>
      <c r="G11" s="532"/>
      <c r="H11" s="112">
        <v>0.01</v>
      </c>
      <c r="I11" s="106"/>
    </row>
    <row r="12" spans="1:9" ht="15" thickBot="1" x14ac:dyDescent="0.25">
      <c r="A12" s="106"/>
      <c r="B12" s="533" t="s">
        <v>1164</v>
      </c>
      <c r="C12" s="534"/>
      <c r="D12" s="534"/>
      <c r="E12" s="534"/>
      <c r="F12" s="534"/>
      <c r="G12" s="535"/>
      <c r="H12" s="113">
        <f>SUM(H8:H11)</f>
        <v>4.8599999999999997E-2</v>
      </c>
      <c r="I12" s="106"/>
    </row>
    <row r="13" spans="1:9" ht="15" thickTop="1" x14ac:dyDescent="0.2">
      <c r="A13" s="106"/>
      <c r="B13" s="521" t="s">
        <v>1165</v>
      </c>
      <c r="C13" s="522"/>
      <c r="D13" s="522"/>
      <c r="E13" s="522"/>
      <c r="F13" s="522"/>
      <c r="G13" s="522"/>
      <c r="H13" s="523"/>
      <c r="I13" s="106"/>
    </row>
    <row r="14" spans="1:9" x14ac:dyDescent="0.2">
      <c r="A14" s="106"/>
      <c r="B14" s="687" t="s">
        <v>37</v>
      </c>
      <c r="C14" s="524" t="s">
        <v>1166</v>
      </c>
      <c r="D14" s="525"/>
      <c r="E14" s="525"/>
      <c r="F14" s="525"/>
      <c r="G14" s="526"/>
      <c r="H14" s="114">
        <v>0.03</v>
      </c>
      <c r="I14" s="106"/>
    </row>
    <row r="15" spans="1:9" x14ac:dyDescent="0.2">
      <c r="A15" s="106"/>
      <c r="B15" s="688"/>
      <c r="C15" s="527" t="s">
        <v>38</v>
      </c>
      <c r="D15" s="528"/>
      <c r="E15" s="528"/>
      <c r="F15" s="528"/>
      <c r="G15" s="529"/>
      <c r="H15" s="112">
        <v>6.4999999999999997E-3</v>
      </c>
      <c r="I15" s="106"/>
    </row>
    <row r="16" spans="1:9" x14ac:dyDescent="0.2">
      <c r="A16" s="106"/>
      <c r="B16" s="688"/>
      <c r="C16" s="527" t="s">
        <v>1167</v>
      </c>
      <c r="D16" s="528"/>
      <c r="E16" s="528"/>
      <c r="F16" s="528"/>
      <c r="G16" s="529"/>
      <c r="H16" s="112">
        <v>0.02</v>
      </c>
      <c r="I16" s="106"/>
    </row>
    <row r="17" spans="1:9" x14ac:dyDescent="0.2">
      <c r="A17" s="106"/>
      <c r="B17" s="689"/>
      <c r="C17" s="530" t="s">
        <v>1168</v>
      </c>
      <c r="D17" s="531"/>
      <c r="E17" s="531"/>
      <c r="F17" s="531"/>
      <c r="G17" s="532"/>
      <c r="H17" s="115">
        <v>0</v>
      </c>
      <c r="I17" s="106"/>
    </row>
    <row r="18" spans="1:9" ht="15" thickBot="1" x14ac:dyDescent="0.25">
      <c r="A18" s="106"/>
      <c r="B18" s="533" t="s">
        <v>1169</v>
      </c>
      <c r="C18" s="534"/>
      <c r="D18" s="534"/>
      <c r="E18" s="534"/>
      <c r="F18" s="534"/>
      <c r="G18" s="535"/>
      <c r="H18" s="113">
        <f>SUM(H14:H17)</f>
        <v>5.6499999999999995E-2</v>
      </c>
      <c r="I18" s="106"/>
    </row>
    <row r="19" spans="1:9" ht="15" thickTop="1" x14ac:dyDescent="0.2">
      <c r="A19" s="106"/>
      <c r="B19" s="521" t="s">
        <v>1170</v>
      </c>
      <c r="C19" s="522"/>
      <c r="D19" s="522"/>
      <c r="E19" s="522"/>
      <c r="F19" s="522"/>
      <c r="G19" s="522"/>
      <c r="H19" s="523"/>
      <c r="I19" s="106"/>
    </row>
    <row r="20" spans="1:9" x14ac:dyDescent="0.2">
      <c r="A20" s="106"/>
      <c r="B20" s="116" t="s">
        <v>39</v>
      </c>
      <c r="C20" s="536" t="s">
        <v>40</v>
      </c>
      <c r="D20" s="537"/>
      <c r="E20" s="537"/>
      <c r="F20" s="537"/>
      <c r="G20" s="538"/>
      <c r="H20" s="114">
        <v>6.6400000000000001E-2</v>
      </c>
      <c r="I20" s="106"/>
    </row>
    <row r="21" spans="1:9" ht="15" thickBot="1" x14ac:dyDescent="0.25">
      <c r="A21" s="106"/>
      <c r="B21" s="533" t="s">
        <v>1171</v>
      </c>
      <c r="C21" s="534"/>
      <c r="D21" s="534"/>
      <c r="E21" s="534"/>
      <c r="F21" s="534"/>
      <c r="G21" s="535"/>
      <c r="H21" s="113">
        <f>SUM(H20:H20)</f>
        <v>6.6400000000000001E-2</v>
      </c>
      <c r="I21" s="106"/>
    </row>
    <row r="22" spans="1:9" ht="15.75" thickTop="1" thickBot="1" x14ac:dyDescent="0.25">
      <c r="A22" s="106"/>
      <c r="B22" s="539" t="s">
        <v>30</v>
      </c>
      <c r="C22" s="540"/>
      <c r="D22" s="540"/>
      <c r="E22" s="540"/>
      <c r="F22" s="540"/>
      <c r="G22" s="541"/>
      <c r="H22" s="117">
        <f>((((((1+(H8+H9+H10))*((1+H11)*(1+H21)))/(1-H18))-1)*100))/100</f>
        <v>0.18562657170111271</v>
      </c>
      <c r="I22" s="106"/>
    </row>
    <row r="23" spans="1:9" ht="20.100000000000001" customHeight="1" x14ac:dyDescent="0.2">
      <c r="A23" s="106"/>
      <c r="B23" s="118"/>
      <c r="C23" s="118"/>
      <c r="D23" s="118"/>
      <c r="E23" s="118"/>
      <c r="F23" s="118"/>
      <c r="G23" s="118"/>
      <c r="H23" s="118"/>
      <c r="I23" s="106"/>
    </row>
    <row r="24" spans="1:9" ht="15.75" customHeight="1" x14ac:dyDescent="0.2">
      <c r="A24" s="106"/>
      <c r="B24" s="690" t="s">
        <v>1172</v>
      </c>
      <c r="C24" s="690"/>
      <c r="D24" s="690"/>
      <c r="E24" s="690"/>
      <c r="F24" s="690"/>
      <c r="G24" s="690"/>
      <c r="H24" s="690"/>
      <c r="I24" s="106"/>
    </row>
    <row r="25" spans="1:9" ht="21" customHeight="1" x14ac:dyDescent="0.2">
      <c r="A25" s="106"/>
      <c r="B25" s="691" t="s">
        <v>41</v>
      </c>
      <c r="C25" s="692" t="s">
        <v>42</v>
      </c>
      <c r="D25" s="119" t="s">
        <v>1173</v>
      </c>
      <c r="E25" s="693" t="s">
        <v>43</v>
      </c>
      <c r="F25" s="694">
        <v>-1</v>
      </c>
      <c r="G25" s="695" t="s">
        <v>44</v>
      </c>
      <c r="H25" s="683" t="s">
        <v>45</v>
      </c>
      <c r="I25" s="106"/>
    </row>
    <row r="26" spans="1:9" ht="21" customHeight="1" x14ac:dyDescent="0.2">
      <c r="A26" s="106"/>
      <c r="B26" s="691"/>
      <c r="C26" s="692"/>
      <c r="D26" s="120" t="s">
        <v>46</v>
      </c>
      <c r="E26" s="693"/>
      <c r="F26" s="694"/>
      <c r="G26" s="695"/>
      <c r="H26" s="683"/>
      <c r="I26" s="106"/>
    </row>
    <row r="27" spans="1:9" ht="3" customHeight="1" x14ac:dyDescent="0.2">
      <c r="A27" s="106"/>
      <c r="B27" s="118"/>
      <c r="C27" s="118"/>
      <c r="D27" s="118"/>
      <c r="E27" s="118"/>
      <c r="F27" s="118"/>
      <c r="G27" s="118"/>
      <c r="H27" s="118"/>
      <c r="I27" s="106"/>
    </row>
    <row r="28" spans="1:9" x14ac:dyDescent="0.2">
      <c r="A28" s="106"/>
      <c r="B28" s="121" t="s">
        <v>47</v>
      </c>
      <c r="C28" s="696" t="s">
        <v>48</v>
      </c>
      <c r="D28" s="696"/>
      <c r="E28" s="696"/>
      <c r="F28" s="696"/>
      <c r="G28" s="696"/>
      <c r="H28" s="696"/>
      <c r="I28" s="106"/>
    </row>
    <row r="29" spans="1:9" x14ac:dyDescent="0.2">
      <c r="A29" s="106"/>
      <c r="B29" s="121" t="s">
        <v>49</v>
      </c>
      <c r="C29" s="696" t="s">
        <v>50</v>
      </c>
      <c r="D29" s="696"/>
      <c r="E29" s="696"/>
      <c r="F29" s="696"/>
      <c r="G29" s="696"/>
      <c r="H29" s="696"/>
      <c r="I29" s="106"/>
    </row>
    <row r="30" spans="1:9" x14ac:dyDescent="0.2">
      <c r="A30" s="106"/>
      <c r="B30" s="121" t="s">
        <v>51</v>
      </c>
      <c r="C30" s="696" t="s">
        <v>52</v>
      </c>
      <c r="D30" s="696"/>
      <c r="E30" s="696"/>
      <c r="F30" s="696"/>
      <c r="G30" s="696"/>
      <c r="H30" s="696"/>
      <c r="I30" s="106"/>
    </row>
    <row r="31" spans="1:9" x14ac:dyDescent="0.2">
      <c r="A31" s="106"/>
      <c r="B31" s="121" t="s">
        <v>53</v>
      </c>
      <c r="C31" s="696" t="s">
        <v>54</v>
      </c>
      <c r="D31" s="696"/>
      <c r="E31" s="696"/>
      <c r="F31" s="696"/>
      <c r="G31" s="696"/>
      <c r="H31" s="696"/>
      <c r="I31" s="106"/>
    </row>
    <row r="32" spans="1:9" x14ac:dyDescent="0.2">
      <c r="A32" s="106"/>
      <c r="B32" s="121" t="s">
        <v>55</v>
      </c>
      <c r="C32" s="696" t="s">
        <v>56</v>
      </c>
      <c r="D32" s="696"/>
      <c r="E32" s="696"/>
      <c r="F32" s="696"/>
      <c r="G32" s="696"/>
      <c r="H32" s="696"/>
      <c r="I32" s="106"/>
    </row>
    <row r="33" spans="1:9" x14ac:dyDescent="0.2">
      <c r="A33" s="106"/>
      <c r="B33" s="121" t="s">
        <v>4</v>
      </c>
      <c r="C33" s="696" t="s">
        <v>57</v>
      </c>
      <c r="D33" s="696"/>
      <c r="E33" s="696"/>
      <c r="F33" s="696"/>
      <c r="G33" s="696"/>
      <c r="H33" s="696"/>
      <c r="I33" s="106"/>
    </row>
    <row r="34" spans="1:9" x14ac:dyDescent="0.2">
      <c r="A34" s="106"/>
      <c r="B34" s="121" t="s">
        <v>58</v>
      </c>
      <c r="C34" s="696" t="s">
        <v>1174</v>
      </c>
      <c r="D34" s="696"/>
      <c r="E34" s="696"/>
      <c r="F34" s="696"/>
      <c r="G34" s="696"/>
      <c r="H34" s="696"/>
      <c r="I34" s="106"/>
    </row>
    <row r="35" spans="1:9" s="123" customFormat="1" ht="44.25" customHeight="1" x14ac:dyDescent="0.2">
      <c r="A35" s="122"/>
      <c r="B35" s="485"/>
      <c r="C35" s="697" t="s">
        <v>12736</v>
      </c>
      <c r="D35" s="697"/>
      <c r="E35" s="697"/>
      <c r="F35" s="697"/>
      <c r="G35" s="697"/>
      <c r="H35" s="697"/>
      <c r="I35" s="122"/>
    </row>
    <row r="36" spans="1:9" ht="15" customHeight="1" x14ac:dyDescent="0.2">
      <c r="A36" s="106"/>
      <c r="B36" s="118"/>
      <c r="C36" s="118"/>
      <c r="D36" s="118"/>
      <c r="E36" s="118"/>
      <c r="F36" s="118"/>
      <c r="G36" s="118"/>
      <c r="H36" s="118"/>
      <c r="I36" s="106"/>
    </row>
    <row r="37" spans="1:9" x14ac:dyDescent="0.2">
      <c r="A37" s="106"/>
      <c r="B37" s="698" t="s">
        <v>1175</v>
      </c>
      <c r="C37" s="698"/>
      <c r="D37" s="698"/>
      <c r="E37" s="698"/>
      <c r="F37" s="698"/>
      <c r="G37" s="698"/>
      <c r="H37" s="698"/>
      <c r="I37" s="106"/>
    </row>
    <row r="38" spans="1:9" x14ac:dyDescent="0.2">
      <c r="A38" s="106"/>
      <c r="B38" s="698" t="s">
        <v>1176</v>
      </c>
      <c r="C38" s="698"/>
      <c r="D38" s="698"/>
      <c r="E38" s="698"/>
      <c r="F38" s="698"/>
      <c r="G38" s="698"/>
      <c r="H38" s="698"/>
      <c r="I38" s="106"/>
    </row>
    <row r="39" spans="1:9" ht="5.0999999999999996" customHeight="1" x14ac:dyDescent="0.2">
      <c r="A39" s="106"/>
      <c r="B39" s="106"/>
      <c r="C39" s="106"/>
      <c r="D39" s="106"/>
      <c r="E39" s="106"/>
      <c r="F39" s="106"/>
      <c r="G39" s="106"/>
      <c r="H39" s="106"/>
      <c r="I39" s="106"/>
    </row>
    <row r="43" spans="1:9" hidden="1" x14ac:dyDescent="0.2">
      <c r="B43" s="124" t="s">
        <v>1157</v>
      </c>
    </row>
    <row r="44" spans="1:9" hidden="1" x14ac:dyDescent="0.2">
      <c r="B44" s="124" t="s">
        <v>1177</v>
      </c>
    </row>
    <row r="45" spans="1:9" hidden="1" x14ac:dyDescent="0.2">
      <c r="B45" s="124" t="e">
        <f>#REF!</f>
        <v>#REF!</v>
      </c>
    </row>
    <row r="46" spans="1:9" hidden="1" x14ac:dyDescent="0.2">
      <c r="B46" s="124" t="e">
        <f>#REF!</f>
        <v>#REF!</v>
      </c>
    </row>
    <row r="47" spans="1:9" hidden="1" x14ac:dyDescent="0.2">
      <c r="B47" s="124" t="e">
        <f>#REF!</f>
        <v>#REF!</v>
      </c>
    </row>
    <row r="48" spans="1:9" hidden="1" x14ac:dyDescent="0.2">
      <c r="B48" s="124" t="e">
        <f>#REF!</f>
        <v>#REF!</v>
      </c>
    </row>
    <row r="49" spans="2:9" hidden="1" x14ac:dyDescent="0.2">
      <c r="B49" s="124" t="e">
        <f>#REF!</f>
        <v>#REF!</v>
      </c>
    </row>
    <row r="50" spans="2:9" hidden="1" x14ac:dyDescent="0.2"/>
    <row r="51" spans="2:9" hidden="1" x14ac:dyDescent="0.2">
      <c r="B51" s="124" t="s">
        <v>1178</v>
      </c>
    </row>
    <row r="52" spans="2:9" hidden="1" x14ac:dyDescent="0.2">
      <c r="B52" s="124" t="s">
        <v>1158</v>
      </c>
    </row>
    <row r="53" spans="2:9" hidden="1" x14ac:dyDescent="0.2"/>
    <row r="54" spans="2:9" hidden="1" x14ac:dyDescent="0.2">
      <c r="B54" s="124" t="s">
        <v>1179</v>
      </c>
    </row>
    <row r="55" spans="2:9" hidden="1" x14ac:dyDescent="0.2">
      <c r="B55" s="124" t="s">
        <v>1159</v>
      </c>
      <c r="H55" s="125"/>
      <c r="I55" s="125"/>
    </row>
    <row r="56" spans="2:9" hidden="1" x14ac:dyDescent="0.2">
      <c r="B56" s="124" t="s">
        <v>1180</v>
      </c>
    </row>
  </sheetData>
  <mergeCells count="22">
    <mergeCell ref="C34:H34"/>
    <mergeCell ref="C35:H35"/>
    <mergeCell ref="B37:H37"/>
    <mergeCell ref="B38:H38"/>
    <mergeCell ref="C28:H28"/>
    <mergeCell ref="C29:H29"/>
    <mergeCell ref="C30:H30"/>
    <mergeCell ref="C31:H31"/>
    <mergeCell ref="C32:H32"/>
    <mergeCell ref="C33:H33"/>
    <mergeCell ref="H25:H26"/>
    <mergeCell ref="B2:H2"/>
    <mergeCell ref="B3:H3"/>
    <mergeCell ref="B4:H4"/>
    <mergeCell ref="B8:B11"/>
    <mergeCell ref="B14:B17"/>
    <mergeCell ref="B24:H24"/>
    <mergeCell ref="B25:B26"/>
    <mergeCell ref="C25:C26"/>
    <mergeCell ref="E25:E26"/>
    <mergeCell ref="F25:F26"/>
    <mergeCell ref="G25:G26"/>
  </mergeCells>
  <dataValidations count="2">
    <dataValidation type="list" allowBlank="1" showInputMessage="1" showErrorMessage="1" sqref="H5" xr:uid="{00000000-0002-0000-0C00-000000000000}">
      <formula1>$B$54:$B$56</formula1>
    </dataValidation>
    <dataValidation type="list" allowBlank="1" showInputMessage="1" showErrorMessage="1" sqref="B4:H4" xr:uid="{00000000-0002-0000-0C00-000001000000}">
      <formula1>$B$51:$B$52</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17</vt:i4>
      </vt:variant>
    </vt:vector>
  </HeadingPairs>
  <TitlesOfParts>
    <vt:vector size="30" baseType="lpstr">
      <vt:lpstr>SERVIÇOS</vt:lpstr>
      <vt:lpstr>INSUMOS</vt:lpstr>
      <vt:lpstr>014-22-CAPA</vt:lpstr>
      <vt:lpstr>014.01-22-ORÇAMENTO</vt:lpstr>
      <vt:lpstr>014-22-CCU's</vt:lpstr>
      <vt:lpstr>014-22-CCU's AUX</vt:lpstr>
      <vt:lpstr>014-22-cotação</vt:lpstr>
      <vt:lpstr>Reajustamento INCC</vt:lpstr>
      <vt:lpstr>014-22-CRO</vt:lpstr>
      <vt:lpstr>014-22-ABC-SERVIÇOS</vt:lpstr>
      <vt:lpstr>Encargos</vt:lpstr>
      <vt:lpstr>Reajustamento INCC (2)</vt:lpstr>
      <vt:lpstr>Pequenas Obras SEM</vt:lpstr>
      <vt:lpstr>'014.01-22-ORÇAMENTO'!Area_de_impressao</vt:lpstr>
      <vt:lpstr>'014-22-ABC-SERVIÇOS'!Area_de_impressao</vt:lpstr>
      <vt:lpstr>'014-22-CAPA'!Area_de_impressao</vt:lpstr>
      <vt:lpstr>'014-22-CCU''s'!Area_de_impressao</vt:lpstr>
      <vt:lpstr>'014-22-CCU''s AUX'!Area_de_impressao</vt:lpstr>
      <vt:lpstr>'014-22-cotação'!Area_de_impressao</vt:lpstr>
      <vt:lpstr>'014-22-CRO'!Area_de_impressao</vt:lpstr>
      <vt:lpstr>Encargos!Area_de_impressao</vt:lpstr>
      <vt:lpstr>'Pequenas Obras SEM'!Area_de_impressao</vt:lpstr>
      <vt:lpstr>'Reajustamento INCC'!Area_de_impressao</vt:lpstr>
      <vt:lpstr>'Reajustamento INCC (2)'!Area_de_impressao</vt:lpstr>
      <vt:lpstr>'014.01-22-ORÇAMENTO'!Titulos_de_impressao</vt:lpstr>
      <vt:lpstr>'014-22-ABC-SERVIÇOS'!Titulos_de_impressao</vt:lpstr>
      <vt:lpstr>'014-22-CCU''s'!Titulos_de_impressao</vt:lpstr>
      <vt:lpstr>'014-22-CCU''s AUX'!Titulos_de_impressao</vt:lpstr>
      <vt:lpstr>'014-22-cotação'!Titulos_de_impressao</vt:lpstr>
      <vt:lpstr>'014-22-CRO'!Titulos_de_impressao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Herbert Mesquita Loiola</cp:lastModifiedBy>
  <cp:lastPrinted>2024-07-05T17:11:52Z</cp:lastPrinted>
  <dcterms:created xsi:type="dcterms:W3CDTF">2016-10-17T12:27:47Z</dcterms:created>
  <dcterms:modified xsi:type="dcterms:W3CDTF">2024-07-05T17:12:30Z</dcterms:modified>
</cp:coreProperties>
</file>